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4-2025/RIGAUT-VERZURA/"/>
    </mc:Choice>
  </mc:AlternateContent>
  <xr:revisionPtr revIDLastSave="1" documentId="14_{790E8453-E3DC-4512-9874-294907FA3998}" xr6:coauthVersionLast="47" xr6:coauthVersionMax="47" xr10:uidLastSave="{9A26530A-3132-4B08-8C36-28C5B852123F}"/>
  <bookViews>
    <workbookView xWindow="48135" yWindow="0" windowWidth="14610" windowHeight="1558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HH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HI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EX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A105" i="2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G113" i="2"/>
  <c r="EC113" i="2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B139" i="2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FS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A144" i="2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HG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W155" i="2"/>
  <c r="ED154" i="2"/>
  <c r="EX155" i="2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FS156" i="2"/>
  <c r="ED155" i="2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Y159" i="2"/>
  <c r="HI160" i="2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A161" i="2"/>
  <c r="EB161" i="2"/>
  <c r="FS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B162" i="2" l="1"/>
  <c r="EY161" i="2"/>
  <c r="EW162" i="2"/>
  <c r="DI161" i="2"/>
  <c r="HH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A164" i="2" l="1"/>
  <c r="EY163" i="2"/>
  <c r="DI163" i="2"/>
  <c r="ED163" i="2"/>
  <c r="FR164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FR167" i="2"/>
  <c r="EA167" i="2"/>
  <c r="EB167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B168" i="2"/>
  <c r="HI168" i="2"/>
  <c r="DG168" i="2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HI172" i="2"/>
  <c r="EA172" i="2"/>
  <c r="ED171" i="2"/>
  <c r="EB172" i="2"/>
  <c r="HG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D172" i="2"/>
  <c r="EX173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B175" i="2"/>
  <c r="EW175" i="2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C177" i="2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A178" i="2"/>
  <c r="EW178" i="2"/>
  <c r="EB178" i="2"/>
  <c r="ED177" i="2"/>
  <c r="HH178" i="2"/>
  <c r="HG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I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ED184" i="2"/>
  <c r="HI185" i="2"/>
  <c r="EB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A186" i="2"/>
  <c r="ED185" i="2"/>
  <c r="HG186" i="2"/>
  <c r="EW186" i="2"/>
  <c r="EB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HH189" i="2"/>
  <c r="AA189" i="2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W190" i="2"/>
  <c r="EV190" i="2"/>
  <c r="HH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D190" i="2"/>
  <c r="HH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C192" i="2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B193" i="2"/>
  <c r="EA193" i="2"/>
  <c r="DI192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HG194" i="2"/>
  <c r="EB194" i="2"/>
  <c r="HI194" i="2"/>
  <c r="ED193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Y194" i="2" l="1"/>
  <c r="ED194" i="2"/>
  <c r="EX195" i="2"/>
  <c r="HI195" i="2"/>
  <c r="EB195" i="2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AA197" i="2"/>
  <c r="FS197" i="2"/>
  <c r="HH197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FS199" i="2"/>
  <c r="EA199" i="2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FS201" i="2" l="1"/>
  <c r="DI200" i="2"/>
  <c r="ED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FS202" i="2" l="1"/>
  <c r="EY201" i="2"/>
  <c r="HI202" i="2"/>
  <c r="EW202" i="2"/>
  <c r="ED201" i="2"/>
  <c r="HG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GT102" i="2" a="1"/>
  <c r="GT102" i="2" s="1"/>
  <c r="GT11" i="2" a="1"/>
  <c r="GT11" i="2" s="1"/>
  <c r="FY142" i="2" a="1"/>
  <c r="FY142" i="2" s="1"/>
  <c r="BC18" i="2" a="1"/>
  <c r="BC18" i="2" s="1"/>
  <c r="GT138" i="2" a="1"/>
  <c r="GT138" i="2" s="1"/>
  <c r="GT15" i="2" a="1"/>
  <c r="GT15" i="2" s="1"/>
  <c r="EI38" i="2" a="1"/>
  <c r="EI38" i="2" s="1"/>
  <c r="EI128" i="2" a="1"/>
  <c r="EI128" i="2" s="1"/>
  <c r="EI113" i="2" a="1"/>
  <c r="EI113" i="2" s="1"/>
  <c r="EI16" i="2" a="1"/>
  <c r="EI16" i="2" s="1"/>
  <c r="EI170" i="2" a="1"/>
  <c r="EI170" i="2" s="1"/>
  <c r="EI35" i="2" a="1"/>
  <c r="EI35" i="2" s="1"/>
  <c r="DN6" i="2" a="1"/>
  <c r="DN6" i="2" s="1"/>
  <c r="DO6" i="2" s="1"/>
  <c r="FD82" i="2" a="1"/>
  <c r="FD82" i="2" s="1"/>
  <c r="HJ202" i="2"/>
  <c r="AX200" i="2"/>
  <c r="EI37" i="2" l="1" a="1"/>
  <c r="EI37" i="2" s="1"/>
  <c r="EI139" i="2" a="1"/>
  <c r="EI139" i="2" s="1"/>
  <c r="EI67" i="2" a="1"/>
  <c r="EI67" i="2" s="1"/>
  <c r="FD159" i="2" a="1"/>
  <c r="FD159" i="2" s="1"/>
  <c r="FD48" i="2" a="1"/>
  <c r="FD48" i="2" s="1"/>
  <c r="FD167" i="2" a="1"/>
  <c r="FD167" i="2" s="1"/>
  <c r="FD189" i="2" a="1"/>
  <c r="FD189" i="2" s="1"/>
  <c r="FD188" i="2" a="1"/>
  <c r="FD188" i="2" s="1"/>
  <c r="EI195" i="2" a="1"/>
  <c r="EI195" i="2" s="1"/>
  <c r="BC38" i="2" a="1"/>
  <c r="BC38" i="2" s="1"/>
  <c r="BC151" i="2" a="1"/>
  <c r="BC151" i="2" s="1"/>
  <c r="BC7" i="2" a="1"/>
  <c r="BC7" i="2" s="1"/>
  <c r="BC185" i="2" a="1"/>
  <c r="BC185" i="2" s="1"/>
  <c r="BC143" i="2" a="1"/>
  <c r="BC143" i="2" s="1"/>
  <c r="BC31" i="2" a="1"/>
  <c r="BC31" i="2" s="1"/>
  <c r="BC82" i="2" a="1"/>
  <c r="BC82" i="2" s="1"/>
  <c r="BC83" i="2" a="1"/>
  <c r="BC83" i="2" s="1"/>
  <c r="BC55" i="2" a="1"/>
  <c r="BC55" i="2" s="1"/>
  <c r="BC130" i="2" a="1"/>
  <c r="BC130" i="2" s="1"/>
  <c r="EY202" i="2"/>
  <c r="EI166" i="2" a="1"/>
  <c r="EI166" i="2" s="1"/>
  <c r="CS129" i="2" a="1"/>
  <c r="CS129" i="2" s="1"/>
  <c r="CS66" i="2" a="1"/>
  <c r="CS66" i="2" s="1"/>
  <c r="CS24" i="2" a="1"/>
  <c r="CS24" i="2" s="1"/>
  <c r="CS116" i="2" a="1"/>
  <c r="CS116" i="2" s="1"/>
  <c r="CS120" i="2" a="1"/>
  <c r="CS120" i="2" s="1"/>
  <c r="CS134" i="2" a="1"/>
  <c r="CS134" i="2" s="1"/>
  <c r="CS52" i="2" a="1"/>
  <c r="CS52" i="2" s="1"/>
  <c r="CS137" i="2" a="1"/>
  <c r="CS137" i="2" s="1"/>
  <c r="CS72" i="2" a="1"/>
  <c r="CS72" i="2" s="1"/>
  <c r="BC181" i="2" a="1"/>
  <c r="BC181" i="2" s="1"/>
  <c r="BC65" i="2" a="1"/>
  <c r="BC65" i="2" s="1"/>
  <c r="BC114" i="2" a="1"/>
  <c r="BC114" i="2" s="1"/>
  <c r="BC126" i="2" a="1"/>
  <c r="BC126" i="2" s="1"/>
  <c r="BC47" i="2" a="1"/>
  <c r="BC47" i="2" s="1"/>
  <c r="BC84" i="2" a="1"/>
  <c r="BC84" i="2" s="1"/>
  <c r="DN70" i="2" a="1"/>
  <c r="DN70" i="2" s="1"/>
  <c r="DN63" i="2" a="1"/>
  <c r="DN63" i="2" s="1"/>
  <c r="DN113" i="2" a="1"/>
  <c r="DN113" i="2" s="1"/>
  <c r="DN103" i="2" a="1"/>
  <c r="DN103" i="2" s="1"/>
  <c r="CS185" i="2" a="1"/>
  <c r="CS185" i="2" s="1"/>
  <c r="CS114" i="2" a="1"/>
  <c r="CS114" i="2" s="1"/>
  <c r="CS56" i="2" a="1"/>
  <c r="CS56" i="2" s="1"/>
  <c r="CS38" i="2" a="1"/>
  <c r="CS38" i="2" s="1"/>
  <c r="CS105" i="2" a="1"/>
  <c r="CS105" i="2" s="1"/>
  <c r="CS161" i="2" a="1"/>
  <c r="CS161" i="2" s="1"/>
  <c r="CS77" i="2" a="1"/>
  <c r="CS77" i="2" s="1"/>
  <c r="BC32" i="2" a="1"/>
  <c r="BC32" i="2" s="1"/>
  <c r="BC164" i="2" a="1"/>
  <c r="BC164" i="2" s="1"/>
  <c r="BC58" i="2" a="1"/>
  <c r="BC58" i="2" s="1"/>
  <c r="BC68" i="2" a="1"/>
  <c r="BC68" i="2" s="1"/>
  <c r="BC192" i="2" a="1"/>
  <c r="BC192" i="2" s="1"/>
  <c r="BC34" i="2" a="1"/>
  <c r="BC34" i="2" s="1"/>
  <c r="DN55" i="2" a="1"/>
  <c r="DN55" i="2" s="1"/>
  <c r="DN25" i="2" a="1"/>
  <c r="DN25" i="2" s="1"/>
  <c r="DN123" i="2" a="1"/>
  <c r="DN123" i="2" s="1"/>
  <c r="BX107" i="2" a="1"/>
  <c r="BX107" i="2" s="1"/>
  <c r="DN16" i="2" a="1"/>
  <c r="DN16" i="2" s="1"/>
  <c r="DN150" i="2" a="1"/>
  <c r="DN150" i="2" s="1"/>
  <c r="DN43" i="2" a="1"/>
  <c r="DN43" i="2" s="1"/>
  <c r="FY196" i="2" a="1"/>
  <c r="FY196" i="2" s="1"/>
  <c r="GT122" i="2" a="1"/>
  <c r="GT122" i="2" s="1"/>
  <c r="FS203" i="2"/>
  <c r="DN30" i="2" a="1"/>
  <c r="DN30" i="2" s="1"/>
  <c r="DN135" i="2" a="1"/>
  <c r="DN135" i="2" s="1"/>
  <c r="EI34" i="2" a="1"/>
  <c r="EI34" i="2" s="1"/>
  <c r="GT74" i="2" a="1"/>
  <c r="GT74" i="2" s="1"/>
  <c r="DN86" i="2" a="1"/>
  <c r="DN86" i="2" s="1"/>
  <c r="GT51" i="2" a="1"/>
  <c r="GT51" i="2" s="1"/>
  <c r="FY104" i="2" a="1"/>
  <c r="FY104" i="2" s="1"/>
  <c r="GT107" i="2" a="1"/>
  <c r="GT107" i="2" s="1"/>
  <c r="DN29" i="2" a="1"/>
  <c r="DN29" i="2" s="1"/>
  <c r="GT190" i="2" a="1"/>
  <c r="GT190" i="2" s="1"/>
  <c r="DN41" i="2" a="1"/>
  <c r="DN41" i="2" s="1"/>
  <c r="GT133" i="2" a="1"/>
  <c r="GT133" i="2" s="1"/>
  <c r="GT38" i="2" a="1"/>
  <c r="GT38" i="2" s="1"/>
  <c r="DN186" i="2" a="1"/>
  <c r="DN186" i="2" s="1"/>
  <c r="DN164" i="2" a="1"/>
  <c r="DN164" i="2" s="1"/>
  <c r="DN137" i="2" a="1"/>
  <c r="DN137" i="2" s="1"/>
  <c r="GT178" i="2" a="1"/>
  <c r="GT178" i="2" s="1"/>
  <c r="GT68" i="2" a="1"/>
  <c r="GT68" i="2" s="1"/>
  <c r="AH163" i="2" a="1"/>
  <c r="AH163" i="2" s="1"/>
  <c r="DN115" i="2" a="1"/>
  <c r="DN115" i="2" s="1"/>
  <c r="DN124" i="2" a="1"/>
  <c r="DN124" i="2" s="1"/>
  <c r="GT181" i="2" a="1"/>
  <c r="GT181" i="2" s="1"/>
  <c r="AH92" i="2" a="1"/>
  <c r="AH92" i="2" s="1"/>
  <c r="DN187" i="2" a="1"/>
  <c r="DN187" i="2" s="1"/>
  <c r="DN184" i="2" a="1"/>
  <c r="DN184" i="2" s="1"/>
  <c r="DN31" i="2" a="1"/>
  <c r="DN31" i="2" s="1"/>
  <c r="DN152" i="2" a="1"/>
  <c r="DN152" i="2" s="1"/>
  <c r="GT174" i="2" a="1"/>
  <c r="GT174" i="2" s="1"/>
  <c r="DN192" i="2" a="1"/>
  <c r="DN192" i="2" s="1"/>
  <c r="GT126" i="2" a="1"/>
  <c r="GT126" i="2" s="1"/>
  <c r="DN38" i="2" a="1"/>
  <c r="DN38" i="2" s="1"/>
  <c r="DN177" i="2" a="1"/>
  <c r="DN177" i="2" s="1"/>
  <c r="AH62" i="2" a="1"/>
  <c r="AH62" i="2" s="1"/>
  <c r="DN153" i="2" a="1"/>
  <c r="DN153" i="2" s="1"/>
  <c r="GT184" i="2" a="1"/>
  <c r="GT184" i="2" s="1"/>
  <c r="FY78" i="2" a="1"/>
  <c r="FY78" i="2" s="1"/>
  <c r="DN110" i="2" a="1"/>
  <c r="DN110" i="2" s="1"/>
  <c r="GT147" i="2" a="1"/>
  <c r="GT147" i="2" s="1"/>
  <c r="GT152" i="2" a="1"/>
  <c r="GT152" i="2" s="1"/>
  <c r="FY30" i="2" a="1"/>
  <c r="FY30" i="2" s="1"/>
  <c r="GT121" i="2" a="1"/>
  <c r="GT121" i="2" s="1"/>
  <c r="EI165" i="2" a="1"/>
  <c r="EI165" i="2" s="1"/>
  <c r="EI71" i="2" a="1"/>
  <c r="EI71" i="2" s="1"/>
  <c r="EI57" i="2" a="1"/>
  <c r="EI57" i="2" s="1"/>
  <c r="DN80" i="2" a="1"/>
  <c r="DN80" i="2" s="1"/>
  <c r="EI36" i="2" a="1"/>
  <c r="EI36" i="2" s="1"/>
  <c r="GT21" i="2" a="1"/>
  <c r="GT21" i="2" s="1"/>
  <c r="AH199" i="2" a="1"/>
  <c r="AH199" i="2" s="1"/>
  <c r="DN170" i="2" a="1"/>
  <c r="DN170" i="2" s="1"/>
  <c r="DN155" i="2" a="1"/>
  <c r="DN155" i="2" s="1"/>
  <c r="GT115" i="2" a="1"/>
  <c r="GT115" i="2" s="1"/>
  <c r="FY186" i="2" a="1"/>
  <c r="FY186" i="2" s="1"/>
  <c r="DN167" i="2" a="1"/>
  <c r="DN167" i="2" s="1"/>
  <c r="DN45" i="2" a="1"/>
  <c r="DN45" i="2" s="1"/>
  <c r="GT33" i="2" a="1"/>
  <c r="GT33" i="2" s="1"/>
  <c r="DN162" i="2" a="1"/>
  <c r="DN162" i="2" s="1"/>
  <c r="DN49" i="2" a="1"/>
  <c r="DN49" i="2" s="1"/>
  <c r="DN66" i="2" a="1"/>
  <c r="DN66" i="2" s="1"/>
  <c r="DN132" i="2" a="1"/>
  <c r="DN132" i="2" s="1"/>
  <c r="DN188" i="2" a="1"/>
  <c r="DN188" i="2" s="1"/>
  <c r="FY190" i="2" a="1"/>
  <c r="FY190" i="2" s="1"/>
  <c r="GT189" i="2" a="1"/>
  <c r="GT189" i="2" s="1"/>
  <c r="DN190" i="2" a="1"/>
  <c r="DN190" i="2" s="1"/>
  <c r="DN133" i="2" a="1"/>
  <c r="DN133" i="2" s="1"/>
  <c r="EI87" i="2" a="1"/>
  <c r="EI87" i="2" s="1"/>
  <c r="GT12" i="2" a="1"/>
  <c r="GT12" i="2" s="1"/>
  <c r="DN129" i="2" a="1"/>
  <c r="DN129" i="2" s="1"/>
  <c r="EI142" i="2" a="1"/>
  <c r="EI142" i="2" s="1"/>
  <c r="DN56" i="2" a="1"/>
  <c r="DN56" i="2" s="1"/>
  <c r="FY69" i="2" a="1"/>
  <c r="FY69" i="2" s="1"/>
  <c r="GT191" i="2" a="1"/>
  <c r="GT191" i="2" s="1"/>
  <c r="EI20" i="2" a="1"/>
  <c r="EI20" i="2" s="1"/>
  <c r="DN46" i="2" a="1"/>
  <c r="DN46" i="2" s="1"/>
  <c r="DN176" i="2" a="1"/>
  <c r="DN176" i="2" s="1"/>
  <c r="GT198" i="2" a="1"/>
  <c r="GT198" i="2" s="1"/>
  <c r="DN65" i="2" a="1"/>
  <c r="DN65" i="2" s="1"/>
  <c r="DN168" i="2" a="1"/>
  <c r="DN168" i="2" s="1"/>
  <c r="EI109" i="2" a="1"/>
  <c r="EI109" i="2" s="1"/>
  <c r="FD160" i="2" a="1"/>
  <c r="FD160" i="2" s="1"/>
  <c r="DN114" i="2" a="1"/>
  <c r="DN114" i="2" s="1"/>
  <c r="DN50" i="2" a="1"/>
  <c r="DN50" i="2" s="1"/>
  <c r="EI106" i="2" a="1"/>
  <c r="EI106" i="2" s="1"/>
  <c r="BC117" i="2" a="1"/>
  <c r="BC117" i="2" s="1"/>
  <c r="FY35" i="2" a="1"/>
  <c r="FY35" i="2" s="1"/>
  <c r="AH166" i="2" a="1"/>
  <c r="AH166" i="2" s="1"/>
  <c r="AH90" i="2" a="1"/>
  <c r="AH90" i="2" s="1"/>
  <c r="AH19" i="2" a="1"/>
  <c r="AH19" i="2" s="1"/>
  <c r="AH151" i="2" a="1"/>
  <c r="AH15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EY203" i="2"/>
  <c r="DI203" i="2"/>
  <c r="ED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CD11" i="2" l="1"/>
  <c r="CD60" i="2"/>
  <c r="CD97" i="2"/>
  <c r="CD117" i="2"/>
  <c r="CD163" i="2"/>
  <c r="CD3" i="2"/>
  <c r="C9" i="4" s="1"/>
  <c r="E9" i="4" s="1"/>
  <c r="F9" i="4" s="1"/>
  <c r="G9" i="4" s="1"/>
  <c r="L9" i="4" s="1"/>
  <c r="CD78" i="2"/>
  <c r="CD55" i="2"/>
  <c r="CD192" i="2"/>
  <c r="CD119" i="2"/>
  <c r="CD156" i="2"/>
  <c r="CD129" i="2"/>
  <c r="CD154" i="2"/>
  <c r="CD54" i="2"/>
  <c r="CD37" i="2"/>
  <c r="CD121" i="2"/>
  <c r="CD124" i="2"/>
  <c r="CD162" i="2"/>
  <c r="CD79" i="2"/>
  <c r="CD152" i="2"/>
  <c r="CD26" i="2"/>
  <c r="CD85" i="2"/>
  <c r="CD134" i="2"/>
  <c r="CD137" i="2"/>
  <c r="CD190" i="2"/>
  <c r="CD194" i="2"/>
  <c r="CD14" i="2"/>
  <c r="CD123" i="2"/>
  <c r="CD99" i="2"/>
  <c r="CD197" i="2"/>
  <c r="CD164" i="2"/>
  <c r="CD45" i="2"/>
  <c r="CD148" i="2"/>
  <c r="CD19" i="2"/>
  <c r="CD132" i="2"/>
  <c r="CD86" i="2"/>
  <c r="CD87" i="2"/>
  <c r="CD184" i="2"/>
  <c r="CD10" i="2"/>
  <c r="CD94" i="2"/>
  <c r="CD5" i="2"/>
  <c r="CD105" i="2"/>
  <c r="CD149" i="2"/>
  <c r="CD36" i="2"/>
  <c r="CD76" i="2"/>
  <c r="CD172" i="2"/>
  <c r="CD167" i="2"/>
  <c r="CD160" i="2"/>
  <c r="CD9" i="2"/>
  <c r="CD57" i="2"/>
  <c r="CD127" i="2"/>
  <c r="CD74" i="2"/>
  <c r="CD139" i="2"/>
  <c r="CD165" i="2"/>
  <c r="CD92" i="2"/>
  <c r="CD203" i="2"/>
  <c r="CD104" i="2"/>
  <c r="CD189" i="2"/>
  <c r="CD88" i="2"/>
  <c r="CD27" i="2"/>
  <c r="CD126" i="2"/>
  <c r="CD95" i="2"/>
  <c r="CD13" i="2"/>
  <c r="CD43" i="2"/>
  <c r="CD24" i="2"/>
  <c r="CD39" i="2"/>
  <c r="CD112" i="2"/>
  <c r="CD8" i="2"/>
  <c r="CD176" i="2"/>
  <c r="CD53" i="2"/>
  <c r="CD182" i="2"/>
  <c r="CD90" i="2"/>
  <c r="CD93" i="2"/>
  <c r="CD16" i="2"/>
  <c r="CD166" i="2"/>
  <c r="CD111" i="2"/>
  <c r="CD58" i="2"/>
  <c r="CD12" i="2"/>
  <c r="CD33" i="2"/>
  <c r="CD48" i="2"/>
  <c r="CD142" i="2"/>
  <c r="CD38" i="2"/>
  <c r="CD115" i="2"/>
  <c r="CD106" i="2"/>
  <c r="CD73" i="2"/>
  <c r="CD169" i="2"/>
  <c r="CD83" i="2"/>
  <c r="CD175" i="2"/>
  <c r="CD151" i="2"/>
  <c r="CD158" i="2"/>
  <c r="CD198" i="2"/>
  <c r="CD136" i="2"/>
  <c r="CD52" i="2"/>
  <c r="CD41" i="2"/>
  <c r="CD131" i="2"/>
  <c r="CD21" i="2"/>
  <c r="CD44" i="2"/>
  <c r="CD61" i="2"/>
  <c r="CD153" i="2"/>
  <c r="CD133" i="2"/>
  <c r="CD181" i="2"/>
  <c r="CD22" i="2"/>
  <c r="CD177" i="2"/>
  <c r="CD191" i="2"/>
  <c r="CD49" i="2"/>
  <c r="CD84" i="2"/>
  <c r="CD195" i="2"/>
  <c r="CD40" i="2"/>
  <c r="CD174" i="2"/>
  <c r="CD113" i="2"/>
  <c r="CD15" i="2"/>
  <c r="CD7" i="2"/>
  <c r="CD96" i="2"/>
  <c r="CD30" i="2"/>
  <c r="CD98" i="2"/>
  <c r="CD82" i="2"/>
  <c r="CD59" i="2"/>
  <c r="CD120" i="2"/>
  <c r="CD64" i="2"/>
  <c r="CD150" i="2"/>
  <c r="CD17" i="2"/>
  <c r="CD72" i="2"/>
  <c r="CD77" i="2"/>
  <c r="CD122" i="2"/>
  <c r="CD101" i="2"/>
  <c r="CD28" i="2"/>
  <c r="CD173" i="2"/>
  <c r="CD107" i="2"/>
  <c r="CD193" i="2"/>
  <c r="CD168" i="2"/>
  <c r="CD157" i="2"/>
  <c r="CD62" i="2"/>
  <c r="CD110" i="2"/>
  <c r="CD143" i="2"/>
  <c r="CD20" i="2"/>
  <c r="CD103" i="2"/>
  <c r="CD170" i="2"/>
  <c r="CD56" i="2"/>
  <c r="CD196" i="2"/>
  <c r="CD81" i="2"/>
  <c r="CD130" i="2"/>
  <c r="CD102" i="2"/>
  <c r="CD25" i="2"/>
  <c r="CD69" i="2"/>
  <c r="CD202" i="2"/>
  <c r="CD171" i="2"/>
  <c r="CD32" i="2"/>
  <c r="CD18" i="2"/>
  <c r="CD140" i="2"/>
  <c r="CD199" i="2"/>
  <c r="CD114" i="2"/>
  <c r="CD63" i="2"/>
  <c r="CD31" i="2"/>
  <c r="CD70" i="2"/>
  <c r="CD201" i="2"/>
  <c r="CD180" i="2"/>
  <c r="CD155" i="2"/>
  <c r="CD80" i="2"/>
  <c r="CD42" i="2"/>
  <c r="CD68" i="2"/>
  <c r="CD146" i="2"/>
  <c r="CD47" i="2"/>
  <c r="CD144" i="2"/>
  <c r="CD109" i="2"/>
  <c r="CD51" i="2"/>
  <c r="CD145" i="2"/>
  <c r="CD187" i="2"/>
  <c r="CD46" i="2"/>
  <c r="CD50" i="2"/>
  <c r="CD141" i="2"/>
  <c r="CD108" i="2"/>
  <c r="CD186" i="2"/>
  <c r="CD65" i="2"/>
  <c r="CD34" i="2"/>
  <c r="CD185" i="2"/>
  <c r="CD138" i="2"/>
  <c r="CD178" i="2"/>
  <c r="CD179" i="2"/>
  <c r="CD161" i="2"/>
  <c r="CD35" i="2"/>
  <c r="CD89" i="2"/>
  <c r="CD118" i="2"/>
  <c r="CD71" i="2"/>
  <c r="CD91" i="2"/>
  <c r="CD135" i="2"/>
  <c r="CD116" i="2"/>
  <c r="CD125" i="2"/>
  <c r="CD67" i="2"/>
  <c r="CD75" i="2"/>
  <c r="CD147" i="2"/>
  <c r="CD29" i="2"/>
  <c r="CD200" i="2"/>
  <c r="CD159" i="2"/>
  <c r="CD188" i="2"/>
  <c r="CD100" i="2"/>
  <c r="CD128" i="2"/>
  <c r="CD183" i="2"/>
  <c r="CD66" i="2"/>
  <c r="CD4" i="2"/>
  <c r="CD6" i="2"/>
  <c r="CD23" i="2"/>
  <c r="FE148" i="2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EO179" i="2" l="1"/>
  <c r="EO55" i="2"/>
  <c r="EO145" i="2"/>
  <c r="EO129" i="2"/>
  <c r="EO38" i="2"/>
  <c r="EO126" i="2"/>
  <c r="EO8" i="2"/>
  <c r="EO42" i="2"/>
  <c r="EO51" i="2"/>
  <c r="EO144" i="2"/>
  <c r="EO122" i="2"/>
  <c r="EO133" i="2"/>
  <c r="EO162" i="2"/>
  <c r="EO202" i="2"/>
  <c r="EO63" i="2"/>
  <c r="EO120" i="2"/>
  <c r="EO147" i="2"/>
  <c r="EO184" i="2"/>
  <c r="EO143" i="2"/>
  <c r="EO76" i="2"/>
  <c r="EO151" i="2"/>
  <c r="EO64" i="2"/>
  <c r="EO25" i="2"/>
  <c r="EO180" i="2"/>
  <c r="EO95" i="2"/>
  <c r="EO109" i="2"/>
  <c r="EO127" i="2"/>
  <c r="EO83" i="2"/>
  <c r="EO52" i="2"/>
  <c r="EO137" i="2"/>
  <c r="EO118" i="2"/>
  <c r="EO196" i="2"/>
  <c r="EO142" i="2"/>
  <c r="EO108" i="2"/>
  <c r="EO85" i="2"/>
  <c r="EO99" i="2"/>
  <c r="EO94" i="2"/>
  <c r="EO73" i="2"/>
  <c r="EO72" i="2"/>
  <c r="EO201" i="2"/>
  <c r="EO34" i="2"/>
  <c r="EO31" i="2"/>
  <c r="EO154" i="2"/>
  <c r="EO17" i="2"/>
  <c r="EO186" i="2"/>
  <c r="EO106" i="2"/>
  <c r="EO27" i="2"/>
  <c r="EO168" i="2"/>
  <c r="EO30" i="2"/>
  <c r="EO121" i="2"/>
  <c r="EO26" i="2"/>
  <c r="EO5" i="2"/>
  <c r="EO174" i="2"/>
  <c r="EO32" i="2"/>
  <c r="EO69" i="2"/>
  <c r="EO89" i="2"/>
  <c r="EO130" i="2"/>
  <c r="EO136" i="2"/>
  <c r="EO153" i="2"/>
  <c r="EO23" i="2"/>
  <c r="EO119" i="2"/>
  <c r="EO79" i="2"/>
  <c r="EO175" i="2"/>
  <c r="EO53" i="2"/>
  <c r="EO195" i="2"/>
  <c r="EO203" i="2"/>
  <c r="EO134" i="2"/>
  <c r="EO103" i="2"/>
  <c r="EO35" i="2"/>
  <c r="EO10" i="2"/>
  <c r="EO60" i="2"/>
  <c r="EO44" i="2"/>
  <c r="EO71" i="2"/>
  <c r="EO62" i="2"/>
  <c r="EO110" i="2"/>
  <c r="EO48" i="2"/>
  <c r="EO70" i="2"/>
  <c r="EO91" i="2"/>
  <c r="EO6" i="2"/>
  <c r="EO36" i="2"/>
  <c r="EO97" i="2"/>
  <c r="EO116" i="2"/>
  <c r="EO197" i="2"/>
  <c r="EO50" i="2"/>
  <c r="EO176" i="2"/>
  <c r="EO16" i="2"/>
  <c r="EO150" i="2"/>
  <c r="EO24" i="2"/>
  <c r="EO100" i="2"/>
  <c r="EO155" i="2"/>
  <c r="EO49" i="2"/>
  <c r="EO54" i="2"/>
  <c r="EO82" i="2"/>
  <c r="EO22" i="2"/>
  <c r="EO65" i="2"/>
  <c r="EO194" i="2"/>
  <c r="EO187" i="2"/>
  <c r="EO173" i="2"/>
  <c r="EO37" i="2"/>
  <c r="EO146" i="2"/>
  <c r="EO198" i="2"/>
  <c r="EO39" i="2"/>
  <c r="EO56" i="2"/>
  <c r="EO96" i="2"/>
  <c r="EO3" i="2"/>
  <c r="C12" i="4" s="1"/>
  <c r="E12" i="4" s="1"/>
  <c r="F12" i="4" s="1"/>
  <c r="G12" i="4" s="1"/>
  <c r="L12" i="4" s="1"/>
  <c r="EO149" i="2"/>
  <c r="EO125" i="2"/>
  <c r="EO185" i="2"/>
  <c r="EO135" i="2"/>
  <c r="EO181" i="2"/>
  <c r="EO169" i="2"/>
  <c r="EO170" i="2"/>
  <c r="EO9" i="2"/>
  <c r="EO45" i="2"/>
  <c r="EO12" i="2"/>
  <c r="EO161" i="2"/>
  <c r="EO166" i="2"/>
  <c r="EO43" i="2"/>
  <c r="EO68" i="2"/>
  <c r="EO59" i="2"/>
  <c r="EO183" i="2"/>
  <c r="EO46" i="2"/>
  <c r="EO75" i="2"/>
  <c r="EO11" i="2"/>
  <c r="EO141" i="2"/>
  <c r="EO123" i="2"/>
  <c r="EO107" i="2"/>
  <c r="EO112" i="2"/>
  <c r="EO156" i="2"/>
  <c r="EO20" i="2"/>
  <c r="EO88" i="2"/>
  <c r="EO159" i="2"/>
  <c r="EO58" i="2"/>
  <c r="EO19" i="2"/>
  <c r="EO7" i="2"/>
  <c r="EO199" i="2"/>
  <c r="EO14" i="2"/>
  <c r="EO66" i="2"/>
  <c r="EO101" i="2"/>
  <c r="EO41" i="2"/>
  <c r="EO21" i="2"/>
  <c r="EO13" i="2"/>
  <c r="EO178" i="2"/>
  <c r="EO172" i="2"/>
  <c r="EO157" i="2"/>
  <c r="EO92" i="2"/>
  <c r="EO182" i="2"/>
  <c r="EO93" i="2"/>
  <c r="EO90" i="2"/>
  <c r="EO163" i="2"/>
  <c r="EO29" i="2"/>
  <c r="EO113" i="2"/>
  <c r="EO4" i="2"/>
  <c r="EO171" i="2"/>
  <c r="EO160" i="2"/>
  <c r="EO114" i="2"/>
  <c r="EO61" i="2"/>
  <c r="EO177" i="2"/>
  <c r="EO102" i="2"/>
  <c r="EO81" i="2"/>
  <c r="EO80" i="2"/>
  <c r="EO167" i="2"/>
  <c r="EO193" i="2"/>
  <c r="EO33" i="2"/>
  <c r="EO86" i="2"/>
  <c r="EO105" i="2"/>
  <c r="EO158" i="2"/>
  <c r="EO78" i="2"/>
  <c r="EO200" i="2"/>
  <c r="EO132" i="2"/>
  <c r="EO67" i="2"/>
  <c r="EO115" i="2"/>
  <c r="EO128" i="2"/>
  <c r="EO117" i="2"/>
  <c r="EO15" i="2"/>
  <c r="EO190" i="2"/>
  <c r="EO18" i="2"/>
  <c r="EO164" i="2"/>
  <c r="EO189" i="2"/>
  <c r="EO57" i="2"/>
  <c r="EO140" i="2"/>
  <c r="EO192" i="2"/>
  <c r="EO124" i="2"/>
  <c r="EO74" i="2"/>
  <c r="EO152" i="2"/>
  <c r="EO98" i="2"/>
  <c r="EO165" i="2"/>
  <c r="EO77" i="2"/>
  <c r="EO40" i="2"/>
  <c r="EO87" i="2"/>
  <c r="EO28" i="2"/>
  <c r="EO84" i="2"/>
  <c r="EO188" i="2"/>
  <c r="EO148" i="2"/>
  <c r="EO47" i="2"/>
  <c r="EO111" i="2"/>
  <c r="EO131" i="2"/>
  <c r="EO139" i="2"/>
  <c r="EO104" i="2"/>
  <c r="EO138" i="2"/>
  <c r="EO191" i="2"/>
  <c r="DT13" i="2"/>
  <c r="DT53" i="2"/>
  <c r="DT116" i="2"/>
  <c r="DT44" i="2"/>
  <c r="DT149" i="2"/>
  <c r="DT70" i="2"/>
  <c r="DT130" i="2"/>
  <c r="DT25" i="2"/>
  <c r="DT101" i="2"/>
  <c r="DT202" i="2"/>
  <c r="DT76" i="2"/>
  <c r="DT36" i="2"/>
  <c r="DT188" i="2"/>
  <c r="DT115" i="2"/>
  <c r="DT177" i="2"/>
  <c r="DT113" i="2"/>
  <c r="DT172" i="2"/>
  <c r="DT182" i="2"/>
  <c r="DT24" i="2"/>
  <c r="DT69" i="2"/>
  <c r="DT176" i="2"/>
  <c r="DT47" i="2"/>
  <c r="DT121" i="2"/>
  <c r="DT143" i="2"/>
  <c r="DT85" i="2"/>
  <c r="DT139" i="2"/>
  <c r="DT160" i="2"/>
  <c r="DT166" i="2"/>
  <c r="DT56" i="2"/>
  <c r="DT111" i="2"/>
  <c r="DT94" i="2"/>
  <c r="DT57" i="2"/>
  <c r="DT123" i="2"/>
  <c r="DT71" i="2"/>
  <c r="DT156" i="2"/>
  <c r="DT32" i="2"/>
  <c r="DT171" i="2"/>
  <c r="DT198" i="2"/>
  <c r="DT63" i="2"/>
  <c r="DT38" i="2"/>
  <c r="DT140" i="2"/>
  <c r="DT148" i="2"/>
  <c r="DT7" i="2"/>
  <c r="DT112" i="2"/>
  <c r="DT114" i="2"/>
  <c r="DT126" i="2"/>
  <c r="DT203" i="2"/>
  <c r="DT49" i="2"/>
  <c r="DT125" i="2"/>
  <c r="DT105" i="2"/>
  <c r="DT33" i="2"/>
  <c r="DT20" i="2"/>
  <c r="DT19" i="2"/>
  <c r="DT133" i="2"/>
  <c r="DT11" i="2"/>
  <c r="DT102" i="2"/>
  <c r="DT5" i="2"/>
  <c r="DT59" i="2"/>
  <c r="DT144" i="2"/>
  <c r="DT22" i="2"/>
  <c r="DT199" i="2"/>
  <c r="DT88" i="2"/>
  <c r="DT15" i="2"/>
  <c r="DT97" i="2"/>
  <c r="DT165" i="2"/>
  <c r="DT173" i="2"/>
  <c r="DT50" i="2"/>
  <c r="DT26" i="2"/>
  <c r="DT6" i="2"/>
  <c r="DT54" i="2"/>
  <c r="DT62" i="2"/>
  <c r="DT118" i="2"/>
  <c r="DT134" i="2"/>
  <c r="DT83" i="2"/>
  <c r="DT128" i="2"/>
  <c r="DT67" i="2"/>
  <c r="DT192" i="2"/>
  <c r="DT146" i="2"/>
  <c r="DT98" i="2"/>
  <c r="DT168" i="2"/>
  <c r="DT48" i="2"/>
  <c r="DT190" i="2"/>
  <c r="DT135" i="2"/>
  <c r="DT31" i="2"/>
  <c r="DT91" i="2"/>
  <c r="DT39" i="2"/>
  <c r="DT21" i="2"/>
  <c r="DT161" i="2"/>
  <c r="DT119" i="2"/>
  <c r="DT164" i="2"/>
  <c r="DT180" i="2"/>
  <c r="DT122" i="2"/>
  <c r="DT181" i="2"/>
  <c r="DT23" i="2"/>
  <c r="DT10" i="2"/>
  <c r="DT9" i="2"/>
  <c r="DT46" i="2"/>
  <c r="DT3" i="2"/>
  <c r="C11" i="4" s="1"/>
  <c r="E11" i="4" s="1"/>
  <c r="F11" i="4" s="1"/>
  <c r="G11" i="4" s="1"/>
  <c r="L11" i="4" s="1"/>
  <c r="DT183" i="2"/>
  <c r="DT108" i="2"/>
  <c r="DT154" i="2"/>
  <c r="DT74" i="2"/>
  <c r="DT42" i="2"/>
  <c r="DT170" i="2"/>
  <c r="DT179" i="2"/>
  <c r="DT167" i="2"/>
  <c r="DT155" i="2"/>
  <c r="DT193" i="2"/>
  <c r="DT141" i="2"/>
  <c r="DT127" i="2"/>
  <c r="DT174" i="2"/>
  <c r="DT151" i="2"/>
  <c r="DT145" i="2"/>
  <c r="DT157" i="2"/>
  <c r="DT95" i="2"/>
  <c r="DT43" i="2"/>
  <c r="DT84" i="2"/>
  <c r="DT100" i="2"/>
  <c r="DT178" i="2"/>
  <c r="DT64" i="2"/>
  <c r="DT136" i="2"/>
  <c r="DT60" i="2"/>
  <c r="DT27" i="2"/>
  <c r="DT79" i="2"/>
  <c r="DT73" i="2"/>
  <c r="DT200" i="2"/>
  <c r="DT159" i="2"/>
  <c r="DT37" i="2"/>
  <c r="DT109" i="2"/>
  <c r="DT201" i="2"/>
  <c r="DT66" i="2"/>
  <c r="DT40" i="2"/>
  <c r="DT80" i="2"/>
  <c r="DT138" i="2"/>
  <c r="DT186" i="2"/>
  <c r="DT51" i="2"/>
  <c r="DT29" i="2"/>
  <c r="DT107" i="2"/>
  <c r="DT169" i="2"/>
  <c r="DT12" i="2"/>
  <c r="DT152" i="2"/>
  <c r="DT194" i="2"/>
  <c r="DT78" i="2"/>
  <c r="DT55" i="2"/>
  <c r="DT104" i="2"/>
  <c r="DT96" i="2"/>
  <c r="DT158" i="2"/>
  <c r="DT72" i="2"/>
  <c r="DT106" i="2"/>
  <c r="DT131" i="2"/>
  <c r="DT35" i="2"/>
  <c r="DT75" i="2"/>
  <c r="DT142" i="2"/>
  <c r="DT61" i="2"/>
  <c r="DT124" i="2"/>
  <c r="DT68" i="2"/>
  <c r="DT58" i="2"/>
  <c r="DT150" i="2"/>
  <c r="DT82" i="2"/>
  <c r="DT28" i="2"/>
  <c r="DT189" i="2"/>
  <c r="DT16" i="2"/>
  <c r="DT45" i="2"/>
  <c r="DT34" i="2"/>
  <c r="DT87" i="2"/>
  <c r="DT92" i="2"/>
  <c r="DT196" i="2"/>
  <c r="DT162" i="2"/>
  <c r="DT185" i="2"/>
  <c r="DT191" i="2"/>
  <c r="DT4" i="2"/>
  <c r="DT110" i="2"/>
  <c r="DT14" i="2"/>
  <c r="DT89" i="2"/>
  <c r="DT117" i="2"/>
  <c r="DT187" i="2"/>
  <c r="DT137" i="2"/>
  <c r="DT41" i="2"/>
  <c r="DT17" i="2"/>
  <c r="DT184" i="2"/>
  <c r="DT81" i="2"/>
  <c r="DT8" i="2"/>
  <c r="DT132" i="2"/>
  <c r="DT103" i="2"/>
  <c r="DT129" i="2"/>
  <c r="DT86" i="2"/>
  <c r="DT120" i="2"/>
  <c r="DT197" i="2"/>
  <c r="DT147" i="2"/>
  <c r="DT30" i="2"/>
  <c r="DT65" i="2"/>
  <c r="DT175" i="2"/>
  <c r="DT99" i="2"/>
  <c r="DT77" i="2"/>
  <c r="DT18" i="2"/>
  <c r="DT52" i="2"/>
  <c r="DT163" i="2"/>
  <c r="DT195" i="2"/>
  <c r="DT93" i="2"/>
  <c r="DT90" i="2"/>
  <c r="DT153" i="2"/>
  <c r="FJ141" i="2"/>
  <c r="FJ29" i="2"/>
  <c r="FJ91" i="2"/>
  <c r="FJ119" i="2"/>
  <c r="FJ4" i="2"/>
  <c r="FJ67" i="2"/>
  <c r="FJ93" i="2"/>
  <c r="FJ185" i="2"/>
  <c r="FJ71" i="2"/>
  <c r="FJ146" i="2"/>
  <c r="FJ73" i="2"/>
  <c r="FJ132" i="2"/>
  <c r="FJ97" i="2"/>
  <c r="FJ34" i="2"/>
  <c r="FJ39" i="2"/>
  <c r="FJ173" i="2"/>
  <c r="FJ168" i="2"/>
  <c r="FJ162" i="2"/>
  <c r="FJ48" i="2"/>
  <c r="FJ28" i="2"/>
  <c r="FJ153" i="2"/>
  <c r="FJ115" i="2"/>
  <c r="FJ96" i="2"/>
  <c r="FJ30" i="2"/>
  <c r="FJ95" i="2"/>
  <c r="FJ40" i="2"/>
  <c r="FJ53" i="2"/>
  <c r="FJ154" i="2"/>
  <c r="FJ164" i="2"/>
  <c r="FJ130" i="2"/>
  <c r="FJ46" i="2"/>
  <c r="FJ11" i="2"/>
  <c r="FJ21" i="2"/>
  <c r="FJ65" i="2"/>
  <c r="FJ108" i="2"/>
  <c r="FJ103" i="2"/>
  <c r="FJ72" i="2"/>
  <c r="FJ178" i="2"/>
  <c r="FJ51" i="2"/>
  <c r="FJ41" i="2"/>
  <c r="FJ54" i="2"/>
  <c r="FJ24" i="2"/>
  <c r="FJ165" i="2"/>
  <c r="FJ124" i="2"/>
  <c r="FJ196" i="2"/>
  <c r="FJ166" i="2"/>
  <c r="FJ78" i="2"/>
  <c r="FJ35" i="2"/>
  <c r="FJ155" i="2"/>
  <c r="FJ92" i="2"/>
  <c r="FJ61" i="2"/>
  <c r="FJ50" i="2"/>
  <c r="FJ76" i="2"/>
  <c r="FJ111" i="2"/>
  <c r="FJ191" i="2"/>
  <c r="FJ186" i="2"/>
  <c r="FJ32" i="2"/>
  <c r="FJ203" i="2"/>
  <c r="FJ157" i="2"/>
  <c r="FJ131" i="2"/>
  <c r="FJ118" i="2"/>
  <c r="FJ90" i="2"/>
  <c r="FJ59" i="2"/>
  <c r="FJ149" i="2"/>
  <c r="FJ125" i="2"/>
  <c r="FJ5" i="2"/>
  <c r="FJ64" i="2"/>
  <c r="FJ62" i="2"/>
  <c r="FJ202" i="2"/>
  <c r="FJ38" i="2"/>
  <c r="FJ42" i="2"/>
  <c r="FJ23" i="2"/>
  <c r="FJ82" i="2"/>
  <c r="FJ104" i="2"/>
  <c r="FJ120" i="2"/>
  <c r="FJ37" i="2"/>
  <c r="FJ200" i="2"/>
  <c r="FJ148" i="2"/>
  <c r="FJ47" i="2"/>
  <c r="FJ44" i="2"/>
  <c r="FJ171" i="2"/>
  <c r="FJ192" i="2"/>
  <c r="FJ113" i="2"/>
  <c r="FJ163" i="2"/>
  <c r="FJ74" i="2"/>
  <c r="FJ16" i="2"/>
  <c r="FJ181" i="2"/>
  <c r="FJ18" i="2"/>
  <c r="FJ121" i="2"/>
  <c r="FJ88" i="2"/>
  <c r="FJ79" i="2"/>
  <c r="FJ198" i="2"/>
  <c r="FJ182" i="2"/>
  <c r="FJ183" i="2"/>
  <c r="FJ133" i="2"/>
  <c r="FJ145" i="2"/>
  <c r="FJ19" i="2"/>
  <c r="FJ128" i="2"/>
  <c r="FJ80" i="2"/>
  <c r="FJ195" i="2"/>
  <c r="FJ15" i="2"/>
  <c r="FJ87" i="2"/>
  <c r="FJ8" i="2"/>
  <c r="FJ189" i="2"/>
  <c r="FJ36" i="2"/>
  <c r="FJ175" i="2"/>
  <c r="FJ158" i="2"/>
  <c r="FJ180" i="2"/>
  <c r="FJ151" i="2"/>
  <c r="FJ17" i="2"/>
  <c r="FJ169" i="2"/>
  <c r="FJ57" i="2"/>
  <c r="FJ6" i="2"/>
  <c r="FJ98" i="2"/>
  <c r="FJ66" i="2"/>
  <c r="FJ70" i="2"/>
  <c r="FJ152" i="2"/>
  <c r="FJ7" i="2"/>
  <c r="FJ60" i="2"/>
  <c r="FJ75" i="2"/>
  <c r="FJ43" i="2"/>
  <c r="FJ26" i="2"/>
  <c r="FJ112" i="2"/>
  <c r="FJ129" i="2"/>
  <c r="FJ190" i="2"/>
  <c r="FJ86" i="2"/>
  <c r="FJ56" i="2"/>
  <c r="FJ77" i="2"/>
  <c r="FJ100" i="2"/>
  <c r="FJ109" i="2"/>
  <c r="FJ176" i="2"/>
  <c r="FJ194" i="2"/>
  <c r="FJ12" i="2"/>
  <c r="FJ161" i="2"/>
  <c r="FJ139" i="2"/>
  <c r="FJ101" i="2"/>
  <c r="FJ122" i="2"/>
  <c r="FJ167" i="2"/>
  <c r="FJ13" i="2"/>
  <c r="FJ201" i="2"/>
  <c r="FJ63" i="2"/>
  <c r="FJ135" i="2"/>
  <c r="FJ144" i="2"/>
  <c r="FJ188" i="2"/>
  <c r="FJ27" i="2"/>
  <c r="FJ14" i="2"/>
  <c r="FJ9" i="2"/>
  <c r="FJ184" i="2"/>
  <c r="FJ150" i="2"/>
  <c r="FJ107" i="2"/>
  <c r="FJ22" i="2"/>
  <c r="FJ114" i="2"/>
  <c r="FJ179" i="2"/>
  <c r="FJ126" i="2"/>
  <c r="FJ83" i="2"/>
  <c r="FJ69" i="2"/>
  <c r="FJ177" i="2"/>
  <c r="FJ3" i="2"/>
  <c r="C13" i="4" s="1"/>
  <c r="E13" i="4" s="1"/>
  <c r="F13" i="4" s="1"/>
  <c r="G13" i="4" s="1"/>
  <c r="L13" i="4" s="1"/>
  <c r="FJ102" i="2"/>
  <c r="FJ187" i="2"/>
  <c r="FJ193" i="2"/>
  <c r="FJ134" i="2"/>
  <c r="FJ106" i="2"/>
  <c r="FJ110" i="2"/>
  <c r="FJ137" i="2"/>
  <c r="FJ116" i="2"/>
  <c r="FJ142" i="2"/>
  <c r="FJ45" i="2"/>
  <c r="FJ31" i="2"/>
  <c r="FJ10" i="2"/>
  <c r="FJ160" i="2"/>
  <c r="FJ33" i="2"/>
  <c r="FJ49" i="2"/>
  <c r="FJ99" i="2"/>
  <c r="FJ94" i="2"/>
  <c r="FJ25" i="2"/>
  <c r="FJ197" i="2"/>
  <c r="FJ89" i="2"/>
  <c r="FJ143" i="2"/>
  <c r="FJ20" i="2"/>
  <c r="FJ156" i="2"/>
  <c r="FJ140" i="2"/>
  <c r="FJ138" i="2"/>
  <c r="FJ123" i="2"/>
  <c r="FJ68" i="2"/>
  <c r="FJ172" i="2"/>
  <c r="FJ159" i="2"/>
  <c r="FJ52" i="2"/>
  <c r="FJ174" i="2"/>
  <c r="FJ170" i="2"/>
  <c r="FJ147" i="2"/>
  <c r="FJ81" i="2"/>
  <c r="FJ105" i="2"/>
  <c r="FJ85" i="2"/>
  <c r="FJ127" i="2"/>
  <c r="FJ55" i="2"/>
  <c r="FJ199" i="2"/>
  <c r="FJ84" i="2"/>
  <c r="FJ117" i="2"/>
  <c r="FJ136" i="2"/>
  <c r="FJ58" i="2"/>
  <c r="AN203" i="2"/>
  <c r="AN97" i="2"/>
  <c r="AN37" i="2"/>
  <c r="AN176" i="2"/>
  <c r="AN17" i="2"/>
  <c r="AN109" i="2"/>
  <c r="AN74" i="2"/>
  <c r="AN196" i="2"/>
  <c r="AN76" i="2"/>
  <c r="AN113" i="2"/>
  <c r="AN57" i="2"/>
  <c r="AN120" i="2"/>
  <c r="AN167" i="2"/>
  <c r="AN59" i="2"/>
  <c r="AN94" i="2"/>
  <c r="AN172" i="2"/>
  <c r="AN181" i="2"/>
  <c r="AN81" i="2"/>
  <c r="AN165" i="2"/>
  <c r="AN92" i="2"/>
  <c r="AN82" i="2"/>
  <c r="AN125" i="2"/>
  <c r="AN54" i="2"/>
  <c r="AN146" i="2"/>
  <c r="AN90" i="2"/>
  <c r="AN147" i="2"/>
  <c r="AN77" i="2"/>
  <c r="AN64" i="2"/>
  <c r="AN69" i="2"/>
  <c r="AN171" i="2"/>
  <c r="AN122" i="2"/>
  <c r="AN7" i="2"/>
  <c r="AN148" i="2"/>
  <c r="AN117" i="2"/>
  <c r="AN182" i="2"/>
  <c r="AN110" i="2"/>
  <c r="AN137" i="2"/>
  <c r="AN193" i="2"/>
  <c r="AN51" i="2"/>
  <c r="AN18" i="2"/>
  <c r="AN107" i="2"/>
  <c r="AN195" i="2"/>
  <c r="AN190" i="2"/>
  <c r="AN49" i="2"/>
  <c r="AN55" i="2"/>
  <c r="AN3" i="2"/>
  <c r="C7" i="4" s="1"/>
  <c r="E7" i="4" s="1"/>
  <c r="F7" i="4" s="1"/>
  <c r="G7" i="4" s="1"/>
  <c r="L7" i="4" s="1"/>
  <c r="AN183" i="2"/>
  <c r="AN185" i="2"/>
  <c r="AN88" i="2"/>
  <c r="AN83" i="2"/>
  <c r="AN73" i="2"/>
  <c r="AN39" i="2"/>
  <c r="AN53" i="2"/>
  <c r="AN100" i="2"/>
  <c r="AN175" i="2"/>
  <c r="AN62" i="2"/>
  <c r="AN105" i="2"/>
  <c r="AN121" i="2"/>
  <c r="AN188" i="2"/>
  <c r="AN124" i="2"/>
  <c r="AN20" i="2"/>
  <c r="AN47" i="2"/>
  <c r="AN96" i="2"/>
  <c r="AN104" i="2"/>
  <c r="AN56" i="2"/>
  <c r="AN136" i="2"/>
  <c r="AN140" i="2"/>
  <c r="AN58" i="2"/>
  <c r="AN145" i="2"/>
  <c r="AN108" i="2"/>
  <c r="AN72" i="2"/>
  <c r="AN19" i="2"/>
  <c r="AN200" i="2"/>
  <c r="AN194" i="2"/>
  <c r="AN12" i="2"/>
  <c r="AN186" i="2"/>
  <c r="AN134" i="2"/>
  <c r="AN33" i="2"/>
  <c r="AN132" i="2"/>
  <c r="AN31" i="2"/>
  <c r="AN91" i="2"/>
  <c r="AN103" i="2"/>
  <c r="AN198" i="2"/>
  <c r="AN173" i="2"/>
  <c r="AN142" i="2"/>
  <c r="AN66" i="2"/>
  <c r="AN35" i="2"/>
  <c r="AN111" i="2"/>
  <c r="AN155" i="2"/>
  <c r="AN179" i="2"/>
  <c r="AN40" i="2"/>
  <c r="AN154" i="2"/>
  <c r="AN80" i="2"/>
  <c r="AN16" i="2"/>
  <c r="AN101" i="2"/>
  <c r="AN21" i="2"/>
  <c r="AN112" i="2"/>
  <c r="AN14" i="2"/>
  <c r="AN158" i="2"/>
  <c r="AN32" i="2"/>
  <c r="AN10" i="2"/>
  <c r="AN187" i="2"/>
  <c r="AN166" i="2"/>
  <c r="AN184" i="2"/>
  <c r="AN163" i="2"/>
  <c r="AN68" i="2"/>
  <c r="AN118" i="2"/>
  <c r="AN23" i="2"/>
  <c r="AN116" i="2"/>
  <c r="AN135" i="2"/>
  <c r="AN27" i="2"/>
  <c r="AN156" i="2"/>
  <c r="AN70" i="2"/>
  <c r="AN180" i="2"/>
  <c r="AN131" i="2"/>
  <c r="AN28" i="2"/>
  <c r="AN202" i="2"/>
  <c r="AN159" i="2"/>
  <c r="AN168" i="2"/>
  <c r="AN115" i="2"/>
  <c r="AN60" i="2"/>
  <c r="AN177" i="2"/>
  <c r="AN119" i="2"/>
  <c r="AN78" i="2"/>
  <c r="AN30" i="2"/>
  <c r="AN149" i="2"/>
  <c r="AN178" i="2"/>
  <c r="AN36" i="2"/>
  <c r="AN102" i="2"/>
  <c r="AN87" i="2"/>
  <c r="AN71" i="2"/>
  <c r="AN128" i="2"/>
  <c r="AN129" i="2"/>
  <c r="AN43" i="2"/>
  <c r="AN67" i="2"/>
  <c r="AN157" i="2"/>
  <c r="AN138" i="2"/>
  <c r="AN199" i="2"/>
  <c r="AN15" i="2"/>
  <c r="AN41" i="2"/>
  <c r="AN130" i="2"/>
  <c r="AN86" i="2"/>
  <c r="AN13" i="2"/>
  <c r="AN170" i="2"/>
  <c r="AN191" i="2"/>
  <c r="AN99" i="2"/>
  <c r="AN85" i="2"/>
  <c r="AN63" i="2"/>
  <c r="AN11" i="2"/>
  <c r="AN161" i="2"/>
  <c r="AN160" i="2"/>
  <c r="AN38" i="2"/>
  <c r="AN52" i="2"/>
  <c r="AN162" i="2"/>
  <c r="AN169" i="2"/>
  <c r="AN197" i="2"/>
  <c r="AN44" i="2"/>
  <c r="AN106" i="2"/>
  <c r="AN4" i="2"/>
  <c r="AN133" i="2"/>
  <c r="AN164" i="2"/>
  <c r="AN50" i="2"/>
  <c r="AN5" i="2"/>
  <c r="AN143" i="2"/>
  <c r="AN75" i="2"/>
  <c r="AN8" i="2"/>
  <c r="AN192" i="2"/>
  <c r="AN89" i="2"/>
  <c r="AN201" i="2"/>
  <c r="AN34" i="2"/>
  <c r="AN127" i="2"/>
  <c r="AN144" i="2"/>
  <c r="AN123" i="2"/>
  <c r="AN84" i="2"/>
  <c r="AN29" i="2"/>
  <c r="AN6" i="2"/>
  <c r="AN150" i="2"/>
  <c r="AN79" i="2"/>
  <c r="AN152" i="2"/>
  <c r="AN153" i="2"/>
  <c r="AN65" i="2"/>
  <c r="AN93" i="2"/>
  <c r="AN9" i="2"/>
  <c r="AN26" i="2"/>
  <c r="AN174" i="2"/>
  <c r="AN139" i="2"/>
  <c r="AN98" i="2"/>
  <c r="AN25" i="2"/>
  <c r="AN126" i="2"/>
  <c r="AN151" i="2"/>
  <c r="AN48" i="2"/>
  <c r="AN189" i="2"/>
  <c r="AN24" i="2"/>
  <c r="AN61" i="2"/>
  <c r="AN42" i="2"/>
  <c r="AN141" i="2"/>
  <c r="AN45" i="2"/>
  <c r="AN46" i="2"/>
  <c r="AN114" i="2"/>
  <c r="AN22" i="2"/>
  <c r="AN95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88" i="2"/>
  <c r="BI46" i="2"/>
  <c r="BI194" i="2"/>
  <c r="BI48" i="2"/>
  <c r="BI182" i="2"/>
  <c r="BI28" i="2"/>
  <c r="BI41" i="2"/>
  <c r="BI156" i="2"/>
  <c r="BI105" i="2"/>
  <c r="BI173" i="2"/>
  <c r="BI152" i="2"/>
  <c r="BI146" i="2"/>
  <c r="BI50" i="2"/>
  <c r="BI85" i="2"/>
  <c r="BI24" i="2"/>
  <c r="BI192" i="2"/>
  <c r="BI3" i="2"/>
  <c r="C8" i="4" s="1"/>
  <c r="E8" i="4" s="1"/>
  <c r="F8" i="4" s="1"/>
  <c r="G8" i="4" s="1"/>
  <c r="L8" i="4" s="1"/>
  <c r="BI10" i="2"/>
  <c r="BI34" i="2"/>
  <c r="BI59" i="2"/>
  <c r="BI116" i="2"/>
  <c r="BI96" i="2"/>
  <c r="BI114" i="2"/>
  <c r="BI130" i="2"/>
  <c r="BI43" i="2"/>
  <c r="BI29" i="2"/>
  <c r="BI185" i="2"/>
  <c r="BI42" i="2"/>
  <c r="BI129" i="2"/>
  <c r="BI4" i="2"/>
  <c r="BI13" i="2"/>
  <c r="BI122" i="2"/>
  <c r="BI69" i="2"/>
  <c r="BI25" i="2"/>
  <c r="BI143" i="2"/>
  <c r="BI170" i="2"/>
  <c r="BI109" i="2"/>
  <c r="BI9" i="2"/>
  <c r="BI151" i="2"/>
  <c r="BI175" i="2"/>
  <c r="BI60" i="2"/>
  <c r="BI7" i="2"/>
  <c r="BI136" i="2"/>
  <c r="BI66" i="2"/>
  <c r="BI198" i="2"/>
  <c r="BI168" i="2"/>
  <c r="BI95" i="2"/>
  <c r="BI196" i="2"/>
  <c r="BI38" i="2"/>
  <c r="BI23" i="2"/>
  <c r="BI99" i="2"/>
  <c r="BI148" i="2"/>
  <c r="BI70" i="2"/>
  <c r="BI62" i="2"/>
  <c r="BI51" i="2"/>
  <c r="BI153" i="2"/>
  <c r="BI98" i="2"/>
  <c r="BI57" i="2"/>
  <c r="BI139" i="2"/>
  <c r="BI134" i="2"/>
  <c r="BI172" i="2"/>
  <c r="BI183" i="2"/>
  <c r="BI91" i="2"/>
  <c r="BI178" i="2"/>
  <c r="BI169" i="2"/>
  <c r="BI61" i="2"/>
  <c r="BI92" i="2"/>
  <c r="BI27" i="2"/>
  <c r="BI123" i="2"/>
  <c r="BI72" i="2"/>
  <c r="BI78" i="2"/>
  <c r="BI20" i="2"/>
  <c r="BI5" i="2"/>
  <c r="BI82" i="2"/>
  <c r="BI184" i="2"/>
  <c r="BI12" i="2"/>
  <c r="BI115" i="2"/>
  <c r="BI16" i="2"/>
  <c r="BI64" i="2"/>
  <c r="BI119" i="2"/>
  <c r="BI127" i="2"/>
  <c r="BI90" i="2"/>
  <c r="BI157" i="2"/>
  <c r="BI79" i="2"/>
  <c r="BI197" i="2"/>
  <c r="BI58" i="2"/>
  <c r="BI30" i="2"/>
  <c r="BI201" i="2"/>
  <c r="BI104" i="2"/>
  <c r="BI68" i="2"/>
  <c r="BI177" i="2"/>
  <c r="BI73" i="2"/>
  <c r="BI165" i="2"/>
  <c r="BI171" i="2"/>
  <c r="BI40" i="2"/>
  <c r="BI199" i="2"/>
  <c r="BI101" i="2"/>
  <c r="BI200" i="2"/>
  <c r="BI103" i="2"/>
  <c r="BI167" i="2"/>
  <c r="BI160" i="2"/>
  <c r="BI100" i="2"/>
  <c r="BI77" i="2"/>
  <c r="BI142" i="2"/>
  <c r="BI8" i="2"/>
  <c r="BI112" i="2"/>
  <c r="BI138" i="2"/>
  <c r="BI125" i="2"/>
  <c r="BI195" i="2"/>
  <c r="BI97" i="2"/>
  <c r="BI35" i="2"/>
  <c r="BI141" i="2"/>
  <c r="BI186" i="2"/>
  <c r="BI190" i="2"/>
  <c r="BI53" i="2"/>
  <c r="BI39" i="2"/>
  <c r="BI54" i="2"/>
  <c r="BI102" i="2"/>
  <c r="BI76" i="2"/>
  <c r="BI149" i="2"/>
  <c r="BI71" i="2"/>
  <c r="BI6" i="2"/>
  <c r="BI188" i="2"/>
  <c r="BI191" i="2"/>
  <c r="BI94" i="2"/>
  <c r="BI22" i="2"/>
  <c r="BI15" i="2"/>
  <c r="BI33" i="2"/>
  <c r="BI162" i="2"/>
  <c r="BI154" i="2"/>
  <c r="BI37" i="2"/>
  <c r="BI126" i="2"/>
  <c r="BI63" i="2"/>
  <c r="BI202" i="2"/>
  <c r="BI83" i="2"/>
  <c r="BI56" i="2"/>
  <c r="BI17" i="2"/>
  <c r="BI128" i="2"/>
  <c r="BI44" i="2"/>
  <c r="BI161" i="2"/>
  <c r="BI87" i="2"/>
  <c r="BI84" i="2"/>
  <c r="BI158" i="2"/>
  <c r="BI26" i="2"/>
  <c r="BI137" i="2"/>
  <c r="BI106" i="2"/>
  <c r="BI189" i="2"/>
  <c r="BI89" i="2"/>
  <c r="BI180" i="2"/>
  <c r="BI55" i="2"/>
  <c r="BI67" i="2"/>
  <c r="BI135" i="2"/>
  <c r="BI131" i="2"/>
  <c r="BI118" i="2"/>
  <c r="BI155" i="2"/>
  <c r="BI166" i="2"/>
  <c r="BI75" i="2"/>
  <c r="BI31" i="2"/>
  <c r="BI179" i="2"/>
  <c r="BI164" i="2"/>
  <c r="BI144" i="2"/>
  <c r="BI21" i="2"/>
  <c r="BI187" i="2"/>
  <c r="BI14" i="2"/>
  <c r="BI52" i="2"/>
  <c r="BI150" i="2"/>
  <c r="BI159" i="2"/>
  <c r="BI147" i="2"/>
  <c r="BI176" i="2"/>
  <c r="BI193" i="2"/>
  <c r="BI121" i="2"/>
  <c r="BI110" i="2"/>
  <c r="BI45" i="2"/>
  <c r="BI113" i="2"/>
  <c r="BI163" i="2"/>
  <c r="BI132" i="2"/>
  <c r="BI86" i="2"/>
  <c r="BI133" i="2"/>
  <c r="BI174" i="2"/>
  <c r="BI124" i="2"/>
  <c r="BI111" i="2"/>
  <c r="BI140" i="2"/>
  <c r="BI108" i="2"/>
  <c r="BI117" i="2"/>
  <c r="BI18" i="2"/>
  <c r="BI74" i="2"/>
  <c r="BI93" i="2"/>
  <c r="BI181" i="2"/>
  <c r="BI49" i="2"/>
  <c r="BI32" i="2"/>
  <c r="BI36" i="2"/>
  <c r="BI11" i="2"/>
  <c r="BI203" i="2"/>
  <c r="BI81" i="2"/>
  <c r="BI65" i="2"/>
  <c r="BI145" i="2"/>
  <c r="BI19" i="2"/>
  <c r="BI80" i="2"/>
  <c r="BI107" i="2"/>
  <c r="BI12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<sst xmlns="http://schemas.openxmlformats.org/spreadsheetml/2006/main" count="1177" uniqueCount="324">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</sst>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2.4669668198003851</c:v>
                </c:pt>
                <c:pt idx="2">
                  <c:v>3.2256996893643675</c:v>
                </c:pt>
                <c:pt idx="3">
                  <c:v>4.2187317469501098</c:v>
                </c:pt>
                <c:pt idx="4">
                  <c:v>5.5186903642443035</c:v>
                </c:pt>
                <c:pt idx="5">
                  <c:v>7.2207953947169168</c:v>
                </c:pt>
                <c:pt idx="6">
                  <c:v>9.4499100940166461</c:v>
                </c:pt>
                <c:pt idx="7">
                  <c:v>12.369799182674292</c:v>
                </c:pt>
                <c:pt idx="8">
                  <c:v>16.195286845201924</c:v>
                </c:pt>
                <c:pt idx="9">
                  <c:v>21.208225460385457</c:v>
                </c:pt>
                <c:pt idx="10">
                  <c:v>27.778472610592804</c:v>
                </c:pt>
                <c:pt idx="11">
                  <c:v>36.391451149985244</c:v>
                </c:pt>
                <c:pt idx="12">
                  <c:v>47.684363427751713</c:v>
                </c:pt>
                <c:pt idx="13">
                  <c:v>62.493783827543389</c:v>
                </c:pt>
                <c:pt idx="14">
                  <c:v>81.918213196121869</c:v>
                </c:pt>
                <c:pt idx="15">
                  <c:v>107.40030981071855</c:v>
                </c:pt>
                <c:pt idx="16">
                  <c:v>78.012881309795674</c:v>
                </c:pt>
                <c:pt idx="17">
                  <c:v>100.31646113802792</c:v>
                </c:pt>
                <c:pt idx="18">
                  <c:v>122.49645924610253</c:v>
                </c:pt>
                <c:pt idx="19">
                  <c:v>144.57852045501949</c:v>
                </c:pt>
                <c:pt idx="20">
                  <c:v>166.57974956981323</c:v>
                </c:pt>
                <c:pt idx="21">
                  <c:v>134.34850957742924</c:v>
                </c:pt>
                <c:pt idx="22">
                  <c:v>157.97933796889382</c:v>
                </c:pt>
                <c:pt idx="23">
                  <c:v>181.52619054784418</c:v>
                </c:pt>
                <c:pt idx="24">
                  <c:v>205.0015053728589</c:v>
                </c:pt>
                <c:pt idx="25">
                  <c:v>228.41463048777476</c:v>
                </c:pt>
                <c:pt idx="26">
                  <c:v>195.49245385292792</c:v>
                </c:pt>
                <c:pt idx="27">
                  <c:v>217.98082037329846</c:v>
                </c:pt>
                <c:pt idx="28">
                  <c:v>240.41585018926619</c:v>
                </c:pt>
                <c:pt idx="29">
                  <c:v>262.80321996128214</c:v>
                </c:pt>
                <c:pt idx="30">
                  <c:v>285.14755944378322</c:v>
                </c:pt>
                <c:pt idx="31">
                  <c:v>250.19618568369199</c:v>
                </c:pt>
                <c:pt idx="32">
                  <c:v>270.36084436950489</c:v>
                </c:pt>
                <c:pt idx="33">
                  <c:v>290.4916672508881</c:v>
                </c:pt>
                <c:pt idx="34">
                  <c:v>310.59132815273165</c:v>
                </c:pt>
                <c:pt idx="35">
                  <c:v>330.66212656242288</c:v>
                </c:pt>
                <c:pt idx="36">
                  <c:v>293.6342310126339</c:v>
                </c:pt>
                <c:pt idx="37">
                  <c:v>311.53277495970798</c:v>
                </c:pt>
                <c:pt idx="38">
                  <c:v>329.40850810618275</c:v>
                </c:pt>
                <c:pt idx="39">
                  <c:v>347.26284215565846</c:v>
                </c:pt>
                <c:pt idx="40">
                  <c:v>365.09703181844549</c:v>
                </c:pt>
                <c:pt idx="41">
                  <c:v>325.64701898414177</c:v>
                </c:pt>
                <c:pt idx="42">
                  <c:v>341.00051892831283</c:v>
                </c:pt>
                <c:pt idx="43">
                  <c:v>356.33882114313155</c:v>
                </c:pt>
                <c:pt idx="44">
                  <c:v>371.6626718429784</c:v>
                </c:pt>
                <c:pt idx="45">
                  <c:v>386.97275069119183</c:v>
                </c:pt>
                <c:pt idx="46">
                  <c:v>362.90791424748937</c:v>
                </c:pt>
                <c:pt idx="47">
                  <c:v>376.35086351579019</c:v>
                </c:pt>
                <c:pt idx="48">
                  <c:v>389.78335896423386</c:v>
                </c:pt>
                <c:pt idx="49">
                  <c:v>403.20581160192484</c:v>
                </c:pt>
                <c:pt idx="50">
                  <c:v>416.61860284059549</c:v>
                </c:pt>
                <c:pt idx="51">
                  <c:v>398.52467686288401</c:v>
                </c:pt>
                <c:pt idx="52">
                  <c:v>410.06935400448907</c:v>
                </c:pt>
                <c:pt idx="53">
                  <c:v>421.60701499488988</c:v>
                </c:pt>
                <c:pt idx="54">
                  <c:v>433.13787892530354</c:v>
                </c:pt>
                <c:pt idx="55">
                  <c:v>444.66215226871259</c:v>
                </c:pt>
                <c:pt idx="56">
                  <c:v>429.39887113927824</c:v>
                </c:pt>
                <c:pt idx="57">
                  <c:v>439.05655970073695</c:v>
                </c:pt>
                <c:pt idx="58">
                  <c:v>448.70969327309916</c:v>
                </c:pt>
                <c:pt idx="59">
                  <c:v>458.35838369213019</c:v>
                </c:pt>
                <c:pt idx="60">
                  <c:v>468.00273769986558</c:v>
                </c:pt>
                <c:pt idx="61">
                  <c:v>454.31269266448368</c:v>
                </c:pt>
                <c:pt idx="62">
                  <c:v>462.40331218251168</c:v>
                </c:pt>
                <c:pt idx="63">
                  <c:v>470.49091188062221</c:v>
                </c:pt>
                <c:pt idx="64">
                  <c:v>478.57555101045637</c:v>
                </c:pt>
                <c:pt idx="65">
                  <c:v>486.65728665769001</c:v>
                </c:pt>
                <c:pt idx="66">
                  <c:v>473.60073566758007</c:v>
                </c:pt>
                <c:pt idx="67">
                  <c:v>480.75168621261065</c:v>
                </c:pt>
                <c:pt idx="68">
                  <c:v>487.90037643155364</c:v>
                </c:pt>
                <c:pt idx="69">
                  <c:v>495.04684412923598</c:v>
                </c:pt>
                <c:pt idx="70">
                  <c:v>502.19112592946141</c:v>
                </c:pt>
                <c:pt idx="71">
                  <c:v>488.52189609916542</c:v>
                </c:pt>
                <c:pt idx="72">
                  <c:v>495.04684412923598</c:v>
                </c:pt>
                <c:pt idx="73">
                  <c:v>501.56996990242982</c:v>
                </c:pt>
                <c:pt idx="74">
                  <c:v>508.09130047272885</c:v>
                </c:pt>
                <c:pt idx="75">
                  <c:v>514.61086214265538</c:v>
                </c:pt>
                <c:pt idx="76">
                  <c:v>501.56996990242982</c:v>
                </c:pt>
                <c:pt idx="77">
                  <c:v>507.15979072537579</c:v>
                </c:pt>
                <c:pt idx="78">
                  <c:v>512.74830923215643</c:v>
                </c:pt>
                <c:pt idx="79">
                  <c:v>518.33554162748942</c:v>
                </c:pt>
                <c:pt idx="80">
                  <c:v>523.92150373805168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2.6689104183509347</c:v>
                </c:pt>
                <c:pt idx="2">
                  <c:v>3.4899830590683352</c:v>
                </c:pt>
                <c:pt idx="3">
                  <c:v>4.5646726825905164</c:v>
                </c:pt>
                <c:pt idx="4">
                  <c:v>5.9716141615574472</c:v>
                </c:pt>
                <c:pt idx="5">
                  <c:v>7.8139092335961218</c:v>
                </c:pt>
                <c:pt idx="6">
                  <c:v>10.226764012784757</c:v>
                </c:pt>
                <c:pt idx="7">
                  <c:v>13.387517725469587</c:v>
                </c:pt>
                <c:pt idx="8">
                  <c:v>17.528813377583827</c:v>
                </c:pt>
                <c:pt idx="9">
                  <c:v>22.955897322390214</c:v>
                </c:pt>
                <c:pt idx="10">
                  <c:v>30.069345481461834</c:v>
                </c:pt>
                <c:pt idx="11">
                  <c:v>39.394922830832961</c:v>
                </c:pt>
                <c:pt idx="12">
                  <c:v>51.622820709160315</c:v>
                </c:pt>
                <c:pt idx="13">
                  <c:v>67.659224368464649</c:v>
                </c:pt>
                <c:pt idx="14">
                  <c:v>88.69409474214649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2.7193115141557311</c:v>
                </c:pt>
                <c:pt idx="2">
                  <c:v>3.5559454568361653</c:v>
                </c:pt>
                <c:pt idx="3">
                  <c:v>4.6510192406473019</c:v>
                </c:pt>
                <c:pt idx="4">
                  <c:v>6.0846677762653014</c:v>
                </c:pt>
                <c:pt idx="5">
                  <c:v>7.9619609229961332</c:v>
                </c:pt>
                <c:pt idx="6">
                  <c:v>10.420687505232264</c:v>
                </c:pt>
                <c:pt idx="7">
                  <c:v>13.641576533971696</c:v>
                </c:pt>
                <c:pt idx="8">
                  <c:v>17.861720807718925</c:v>
                </c:pt>
                <c:pt idx="9">
                  <c:v>23.392208891031569</c:v>
                </c:pt>
                <c:pt idx="10">
                  <c:v>30.641288256631608</c:v>
                </c:pt>
                <c:pt idx="11">
                  <c:v>40.14479913782214</c:v>
                </c:pt>
                <c:pt idx="12">
                  <c:v>52.606166983560222</c:v>
                </c:pt>
                <c:pt idx="13">
                  <c:v>68.948962963662908</c:v>
                </c:pt>
                <c:pt idx="14">
                  <c:v>90.385991550742531</c:v>
                </c:pt>
                <c:pt idx="15">
                  <c:v>118.51011399861339</c:v>
                </c:pt>
                <c:pt idx="16">
                  <c:v>86.075914671005776</c:v>
                </c:pt>
                <c:pt idx="17">
                  <c:v>110.69162732463077</c:v>
                </c:pt>
                <c:pt idx="18">
                  <c:v>135.17221080393281</c:v>
                </c:pt>
                <c:pt idx="19">
                  <c:v>159.54570617746938</c:v>
                </c:pt>
                <c:pt idx="20">
                  <c:v>183.83081652024472</c:v>
                </c:pt>
                <c:pt idx="21">
                  <c:v>148.25402389766143</c:v>
                </c:pt>
                <c:pt idx="22">
                  <c:v>174.33753126581527</c:v>
                </c:pt>
                <c:pt idx="23">
                  <c:v>200.32921613632394</c:v>
                </c:pt>
                <c:pt idx="24">
                  <c:v>226.24267877776924</c:v>
                </c:pt>
                <c:pt idx="25">
                  <c:v>252.08814071355724</c:v>
                </c:pt>
                <c:pt idx="26">
                  <c:v>215.74593348274445</c:v>
                </c:pt>
                <c:pt idx="27">
                  <c:v>240.57031057620057</c:v>
                </c:pt>
                <c:pt idx="28">
                  <c:v>265.33636719298863</c:v>
                </c:pt>
                <c:pt idx="29">
                  <c:v>290.05031041971233</c:v>
                </c:pt>
                <c:pt idx="30">
                  <c:v>314.7172026142477</c:v>
                </c:pt>
                <c:pt idx="31">
                  <c:v>276.13305084516702</c:v>
                </c:pt>
                <c:pt idx="32">
                  <c:v>298.39345366223546</c:v>
                </c:pt>
                <c:pt idx="33">
                  <c:v>320.6168590632679</c:v>
                </c:pt>
                <c:pt idx="34">
                  <c:v>342.80619071488059</c:v>
                </c:pt>
                <c:pt idx="35">
                  <c:v>364.96396296815789</c:v>
                </c:pt>
                <c:pt idx="36">
                  <c:v>324.08611998804474</c:v>
                </c:pt>
                <c:pt idx="37">
                  <c:v>343.84552311327383</c:v>
                </c:pt>
                <c:pt idx="38">
                  <c:v>363.5799840007133</c:v>
                </c:pt>
                <c:pt idx="39">
                  <c:v>383.29104626329899</c:v>
                </c:pt>
                <c:pt idx="40">
                  <c:v>402.9800818512519</c:v>
                </c:pt>
                <c:pt idx="41">
                  <c:v>359.4273541272596</c:v>
                </c:pt>
                <c:pt idx="42">
                  <c:v>376.37745953930607</c:v>
                </c:pt>
                <c:pt idx="43">
                  <c:v>393.31094714884654</c:v>
                </c:pt>
                <c:pt idx="44">
                  <c:v>410.22863289640105</c:v>
                </c:pt>
                <c:pt idx="45">
                  <c:v>427.13125995293154</c:v>
                </c:pt>
                <c:pt idx="46">
                  <c:v>400.56327392899146</c:v>
                </c:pt>
                <c:pt idx="47">
                  <c:v>415.40447321133956</c:v>
                </c:pt>
                <c:pt idx="48">
                  <c:v>430.23424187074426</c:v>
                </c:pt>
                <c:pt idx="49">
                  <c:v>445.05302932092837</c:v>
                </c:pt>
                <c:pt idx="50">
                  <c:v>459.86125261266943</c:v>
                </c:pt>
                <c:pt idx="51">
                  <c:v>439.88490533840962</c:v>
                </c:pt>
                <c:pt idx="52">
                  <c:v>452.63062434570611</c:v>
                </c:pt>
                <c:pt idx="53">
                  <c:v>465.3686716138655</c:v>
                </c:pt>
                <c:pt idx="54">
                  <c:v>478.09928670594991</c:v>
                </c:pt>
                <c:pt idx="55">
                  <c:v>490.82269538774045</c:v>
                </c:pt>
                <c:pt idx="56">
                  <c:v>473.97123882058969</c:v>
                </c:pt>
                <c:pt idx="57">
                  <c:v>484.63381543198619</c:v>
                </c:pt>
                <c:pt idx="58">
                  <c:v>495.29141143690708</c:v>
                </c:pt>
                <c:pt idx="59">
                  <c:v>505.94414912103224</c:v>
                </c:pt>
                <c:pt idx="60">
                  <c:v>516.59214520035403</c:v>
                </c:pt>
                <c:pt idx="61">
                  <c:v>501.47745591010658</c:v>
                </c:pt>
                <c:pt idx="62">
                  <c:v>510.41000854334516</c:v>
                </c:pt>
                <c:pt idx="63">
                  <c:v>519.33925918522516</c:v>
                </c:pt>
                <c:pt idx="64">
                  <c:v>528.26527262385048</c:v>
                </c:pt>
                <c:pt idx="65">
                  <c:v>537.18811127897254</c:v>
                </c:pt>
                <c:pt idx="66">
                  <c:v>522.77272091773659</c:v>
                </c:pt>
                <c:pt idx="67">
                  <c:v>530.66788510705476</c:v>
                </c:pt>
                <c:pt idx="68">
                  <c:v>538.56057776581395</c:v>
                </c:pt>
                <c:pt idx="69">
                  <c:v>546.4508402313171</c:v>
                </c:pt>
                <c:pt idx="70">
                  <c:v>554.33871254949031</c:v>
                </c:pt>
                <c:pt idx="71">
                  <c:v>539.24678343342578</c:v>
                </c:pt>
                <c:pt idx="72">
                  <c:v>546.4508402313171</c:v>
                </c:pt>
                <c:pt idx="73">
                  <c:v>553.65290450097075</c:v>
                </c:pt>
                <c:pt idx="74">
                  <c:v>560.85300582428658</c:v>
                </c:pt>
                <c:pt idx="75">
                  <c:v>568.05117296149081</c:v>
                </c:pt>
                <c:pt idx="76">
                  <c:v>553.65290450097075</c:v>
                </c:pt>
                <c:pt idx="77">
                  <c:v>559.8245390026176</c:v>
                </c:pt>
                <c:pt idx="78">
                  <c:v>565.99474949990611</c:v>
                </c:pt>
                <c:pt idx="79">
                  <c:v>572.16355371171983</c:v>
                </c:pt>
                <c:pt idx="80">
                  <c:v>578.33096894357811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2.5251641427447038</c:v>
                </c:pt>
                <c:pt idx="2">
                  <c:v>3.0659836900111501</c:v>
                </c:pt>
                <c:pt idx="3">
                  <c:v>3.72306978401474</c:v>
                </c:pt>
                <c:pt idx="4">
                  <c:v>4.5215065574389657</c:v>
                </c:pt>
                <c:pt idx="5">
                  <c:v>5.4918079349600406</c:v>
                </c:pt>
                <c:pt idx="6">
                  <c:v>6.6710966034603709</c:v>
                </c:pt>
                <c:pt idx="7">
                  <c:v>8.1045396986996359</c:v>
                </c:pt>
                <c:pt idx="8">
                  <c:v>9.847097252976555</c:v>
                </c:pt>
                <c:pt idx="9">
                  <c:v>11.965651712594722</c:v>
                </c:pt>
                <c:pt idx="10">
                  <c:v>14.541601787809954</c:v>
                </c:pt>
                <c:pt idx="11">
                  <c:v>17.674022132363714</c:v>
                </c:pt>
                <c:pt idx="12">
                  <c:v>21.483512585759296</c:v>
                </c:pt>
                <c:pt idx="13">
                  <c:v>26.116887828937664</c:v>
                </c:pt>
                <c:pt idx="14">
                  <c:v>31.752891376550057</c:v>
                </c:pt>
                <c:pt idx="15">
                  <c:v>38.609158166707701</c:v>
                </c:pt>
                <c:pt idx="16">
                  <c:v>43.754910153152025</c:v>
                </c:pt>
                <c:pt idx="17">
                  <c:v>48.884401649460102</c:v>
                </c:pt>
                <c:pt idx="18">
                  <c:v>53.999586130991638</c:v>
                </c:pt>
                <c:pt idx="19">
                  <c:v>59.102014803832958</c:v>
                </c:pt>
                <c:pt idx="20">
                  <c:v>64.192947903636622</c:v>
                </c:pt>
                <c:pt idx="21">
                  <c:v>59.102014803832951</c:v>
                </c:pt>
                <c:pt idx="22">
                  <c:v>64.424098420473612</c:v>
                </c:pt>
                <c:pt idx="23">
                  <c:v>69.734803600053766</c:v>
                </c:pt>
                <c:pt idx="24">
                  <c:v>75.035121697679017</c:v>
                </c:pt>
                <c:pt idx="25">
                  <c:v>80.325892057250982</c:v>
                </c:pt>
                <c:pt idx="26">
                  <c:v>76.646331669997508</c:v>
                </c:pt>
                <c:pt idx="27">
                  <c:v>82.164057018091412</c:v>
                </c:pt>
                <c:pt idx="28">
                  <c:v>87.672415653160456</c:v>
                </c:pt>
                <c:pt idx="29">
                  <c:v>93.172080657101844</c:v>
                </c:pt>
                <c:pt idx="30">
                  <c:v>98.663638916304237</c:v>
                </c:pt>
                <c:pt idx="31">
                  <c:v>93.858957567836981</c:v>
                </c:pt>
                <c:pt idx="32">
                  <c:v>99.349540078518643</c:v>
                </c:pt>
                <c:pt idx="33">
                  <c:v>104.83259201464182</c:v>
                </c:pt>
                <c:pt idx="34">
                  <c:v>110.30856380243615</c:v>
                </c:pt>
                <c:pt idx="35">
                  <c:v>115.77785737197435</c:v>
                </c:pt>
                <c:pt idx="36">
                  <c:v>109.85249314434161</c:v>
                </c:pt>
                <c:pt idx="37">
                  <c:v>115.32232892790154</c:v>
                </c:pt>
                <c:pt idx="38">
                  <c:v>120.78581860368736</c:v>
                </c:pt>
                <c:pt idx="39">
                  <c:v>126.24329041370743</c:v>
                </c:pt>
                <c:pt idx="40">
                  <c:v>131.69504183024623</c:v>
                </c:pt>
                <c:pt idx="41">
                  <c:v>125.7887234996597</c:v>
                </c:pt>
                <c:pt idx="42">
                  <c:v>131.24094092949005</c:v>
                </c:pt>
                <c:pt idx="43">
                  <c:v>136.68768710570427</c:v>
                </c:pt>
                <c:pt idx="44">
                  <c:v>142.12921131181261</c:v>
                </c:pt>
                <c:pt idx="45">
                  <c:v>147.56574213893074</c:v>
                </c:pt>
                <c:pt idx="46">
                  <c:v>140.3159356207652</c:v>
                </c:pt>
                <c:pt idx="47">
                  <c:v>145.52761451594594</c:v>
                </c:pt>
                <c:pt idx="48">
                  <c:v>150.73483015282747</c:v>
                </c:pt>
                <c:pt idx="49">
                  <c:v>155.93775882820455</c:v>
                </c:pt>
                <c:pt idx="50">
                  <c:v>161.13656408640864</c:v>
                </c:pt>
                <c:pt idx="51">
                  <c:v>153.67613191785088</c:v>
                </c:pt>
                <c:pt idx="52">
                  <c:v>158.65068353627368</c:v>
                </c:pt>
                <c:pt idx="53">
                  <c:v>163.62153641581833</c:v>
                </c:pt>
                <c:pt idx="54">
                  <c:v>168.58881903979511</c:v>
                </c:pt>
                <c:pt idx="55">
                  <c:v>173.55265168473863</c:v>
                </c:pt>
                <c:pt idx="56">
                  <c:v>165.87982733683168</c:v>
                </c:pt>
                <c:pt idx="57">
                  <c:v>170.61988827467206</c:v>
                </c:pt>
                <c:pt idx="58">
                  <c:v>175.35684862651081</c:v>
                </c:pt>
                <c:pt idx="59">
                  <c:v>180.09080416161893</c:v>
                </c:pt>
                <c:pt idx="60">
                  <c:v>184.82184519189613</c:v>
                </c:pt>
                <c:pt idx="61">
                  <c:v>176.93516310576447</c:v>
                </c:pt>
                <c:pt idx="62">
                  <c:v>181.44282374804376</c:v>
                </c:pt>
                <c:pt idx="63">
                  <c:v>185.9478634358592</c:v>
                </c:pt>
                <c:pt idx="64">
                  <c:v>190.45035477579154</c:v>
                </c:pt>
                <c:pt idx="65">
                  <c:v>194.95036665337298</c:v>
                </c:pt>
                <c:pt idx="66">
                  <c:v>187.07372242622981</c:v>
                </c:pt>
                <c:pt idx="67">
                  <c:v>191.57558758167247</c:v>
                </c:pt>
                <c:pt idx="68">
                  <c:v>196.07498994746314</c:v>
                </c:pt>
                <c:pt idx="69">
                  <c:v>200.57199414028253</c:v>
                </c:pt>
                <c:pt idx="70">
                  <c:v>205.06666163639463</c:v>
                </c:pt>
                <c:pt idx="71">
                  <c:v>196.74969192320927</c:v>
                </c:pt>
                <c:pt idx="72">
                  <c:v>200.79678251340351</c:v>
                </c:pt>
                <c:pt idx="73">
                  <c:v>204.84198284284162</c:v>
                </c:pt>
                <c:pt idx="74">
                  <c:v>208.88533559507187</c:v>
                </c:pt>
                <c:pt idx="75">
                  <c:v>212.92688166259384</c:v>
                </c:pt>
                <c:pt idx="76">
                  <c:v>204.61729834734868</c:v>
                </c:pt>
                <c:pt idx="77">
                  <c:v>208.66075265393101</c:v>
                </c:pt>
                <c:pt idx="78">
                  <c:v>212.70239804910179</c:v>
                </c:pt>
                <c:pt idx="79">
                  <c:v>216.74227383360707</c:v>
                </c:pt>
                <c:pt idx="80">
                  <c:v>220.78041772031693</c:v>
                </c:pt>
                <c:pt idx="81">
                  <c:v>212.02891441405961</c:v>
                </c:pt>
                <c:pt idx="82">
                  <c:v>215.62026142299865</c:v>
                </c:pt>
                <c:pt idx="83">
                  <c:v>219.21023188421313</c:v>
                </c:pt>
                <c:pt idx="84">
                  <c:v>222.79885157604664</c:v>
                </c:pt>
                <c:pt idx="85">
                  <c:v>226.3861453767432</c:v>
                </c:pt>
                <c:pt idx="86">
                  <c:v>218.53721607804448</c:v>
                </c:pt>
                <c:pt idx="87">
                  <c:v>221.90182191224508</c:v>
                </c:pt>
                <c:pt idx="88">
                  <c:v>225.2652570256333</c:v>
                </c:pt>
                <c:pt idx="89">
                  <c:v>228.62754140696123</c:v>
                </c:pt>
                <c:pt idx="90">
                  <c:v>231.98869440771659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2.6689104183509347</c:v>
                </c:pt>
                <c:pt idx="2">
                  <c:v>3.4899830590683352</c:v>
                </c:pt>
                <c:pt idx="3">
                  <c:v>4.5646726825905164</c:v>
                </c:pt>
                <c:pt idx="4">
                  <c:v>5.9716141615574472</c:v>
                </c:pt>
                <c:pt idx="5">
                  <c:v>7.8139092335961218</c:v>
                </c:pt>
                <c:pt idx="6">
                  <c:v>10.226764012784757</c:v>
                </c:pt>
                <c:pt idx="7">
                  <c:v>13.387517725469587</c:v>
                </c:pt>
                <c:pt idx="8">
                  <c:v>17.528813377583827</c:v>
                </c:pt>
                <c:pt idx="9">
                  <c:v>22.955897322390214</c:v>
                </c:pt>
                <c:pt idx="10">
                  <c:v>30.069345481461834</c:v>
                </c:pt>
                <c:pt idx="11">
                  <c:v>39.394922830832961</c:v>
                </c:pt>
                <c:pt idx="12">
                  <c:v>51.622820709160315</c:v>
                </c:pt>
                <c:pt idx="13">
                  <c:v>67.659224368464649</c:v>
                </c:pt>
                <c:pt idx="14">
                  <c:v>88.69409474214649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6.7432111156735068</c:v>
                </c:pt>
                <c:pt idx="2">
                  <c:v>13.182598552585789</c:v>
                </c:pt>
                <c:pt idx="3">
                  <c:v>19.523866192252829</c:v>
                </c:pt>
                <c:pt idx="4">
                  <c:v>25.80465050590206</c:v>
                </c:pt>
                <c:pt idx="5">
                  <c:v>32.042009576098863</c:v>
                </c:pt>
                <c:pt idx="6">
                  <c:v>38.245674045333381</c:v>
                </c:pt>
                <c:pt idx="7">
                  <c:v>44.421916882578216</c:v>
                </c:pt>
                <c:pt idx="8">
                  <c:v>50.57510745837947</c:v>
                </c:pt>
                <c:pt idx="9">
                  <c:v>56.708457315671353</c:v>
                </c:pt>
                <c:pt idx="10">
                  <c:v>62.824422453272774</c:v>
                </c:pt>
                <c:pt idx="11">
                  <c:v>68.924939245821307</c:v>
                </c:pt>
                <c:pt idx="12">
                  <c:v>75.011571806369588</c:v>
                </c:pt>
                <c:pt idx="13">
                  <c:v>81.085608697074022</c:v>
                </c:pt>
                <c:pt idx="14">
                  <c:v>87.148128978432666</c:v>
                </c:pt>
                <c:pt idx="15">
                  <c:v>93.200048824492924</c:v>
                </c:pt>
                <c:pt idx="16">
                  <c:v>99.242155341803141</c:v>
                </c:pt>
                <c:pt idx="17">
                  <c:v>105.27513168766744</c:v>
                </c:pt>
                <c:pt idx="18">
                  <c:v>111.29957610770066</c:v>
                </c:pt>
                <c:pt idx="19">
                  <c:v>117.31601662152924</c:v>
                </c:pt>
                <c:pt idx="20">
                  <c:v>123.32492252856525</c:v>
                </c:pt>
                <c:pt idx="21">
                  <c:v>129.32671354723092</c:v>
                </c:pt>
                <c:pt idx="22">
                  <c:v>135.32176716405539</c:v>
                </c:pt>
                <c:pt idx="23">
                  <c:v>141.31042460880101</c:v>
                </c:pt>
                <c:pt idx="24">
                  <c:v>147.29299576111521</c:v>
                </c:pt>
                <c:pt idx="25">
                  <c:v>153.26976321636414</c:v>
                </c:pt>
                <c:pt idx="26">
                  <c:v>159.24098568262056</c:v>
                </c:pt>
                <c:pt idx="27">
                  <c:v>165.20690084033879</c:v>
                </c:pt>
                <c:pt idx="28">
                  <c:v>171.16772776646476</c:v>
                </c:pt>
                <c:pt idx="29">
                  <c:v>177.12366900251277</c:v>
                </c:pt>
                <c:pt idx="30">
                  <c:v>183.07491232937616</c:v>
                </c:pt>
                <c:pt idx="31">
                  <c:v>189.02163229884937</c:v>
                </c:pt>
                <c:pt idx="32">
                  <c:v>194.96399156198288</c:v>
                </c:pt>
                <c:pt idx="33">
                  <c:v>200.90214202672894</c:v>
                </c:pt>
                <c:pt idx="34">
                  <c:v>206.8362258713247</c:v>
                </c:pt>
                <c:pt idx="35">
                  <c:v>212.76637643510313</c:v>
                </c:pt>
                <c:pt idx="36">
                  <c:v>218.69271900463548</c:v>
                </c:pt>
                <c:pt idx="37">
                  <c:v>224.61537151006931</c:v>
                </c:pt>
                <c:pt idx="38">
                  <c:v>230.53444514406942</c:v>
                </c:pt>
                <c:pt idx="39">
                  <c:v>236.45004491377424</c:v>
                </c:pt>
                <c:pt idx="40">
                  <c:v>242.36227013454877</c:v>
                </c:pt>
                <c:pt idx="41">
                  <c:v>248.27121487297197</c:v>
                </c:pt>
                <c:pt idx="42">
                  <c:v>254.17696834538913</c:v>
                </c:pt>
                <c:pt idx="43">
                  <c:v>204.45147752870034</c:v>
                </c:pt>
                <c:pt idx="44">
                  <c:v>219.09167238360394</c:v>
                </c:pt>
                <c:pt idx="45">
                  <c:v>233.70939691835724</c:v>
                </c:pt>
                <c:pt idx="46">
                  <c:v>248.30625483378697</c:v>
                </c:pt>
                <c:pt idx="47">
                  <c:v>262.88364577483549</c:v>
                </c:pt>
                <c:pt idx="48">
                  <c:v>277.44280141283173</c:v>
                </c:pt>
                <c:pt idx="49">
                  <c:v>291.98481354908614</c:v>
                </c:pt>
                <c:pt idx="50">
                  <c:v>306.51065632174317</c:v>
                </c:pt>
                <c:pt idx="51">
                  <c:v>267.42718467079789</c:v>
                </c:pt>
                <c:pt idx="52">
                  <c:v>282.34594256745601</c:v>
                </c:pt>
                <c:pt idx="53">
                  <c:v>297.24704291651614</c:v>
                </c:pt>
                <c:pt idx="54">
                  <c:v>312.13149558778292</c:v>
                </c:pt>
                <c:pt idx="55">
                  <c:v>327.00020625700802</c:v>
                </c:pt>
                <c:pt idx="56">
                  <c:v>341.85399150498546</c:v>
                </c:pt>
                <c:pt idx="57">
                  <c:v>356.69359115404433</c:v>
                </c:pt>
                <c:pt idx="58">
                  <c:v>371.51967844362497</c:v>
                </c:pt>
                <c:pt idx="59">
                  <c:v>317.54561999664776</c:v>
                </c:pt>
                <c:pt idx="60">
                  <c:v>332.0414858135502</c:v>
                </c:pt>
                <c:pt idx="61">
                  <c:v>346.52340185807208</c:v>
                </c:pt>
                <c:pt idx="62">
                  <c:v>360.99203322038721</c:v>
                </c:pt>
                <c:pt idx="63">
                  <c:v>375.44798732409254</c:v>
                </c:pt>
                <c:pt idx="64">
                  <c:v>389.89182100063732</c:v>
                </c:pt>
                <c:pt idx="65">
                  <c:v>404.3240464605563</c:v>
                </c:pt>
                <c:pt idx="66">
                  <c:v>418.74513636757212</c:v>
                </c:pt>
                <c:pt idx="67">
                  <c:v>355.96007783250315</c:v>
                </c:pt>
                <c:pt idx="68">
                  <c:v>369.88589352480886</c:v>
                </c:pt>
                <c:pt idx="69">
                  <c:v>383.80027527830481</c:v>
                </c:pt>
                <c:pt idx="70">
                  <c:v>397.70369600169761</c:v>
                </c:pt>
                <c:pt idx="71">
                  <c:v>411.59659284143487</c:v>
                </c:pt>
                <c:pt idx="72">
                  <c:v>425.47937102728673</c:v>
                </c:pt>
                <c:pt idx="73">
                  <c:v>439.35240718983852</c:v>
                </c:pt>
                <c:pt idx="74">
                  <c:v>453.21605223713573</c:v>
                </c:pt>
                <c:pt idx="75">
                  <c:v>393.62251769327281</c:v>
                </c:pt>
                <c:pt idx="76">
                  <c:v>407.25195361251866</c:v>
                </c:pt>
                <c:pt idx="77">
                  <c:v>420.87153667059289</c:v>
                </c:pt>
                <c:pt idx="78">
                  <c:v>434.4816306046377</c:v>
                </c:pt>
                <c:pt idx="79">
                  <c:v>448.08257450662171</c:v>
                </c:pt>
                <c:pt idx="80">
                  <c:v>461.67468520627</c:v>
                </c:pt>
                <c:pt idx="81">
                  <c:v>475.25825935877418</c:v>
                </c:pt>
                <c:pt idx="82">
                  <c:v>488.83357528141732</c:v>
                </c:pt>
                <c:pt idx="83">
                  <c:v>502.4008945755906</c:v>
                </c:pt>
                <c:pt idx="84">
                  <c:v>515.96046356450768</c:v>
                </c:pt>
                <c:pt idx="85">
                  <c:v>434.14672847990687</c:v>
                </c:pt>
                <c:pt idx="86">
                  <c:v>447.21524176322163</c:v>
                </c:pt>
                <c:pt idx="87">
                  <c:v>460.275582399923</c:v>
                </c:pt>
                <c:pt idx="88">
                  <c:v>473.32801494027632</c:v>
                </c:pt>
                <c:pt idx="89">
                  <c:v>486.37278815580493</c:v>
                </c:pt>
                <c:pt idx="90">
                  <c:v>499.41013638723661</c:v>
                </c:pt>
                <c:pt idx="91">
                  <c:v>512.44028074439348</c:v>
                </c:pt>
                <c:pt idx="92">
                  <c:v>525.46343017770653</c:v>
                </c:pt>
                <c:pt idx="93">
                  <c:v>538.47978243800196</c:v>
                </c:pt>
                <c:pt idx="94">
                  <c:v>551.48952493867966</c:v>
                </c:pt>
                <c:pt idx="95">
                  <c:v>468.53368208975917</c:v>
                </c:pt>
                <c:pt idx="96">
                  <c:v>481.25276290934448</c:v>
                </c:pt>
                <c:pt idx="97">
                  <c:v>493.96470219106681</c:v>
                </c:pt>
                <c:pt idx="98">
                  <c:v>506.66970959084148</c:v>
                </c:pt>
                <c:pt idx="99">
                  <c:v>519.36798339427139</c:v>
                </c:pt>
                <c:pt idx="100">
                  <c:v>532.05971140206191</c:v>
                </c:pt>
                <c:pt idx="101">
                  <c:v>544.74507172657684</c:v>
                </c:pt>
                <c:pt idx="102">
                  <c:v>557.42423351035325</c:v>
                </c:pt>
                <c:pt idx="103">
                  <c:v>570.09735757586316</c:v>
                </c:pt>
                <c:pt idx="104">
                  <c:v>582.76459701450892</c:v>
                </c:pt>
                <c:pt idx="105">
                  <c:v>501.56550941466026</c:v>
                </c:pt>
                <c:pt idx="106">
                  <c:v>514.1287255959686</c:v>
                </c:pt>
                <c:pt idx="107">
                  <c:v>526.68546260832591</c:v>
                </c:pt>
                <c:pt idx="108">
                  <c:v>539.23589665989698</c:v>
                </c:pt>
                <c:pt idx="109">
                  <c:v>551.7801950894027</c:v>
                </c:pt>
                <c:pt idx="110">
                  <c:v>564.31851700829145</c:v>
                </c:pt>
                <c:pt idx="111">
                  <c:v>576.8510138828857</c:v>
                </c:pt>
                <c:pt idx="112">
                  <c:v>589.37783006332347</c:v>
                </c:pt>
                <c:pt idx="113">
                  <c:v>601.89910326520578</c:v>
                </c:pt>
                <c:pt idx="114">
                  <c:v>614.41496500909921</c:v>
                </c:pt>
                <c:pt idx="115">
                  <c:v>539.41463710263349</c:v>
                </c:pt>
                <c:pt idx="116">
                  <c:v>552.05951899010711</c:v>
                </c:pt>
                <c:pt idx="117">
                  <c:v>564.69833153335549</c:v>
                </c:pt>
                <c:pt idx="118">
                  <c:v>577.33122967836152</c:v>
                </c:pt>
                <c:pt idx="119">
                  <c:v>589.95836103929344</c:v>
                </c:pt>
                <c:pt idx="120">
                  <c:v>602.57986639822525</c:v>
                </c:pt>
                <c:pt idx="121">
                  <c:v>615.19588016082901</c:v>
                </c:pt>
                <c:pt idx="122">
                  <c:v>627.80653077275804</c:v>
                </c:pt>
                <c:pt idx="123">
                  <c:v>640.41194110084928</c:v>
                </c:pt>
                <c:pt idx="124">
                  <c:v>653.01222878276758</c:v>
                </c:pt>
                <c:pt idx="125">
                  <c:v>584.00097925693615</c:v>
                </c:pt>
                <c:pt idx="126">
                  <c:v>596.77658915370728</c:v>
                </c:pt>
                <c:pt idx="127">
                  <c:v>609.54651232690765</c:v>
                </c:pt>
                <c:pt idx="128">
                  <c:v>622.31088465597031</c:v>
                </c:pt>
                <c:pt idx="129">
                  <c:v>635.06983599395392</c:v>
                </c:pt>
                <c:pt idx="130">
                  <c:v>647.82349055305247</c:v>
                </c:pt>
                <c:pt idx="131">
                  <c:v>660.57196725818403</c:v>
                </c:pt>
                <c:pt idx="132">
                  <c:v>673.31538007187885</c:v>
                </c:pt>
                <c:pt idx="133">
                  <c:v>686.0538382933056</c:v>
                </c:pt>
                <c:pt idx="134">
                  <c:v>698.78744683394837</c:v>
                </c:pt>
                <c:pt idx="135">
                  <c:v>625.84936949366295</c:v>
                </c:pt>
                <c:pt idx="136">
                  <c:v>638.77788373150395</c:v>
                </c:pt>
                <c:pt idx="137">
                  <c:v>651.70099421407235</c:v>
                </c:pt>
                <c:pt idx="138">
                  <c:v>664.61882314617878</c:v>
                </c:pt>
                <c:pt idx="139">
                  <c:v>677.53148759720932</c:v>
                </c:pt>
                <c:pt idx="140">
                  <c:v>690.43909981273555</c:v>
                </c:pt>
                <c:pt idx="141">
                  <c:v>703.34176750161987</c:v>
                </c:pt>
                <c:pt idx="142">
                  <c:v>716.23959410097314</c:v>
                </c:pt>
                <c:pt idx="143">
                  <c:v>729.13267902104781</c:v>
                </c:pt>
                <c:pt idx="144">
                  <c:v>742.02111787192052</c:v>
                </c:pt>
                <c:pt idx="145">
                  <c:v>668.00705685257617</c:v>
                </c:pt>
                <c:pt idx="146">
                  <c:v>681.18802320419911</c:v>
                </c:pt>
                <c:pt idx="147">
                  <c:v>694.36375630076782</c:v>
                </c:pt>
                <c:pt idx="148">
                  <c:v>707.53436938094944</c:v>
                </c:pt>
                <c:pt idx="149">
                  <c:v>720.69997112636872</c:v>
                </c:pt>
                <c:pt idx="150">
                  <c:v>733.86066592662235</c:v>
                </c:pt>
                <c:pt idx="151">
                  <c:v>747.01655412430728</c:v>
                </c:pt>
                <c:pt idx="152">
                  <c:v>760.16773224190672</c:v>
                </c:pt>
                <c:pt idx="153">
                  <c:v>773.31429319216602</c:v>
                </c:pt>
                <c:pt idx="154">
                  <c:v>786.45632647343439</c:v>
                </c:pt>
                <c:pt idx="155">
                  <c:v>713.80821731942024</c:v>
                </c:pt>
                <c:pt idx="156">
                  <c:v>727.18717222886983</c:v>
                </c:pt>
                <c:pt idx="157">
                  <c:v>740.56110961327749</c:v>
                </c:pt>
                <c:pt idx="158">
                  <c:v>753.93013279284457</c:v>
                </c:pt>
                <c:pt idx="159">
                  <c:v>767.2943411273294</c:v>
                </c:pt>
                <c:pt idx="160">
                  <c:v>780.65383023562288</c:v>
                </c:pt>
                <c:pt idx="161">
                  <c:v>794.00869219952654</c:v>
                </c:pt>
                <c:pt idx="162">
                  <c:v>807.35901575311357</c:v>
                </c:pt>
                <c:pt idx="163">
                  <c:v>820.70488645893067</c:v>
                </c:pt>
                <c:pt idx="164">
                  <c:v>834.04638687214958</c:v>
                </c:pt>
                <c:pt idx="165">
                  <c:v>754.6767839839431</c:v>
                </c:pt>
                <c:pt idx="166">
                  <c:v>768.2294325668845</c:v>
                </c:pt>
                <c:pt idx="167">
                  <c:v>781.77723441703108</c:v>
                </c:pt>
                <c:pt idx="168">
                  <c:v>795.32028529783645</c:v>
                </c:pt>
                <c:pt idx="169">
                  <c:v>808.85867744799032</c:v>
                </c:pt>
                <c:pt idx="170">
                  <c:v>822.3924997691978</c:v>
                </c:pt>
                <c:pt idx="171">
                  <c:v>835.92183800096609</c:v>
                </c:pt>
                <c:pt idx="172">
                  <c:v>849.44677488349805</c:v>
                </c:pt>
                <c:pt idx="173">
                  <c:v>862.96739030968263</c:v>
                </c:pt>
                <c:pt idx="174">
                  <c:v>876.48376146707153</c:v>
                </c:pt>
                <c:pt idx="175">
                  <c:v>546.5689120278023</c:v>
                </c:pt>
                <c:pt idx="176">
                  <c:v>555.2750756033621</c:v>
                </c:pt>
                <c:pt idx="177">
                  <c:v>563.97838005949154</c:v>
                </c:pt>
                <c:pt idx="178">
                  <c:v>386.29893628029026</c:v>
                </c:pt>
                <c:pt idx="179">
                  <c:v>391.67013972809582</c:v>
                </c:pt>
                <c:pt idx="180">
                  <c:v>397.03974550163798</c:v>
                </c:pt>
                <c:pt idx="181">
                  <c:v>275.67724414252132</c:v>
                </c:pt>
                <c:pt idx="182">
                  <c:v>278.97786350870115</c:v>
                </c:pt>
                <c:pt idx="183">
                  <c:v>282.27760677142129</c:v>
                </c:pt>
                <c:pt idx="184">
                  <c:v>1.242315967412181E-11</c:v>
                </c:pt>
                <c:pt idx="185">
                  <c:v>1.242315967412181E-11</c:v>
                </c:pt>
                <c:pt idx="186">
                  <c:v>1.242315967412181E-11</c:v>
                </c:pt>
                <c:pt idx="187">
                  <c:v>1.242315967412181E-11</c:v>
                </c:pt>
                <c:pt idx="188">
                  <c:v>1.242315967412181E-11</c:v>
                </c:pt>
                <c:pt idx="189">
                  <c:v>1.242315967412181E-11</c:v>
                </c:pt>
                <c:pt idx="190">
                  <c:v>1.242315967412181E-11</c:v>
                </c:pt>
                <c:pt idx="191">
                  <c:v>1.242315967412181E-11</c:v>
                </c:pt>
                <c:pt idx="192">
                  <c:v>1.242315967412181E-11</c:v>
                </c:pt>
                <c:pt idx="193">
                  <c:v>1.242315967412181E-11</c:v>
                </c:pt>
                <c:pt idx="194">
                  <c:v>1.242315967412181E-11</c:v>
                </c:pt>
                <c:pt idx="195">
                  <c:v>1.242315967412181E-11</c:v>
                </c:pt>
                <c:pt idx="196">
                  <c:v>1.242315967412181E-11</c:v>
                </c:pt>
                <c:pt idx="197">
                  <c:v>1.242315967412181E-11</c:v>
                </c:pt>
                <c:pt idx="198">
                  <c:v>1.242315967412181E-11</c:v>
                </c:pt>
                <c:pt idx="199">
                  <c:v>1.242315967412181E-11</c:v>
                </c:pt>
                <c:pt idx="200">
                  <c:v>1.242315967412181E-11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9.455062698144042</c:v>
                </c:pt>
                <c:pt idx="2">
                  <c:v>18.496310297315823</c:v>
                </c:pt>
                <c:pt idx="3">
                  <c:v>27.403916391738104</c:v>
                </c:pt>
                <c:pt idx="4">
                  <c:v>36.229142753137985</c:v>
                </c:pt>
                <c:pt idx="5">
                  <c:v>44.995222896934202</c:v>
                </c:pt>
                <c:pt idx="6">
                  <c:v>53.715410190347939</c:v>
                </c:pt>
                <c:pt idx="7">
                  <c:v>62.398248566777788</c:v>
                </c:pt>
                <c:pt idx="8">
                  <c:v>71.049689213150188</c:v>
                </c:pt>
                <c:pt idx="9">
                  <c:v>79.674106327561205</c:v>
                </c:pt>
                <c:pt idx="10">
                  <c:v>88.274845038996318</c:v>
                </c:pt>
                <c:pt idx="11">
                  <c:v>96.854542735909192</c:v>
                </c:pt>
                <c:pt idx="12">
                  <c:v>105.41532977759353</c:v>
                </c:pt>
                <c:pt idx="13">
                  <c:v>113.9589612164482</c:v>
                </c:pt>
                <c:pt idx="14">
                  <c:v>122.48690675861542</c:v>
                </c:pt>
                <c:pt idx="15">
                  <c:v>131.0004142550055</c:v>
                </c:pt>
                <c:pt idx="16">
                  <c:v>139.50055576351562</c:v>
                </c:pt>
                <c:pt idx="17">
                  <c:v>147.98826176069258</c:v>
                </c:pt>
                <c:pt idx="18">
                  <c:v>156.46434707133648</c:v>
                </c:pt>
                <c:pt idx="19">
                  <c:v>164.92953087077578</c:v>
                </c:pt>
                <c:pt idx="20">
                  <c:v>173.38445235600605</c:v>
                </c:pt>
                <c:pt idx="21">
                  <c:v>181.82968319353185</c:v>
                </c:pt>
                <c:pt idx="22">
                  <c:v>190.26573752901183</c:v>
                </c:pt>
                <c:pt idx="23">
                  <c:v>198.69308012552312</c:v>
                </c:pt>
                <c:pt idx="24">
                  <c:v>207.11213304653862</c:v>
                </c:pt>
                <c:pt idx="25">
                  <c:v>215.52328119368903</c:v>
                </c:pt>
                <c:pt idx="26">
                  <c:v>223.92687693354154</c:v>
                </c:pt>
                <c:pt idx="27">
                  <c:v>232.32324399254557</c:v>
                </c:pt>
                <c:pt idx="28">
                  <c:v>240.71268075872808</c:v>
                </c:pt>
                <c:pt idx="29">
                  <c:v>249.0954630984634</c:v>
                </c:pt>
                <c:pt idx="30">
                  <c:v>257.47184677380858</c:v>
                </c:pt>
                <c:pt idx="31">
                  <c:v>265.842069528472</c:v>
                </c:pt>
                <c:pt idx="32">
                  <c:v>274.20635289706468</c:v>
                </c:pt>
                <c:pt idx="33">
                  <c:v>282.56490378184208</c:v>
                </c:pt>
                <c:pt idx="34">
                  <c:v>290.91791583295509</c:v>
                </c:pt>
                <c:pt idx="35">
                  <c:v>299.26557066175616</c:v>
                </c:pt>
                <c:pt idx="36">
                  <c:v>307.60803891154438</c:v>
                </c:pt>
                <c:pt idx="37">
                  <c:v>315.94548120599461</c:v>
                </c:pt>
                <c:pt idx="38">
                  <c:v>324.27804899216886</c:v>
                </c:pt>
                <c:pt idx="39">
                  <c:v>332.60588529229494</c:v>
                </c:pt>
                <c:pt idx="40">
                  <c:v>340.92912537626927</c:v>
                </c:pt>
                <c:pt idx="41">
                  <c:v>349.24789736501674</c:v>
                </c:pt>
                <c:pt idx="42">
                  <c:v>357.56232277332811</c:v>
                </c:pt>
                <c:pt idx="43">
                  <c:v>287.56104355196334</c:v>
                </c:pt>
                <c:pt idx="44">
                  <c:v>308.16964872324991</c:v>
                </c:pt>
                <c:pt idx="45">
                  <c:v>328.74764878240444</c:v>
                </c:pt>
                <c:pt idx="46">
                  <c:v>349.29722800821287</c:v>
                </c:pt>
                <c:pt idx="47">
                  <c:v>369.82029275047915</c:v>
                </c:pt>
                <c:pt idx="48">
                  <c:v>390.31852057493785</c:v>
                </c:pt>
                <c:pt idx="49">
                  <c:v>410.79339854102176</c:v>
                </c:pt>
                <c:pt idx="50">
                  <c:v>431.24625344812392</c:v>
                </c:pt>
                <c:pt idx="51">
                  <c:v>376.21717632117338</c:v>
                </c:pt>
                <c:pt idx="52">
                  <c:v>397.22196486755848</c:v>
                </c:pt>
                <c:pt idx="53">
                  <c:v>418.20270341284862</c:v>
                </c:pt>
                <c:pt idx="54">
                  <c:v>439.16076742381068</c:v>
                </c:pt>
                <c:pt idx="55">
                  <c:v>460.09739045242594</c:v>
                </c:pt>
                <c:pt idx="56">
                  <c:v>481.0136847012173</c:v>
                </c:pt>
                <c:pt idx="57">
                  <c:v>501.91065782584752</c:v>
                </c:pt>
                <c:pt idx="58">
                  <c:v>522.78922679449613</c:v>
                </c:pt>
                <c:pt idx="59">
                  <c:v>446.78431102556823</c:v>
                </c:pt>
                <c:pt idx="60">
                  <c:v>467.19617134398754</c:v>
                </c:pt>
                <c:pt idx="61">
                  <c:v>487.5890317396167</c:v>
                </c:pt>
                <c:pt idx="62">
                  <c:v>507.96379808113971</c:v>
                </c:pt>
                <c:pt idx="63">
                  <c:v>528.3212976939875</c:v>
                </c:pt>
                <c:pt idx="64">
                  <c:v>548.66228899587838</c:v>
                </c:pt>
                <c:pt idx="65">
                  <c:v>568.987469629781</c:v>
                </c:pt>
                <c:pt idx="66">
                  <c:v>589.2974833749621</c:v>
                </c:pt>
                <c:pt idx="67">
                  <c:v>500.87771692974269</c:v>
                </c:pt>
                <c:pt idx="68">
                  <c:v>520.48844904322118</c:v>
                </c:pt>
                <c:pt idx="69">
                  <c:v>540.0836078592547</c:v>
                </c:pt>
                <c:pt idx="70">
                  <c:v>559.66383749078398</c:v>
                </c:pt>
                <c:pt idx="71">
                  <c:v>579.2297333416999</c:v>
                </c:pt>
                <c:pt idx="72">
                  <c:v>598.78184734461729</c:v>
                </c:pt>
                <c:pt idx="73">
                  <c:v>618.32069247937864</c:v>
                </c:pt>
                <c:pt idx="74">
                  <c:v>637.8467466911145</c:v>
                </c:pt>
                <c:pt idx="75">
                  <c:v>553.91625030160219</c:v>
                </c:pt>
                <c:pt idx="76">
                  <c:v>573.11096118864532</c:v>
                </c:pt>
                <c:pt idx="77">
                  <c:v>592.29225224370759</c:v>
                </c:pt>
                <c:pt idx="78">
                  <c:v>611.46061888545398</c:v>
                </c:pt>
                <c:pt idx="79">
                  <c:v>630.61652296523562</c:v>
                </c:pt>
                <c:pt idx="80">
                  <c:v>649.76039601269781</c:v>
                </c:pt>
                <c:pt idx="81">
                  <c:v>668.89264207928784</c:v>
                </c:pt>
                <c:pt idx="82">
                  <c:v>688.01364023978613</c:v>
                </c:pt>
                <c:pt idx="83">
                  <c:v>707.12374680152777</c:v>
                </c:pt>
                <c:pt idx="84">
                  <c:v>726.22329726260705</c:v>
                </c:pt>
                <c:pt idx="85">
                  <c:v>610.98893978348235</c:v>
                </c:pt>
                <c:pt idx="86">
                  <c:v>629.39493779693078</c:v>
                </c:pt>
                <c:pt idx="87">
                  <c:v>647.78980447071194</c:v>
                </c:pt>
                <c:pt idx="88">
                  <c:v>666.17390012859926</c:v>
                </c:pt>
                <c:pt idx="89">
                  <c:v>684.5475636033417</c:v>
                </c:pt>
                <c:pt idx="90">
                  <c:v>702.91111407260257</c:v>
                </c:pt>
                <c:pt idx="91">
                  <c:v>721.26485269323393</c:v>
                </c:pt>
                <c:pt idx="92">
                  <c:v>739.60906406070796</c:v>
                </c:pt>
                <c:pt idx="93">
                  <c:v>757.94401751636781</c:v>
                </c:pt>
                <c:pt idx="94">
                  <c:v>776.26996832173552</c:v>
                </c:pt>
                <c:pt idx="95">
                  <c:v>659.42113423858666</c:v>
                </c:pt>
                <c:pt idx="96">
                  <c:v>677.3359268973162</c:v>
                </c:pt>
                <c:pt idx="97">
                  <c:v>695.24099261109666</c:v>
                </c:pt>
                <c:pt idx="98">
                  <c:v>713.13661693628671</c:v>
                </c:pt>
                <c:pt idx="99">
                  <c:v>731.02306994260732</c:v>
                </c:pt>
                <c:pt idx="100">
                  <c:v>748.90060741910065</c:v>
                </c:pt>
                <c:pt idx="101">
                  <c:v>766.76947195905461</c:v>
                </c:pt>
                <c:pt idx="102">
                  <c:v>784.62989393864109</c:v>
                </c:pt>
                <c:pt idx="103">
                  <c:v>802.48209240190306</c:v>
                </c:pt>
                <c:pt idx="104">
                  <c:v>820.3262758629827</c:v>
                </c:pt>
                <c:pt idx="105">
                  <c:v>705.94706318478438</c:v>
                </c:pt>
                <c:pt idx="106">
                  <c:v>723.64315240865346</c:v>
                </c:pt>
                <c:pt idx="107">
                  <c:v>741.33041684983391</c:v>
                </c:pt>
                <c:pt idx="108">
                  <c:v>759.00909650804977</c:v>
                </c:pt>
                <c:pt idx="109">
                  <c:v>776.67941930263157</c:v>
                </c:pt>
                <c:pt idx="110">
                  <c:v>794.34160194716833</c:v>
                </c:pt>
                <c:pt idx="111">
                  <c:v>811.9958507424044</c:v>
                </c:pt>
                <c:pt idx="112">
                  <c:v>829.64236229667119</c:v>
                </c:pt>
                <c:pt idx="113">
                  <c:v>847.28132418190387</c:v>
                </c:pt>
                <c:pt idx="114">
                  <c:v>864.91291553225085</c:v>
                </c:pt>
                <c:pt idx="115">
                  <c:v>759.26087434764747</c:v>
                </c:pt>
                <c:pt idx="116">
                  <c:v>777.07288758905304</c:v>
                </c:pt>
                <c:pt idx="117">
                  <c:v>794.87663423882407</c:v>
                </c:pt>
                <c:pt idx="118">
                  <c:v>812.67232533708591</c:v>
                </c:pt>
                <c:pt idx="119">
                  <c:v>830.46016193785681</c:v>
                </c:pt>
                <c:pt idx="120">
                  <c:v>848.24033578968101</c:v>
                </c:pt>
                <c:pt idx="121">
                  <c:v>866.01302995629032</c:v>
                </c:pt>
                <c:pt idx="122">
                  <c:v>883.77841938372865</c:v>
                </c:pt>
                <c:pt idx="123">
                  <c:v>901.53667141955941</c:v>
                </c:pt>
                <c:pt idx="124">
                  <c:v>919.28794628908884</c:v>
                </c:pt>
                <c:pt idx="125">
                  <c:v>822.06796668502648</c:v>
                </c:pt>
                <c:pt idx="126">
                  <c:v>840.06510771199294</c:v>
                </c:pt>
                <c:pt idx="127">
                  <c:v>858.05450328578445</c:v>
                </c:pt>
                <c:pt idx="128">
                  <c:v>876.03633847743095</c:v>
                </c:pt>
                <c:pt idx="129">
                  <c:v>894.0107901498958</c:v>
                </c:pt>
                <c:pt idx="130">
                  <c:v>911.97802748315098</c:v>
                </c:pt>
                <c:pt idx="131">
                  <c:v>929.93821245577226</c:v>
                </c:pt>
                <c:pt idx="132">
                  <c:v>947.89150028744427</c:v>
                </c:pt>
                <c:pt idx="133">
                  <c:v>965.83803984624228</c:v>
                </c:pt>
                <c:pt idx="134">
                  <c:v>983.77797402411124</c:v>
                </c:pt>
                <c:pt idx="135">
                  <c:v>881.0212312212476</c:v>
                </c:pt>
                <c:pt idx="136">
                  <c:v>899.2346301814199</c:v>
                </c:pt>
                <c:pt idx="137">
                  <c:v>917.44066909799074</c:v>
                </c:pt>
                <c:pt idx="138">
                  <c:v>935.63951441682673</c:v>
                </c:pt>
                <c:pt idx="139">
                  <c:v>953.8313255892258</c:v>
                </c:pt>
                <c:pt idx="140">
                  <c:v>972.016255496334</c:v>
                </c:pt>
                <c:pt idx="141">
                  <c:v>990.19445084019083</c:v>
                </c:pt>
                <c:pt idx="142">
                  <c:v>1008.3660525046098</c:v>
                </c:pt>
                <c:pt idx="143">
                  <c:v>1026.5311958887266</c:v>
                </c:pt>
                <c:pt idx="144">
                  <c:v>1044.6900112157464</c:v>
                </c:pt>
                <c:pt idx="145">
                  <c:v>940.4129528327752</c:v>
                </c:pt>
                <c:pt idx="146">
                  <c:v>958.98282344104257</c:v>
                </c:pt>
                <c:pt idx="147">
                  <c:v>977.54556623107385</c:v>
                </c:pt>
                <c:pt idx="148">
                  <c:v>996.10133543663414</c:v>
                </c:pt>
                <c:pt idx="149">
                  <c:v>1014.6502790846899</c:v>
                </c:pt>
                <c:pt idx="150">
                  <c:v>1033.1925393563622</c:v>
                </c:pt>
                <c:pt idx="151">
                  <c:v>1051.7282529206625</c:v>
                </c:pt>
                <c:pt idx="152">
                  <c:v>1070.2575512435144</c:v>
                </c:pt>
                <c:pt idx="153">
                  <c:v>1088.7805608742954</c:v>
                </c:pt>
                <c:pt idx="154">
                  <c:v>1107.2974037118909</c:v>
                </c:pt>
                <c:pt idx="155">
                  <c:v>1004.9404961857837</c:v>
                </c:pt>
                <c:pt idx="156">
                  <c:v>1023.7901458311022</c:v>
                </c:pt>
                <c:pt idx="157">
                  <c:v>1042.6329614876088</c:v>
                </c:pt>
                <c:pt idx="158">
                  <c:v>1061.4690838798804</c:v>
                </c:pt>
                <c:pt idx="159">
                  <c:v>1080.2986483382792</c:v>
                </c:pt>
                <c:pt idx="160">
                  <c:v>1099.121785098017</c:v>
                </c:pt>
                <c:pt idx="161">
                  <c:v>1117.9386195767026</c:v>
                </c:pt>
                <c:pt idx="162">
                  <c:v>1136.7492726322619</c:v>
                </c:pt>
                <c:pt idx="163">
                  <c:v>1155.5538608029244</c:v>
                </c:pt>
                <c:pt idx="164">
                  <c:v>1174.3524965308034</c:v>
                </c:pt>
                <c:pt idx="165">
                  <c:v>1062.5210756861318</c:v>
                </c:pt>
                <c:pt idx="166">
                  <c:v>1081.6161581821882</c:v>
                </c:pt>
                <c:pt idx="167">
                  <c:v>1100.7046393125474</c:v>
                </c:pt>
                <c:pt idx="168">
                  <c:v>1119.7866495093174</c:v>
                </c:pt>
                <c:pt idx="169">
                  <c:v>1138.8623144037938</c:v>
                </c:pt>
                <c:pt idx="170">
                  <c:v>1157.9317550822202</c:v>
                </c:pt>
                <c:pt idx="171">
                  <c:v>1176.9950883238507</c:v>
                </c:pt>
                <c:pt idx="172">
                  <c:v>1196.052426822816</c:v>
                </c:pt>
                <c:pt idx="173">
                  <c:v>1215.1038793951363</c:v>
                </c:pt>
                <c:pt idx="174">
                  <c:v>1234.1495511720993</c:v>
                </c:pt>
                <c:pt idx="175">
                  <c:v>769.33859558608037</c:v>
                </c:pt>
                <c:pt idx="176">
                  <c:v>781.60247607267286</c:v>
                </c:pt>
                <c:pt idx="177">
                  <c:v>793.86246237038984</c:v>
                </c:pt>
                <c:pt idx="178">
                  <c:v>543.60244296324618</c:v>
                </c:pt>
                <c:pt idx="179">
                  <c:v>551.16670089321383</c:v>
                </c:pt>
                <c:pt idx="180">
                  <c:v>558.72878275271785</c:v>
                </c:pt>
                <c:pt idx="181">
                  <c:v>387.83270199165668</c:v>
                </c:pt>
                <c:pt idx="182">
                  <c:v>392.47982260646131</c:v>
                </c:pt>
                <c:pt idx="183">
                  <c:v>397.12574994745228</c:v>
                </c:pt>
                <c:pt idx="184">
                  <c:v>1.6973245871741914E-11</c:v>
                </c:pt>
                <c:pt idx="185">
                  <c:v>1.6973245871741914E-11</c:v>
                </c:pt>
                <c:pt idx="186">
                  <c:v>1.6973245871741914E-11</c:v>
                </c:pt>
                <c:pt idx="187">
                  <c:v>1.6973245871741914E-11</c:v>
                </c:pt>
                <c:pt idx="188">
                  <c:v>1.6973245871741914E-11</c:v>
                </c:pt>
                <c:pt idx="189">
                  <c:v>1.6973245871741914E-11</c:v>
                </c:pt>
                <c:pt idx="190">
                  <c:v>1.6973245871741914E-11</c:v>
                </c:pt>
                <c:pt idx="191">
                  <c:v>1.6973245871741914E-11</c:v>
                </c:pt>
                <c:pt idx="192">
                  <c:v>1.6973245871741914E-11</c:v>
                </c:pt>
                <c:pt idx="193">
                  <c:v>1.6973245871741914E-11</c:v>
                </c:pt>
                <c:pt idx="194">
                  <c:v>1.6973245871741914E-11</c:v>
                </c:pt>
                <c:pt idx="195">
                  <c:v>1.6973245871741914E-11</c:v>
                </c:pt>
                <c:pt idx="196">
                  <c:v>1.6973245871741914E-11</c:v>
                </c:pt>
                <c:pt idx="197">
                  <c:v>1.6973245871741914E-11</c:v>
                </c:pt>
                <c:pt idx="198">
                  <c:v>1.6973245871741914E-11</c:v>
                </c:pt>
                <c:pt idx="199">
                  <c:v>1.6973245871741914E-11</c:v>
                </c:pt>
                <c:pt idx="200">
                  <c:v>1.6973245871741914E-11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8" sqref="B18:M31"/>
    </sheetView>
  </sheetViews>
  <sheetFormatPr baseColWidth="10" defaultRowHeight="14.6" x14ac:dyDescent="0.4"/>
  <cols>
    <col min="1" max="1" width="6.61328125" customWidth="1"/>
    <col min="2" max="13" width="15.921875" customWidth="1"/>
  </cols>
  <sheetData>
    <row r="12" spans="2:13" ht="15" customHeight="1" x14ac:dyDescent="0.4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D22" sqref="D22"/>
    </sheetView>
  </sheetViews>
  <sheetFormatPr baseColWidth="10" defaultColWidth="11.4609375" defaultRowHeight="14.6" x14ac:dyDescent="0.4"/>
  <cols>
    <col min="1" max="1" width="13.61328125" style="23" customWidth="1"/>
    <col min="2" max="2" width="36.07421875" style="23" customWidth="1"/>
    <col min="3" max="3" width="14.921875" style="23" bestFit="1" customWidth="1"/>
    <col min="4" max="4" width="16.4609375" style="23" customWidth="1"/>
    <col min="5" max="5" width="23.3046875" style="23" customWidth="1"/>
    <col min="6" max="6" width="28.921875" style="23" bestFit="1" customWidth="1"/>
    <col min="7" max="8" width="14.61328125" style="23" customWidth="1"/>
    <col min="9" max="9" width="17" style="23" customWidth="1"/>
    <col min="10" max="10" width="13.921875" style="23" customWidth="1"/>
    <col min="11" max="16384" width="11.4609375" style="23"/>
  </cols>
  <sheetData>
    <row r="1" spans="1:38" x14ac:dyDescent="0.4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6" thickBot="1" x14ac:dyDescent="0.4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15" x14ac:dyDescent="0.4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15" x14ac:dyDescent="0.4">
      <c r="A5" s="268" t="s">
        <v>231</v>
      </c>
      <c r="B5" s="268"/>
      <c r="C5" s="24">
        <v>6.3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15" x14ac:dyDescent="0.4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">
      <c r="A9" s="30" t="s">
        <v>165</v>
      </c>
      <c r="B9" s="31" t="s">
        <v>8</v>
      </c>
      <c r="C9" s="32">
        <v>0.27</v>
      </c>
      <c r="D9" s="33">
        <f t="shared" ref="D9:D18" si="0">C9*$C$5</f>
        <v>1.7010000000000001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">
      <c r="A10" s="30" t="s">
        <v>166</v>
      </c>
      <c r="B10" s="31" t="s">
        <v>23</v>
      </c>
      <c r="C10" s="32">
        <v>0.13</v>
      </c>
      <c r="D10" s="33">
        <f t="shared" si="0"/>
        <v>0.81899999999999995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">
      <c r="A11" s="30" t="s">
        <v>167</v>
      </c>
      <c r="B11" s="31" t="s">
        <v>30</v>
      </c>
      <c r="C11" s="32">
        <v>0.06</v>
      </c>
      <c r="D11" s="33">
        <f t="shared" si="0"/>
        <v>0.378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">
      <c r="A12" s="30" t="s">
        <v>168</v>
      </c>
      <c r="B12" s="31" t="s">
        <v>5</v>
      </c>
      <c r="C12" s="32">
        <v>0.1</v>
      </c>
      <c r="D12" s="33">
        <f t="shared" si="0"/>
        <v>0.63</v>
      </c>
      <c r="E12" s="34">
        <v>90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">
      <c r="A13" s="30" t="s">
        <v>169</v>
      </c>
      <c r="B13" s="31" t="s">
        <v>22</v>
      </c>
      <c r="C13" s="32">
        <v>0.1</v>
      </c>
      <c r="D13" s="33">
        <f t="shared" si="0"/>
        <v>0.63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">
      <c r="A14" s="30" t="s">
        <v>170</v>
      </c>
      <c r="B14" s="31" t="s">
        <v>14</v>
      </c>
      <c r="C14" s="32">
        <v>0.28000000000000003</v>
      </c>
      <c r="D14" s="33">
        <f t="shared" si="0"/>
        <v>1.764</v>
      </c>
      <c r="E14" s="34">
        <v>183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">
      <c r="A15" s="30" t="s">
        <v>171</v>
      </c>
      <c r="B15" s="31" t="s">
        <v>50</v>
      </c>
      <c r="C15" s="32">
        <v>0.03</v>
      </c>
      <c r="D15" s="33">
        <f t="shared" si="0"/>
        <v>0.189</v>
      </c>
      <c r="E15" s="34">
        <v>183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">
      <c r="A16" s="30" t="s">
        <v>172</v>
      </c>
      <c r="B16" s="31" t="s">
        <v>6</v>
      </c>
      <c r="C16" s="32">
        <v>0.03</v>
      </c>
      <c r="D16" s="33">
        <f t="shared" si="0"/>
        <v>0.189</v>
      </c>
      <c r="E16" s="34">
        <v>183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">
      <c r="A19" s="78"/>
      <c r="B19" s="36" t="s">
        <v>175</v>
      </c>
      <c r="C19" s="37">
        <f>SUM(C9:C18)</f>
        <v>1</v>
      </c>
      <c r="D19" s="38">
        <f>SUM(D9:D18)</f>
        <v>6.3000000000000007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0.6" x14ac:dyDescent="0.5500000000000000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0.6" x14ac:dyDescent="0.4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">
      <c r="A32" s="46" t="s">
        <v>165</v>
      </c>
      <c r="B32" s="47" t="str">
        <f>IF(B9="","",B9)</f>
        <v>Châtaignier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75" x14ac:dyDescent="0.4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">
      <c r="A36" s="50">
        <v>15</v>
      </c>
      <c r="B36" s="60">
        <v>65</v>
      </c>
      <c r="C36" s="60">
        <v>1</v>
      </c>
      <c r="D36" s="60">
        <v>32</v>
      </c>
      <c r="E36" s="51">
        <v>0</v>
      </c>
      <c r="F36" s="51">
        <v>0.25</v>
      </c>
      <c r="G36" s="51">
        <v>0.25</v>
      </c>
      <c r="H36" s="51">
        <v>0.5</v>
      </c>
      <c r="I36" s="49">
        <f>IFERROR(B36/A36,"")</f>
        <v>4.333333333333333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">
      <c r="A37" s="50">
        <v>20</v>
      </c>
      <c r="B37" s="60">
        <v>102</v>
      </c>
      <c r="C37" s="60">
        <v>2</v>
      </c>
      <c r="D37" s="60">
        <v>35</v>
      </c>
      <c r="E37" s="51">
        <v>0</v>
      </c>
      <c r="F37" s="51">
        <v>0.25</v>
      </c>
      <c r="G37" s="51">
        <v>0.25</v>
      </c>
      <c r="H37" s="51">
        <v>0.5</v>
      </c>
      <c r="I37" s="53">
        <f t="shared" ref="I37:I55" si="1">IF(A37&lt;&gt;0,(B37-(B36-D36))/(A37-A36),"")</f>
        <v>13.8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">
      <c r="A38" s="50">
        <v>25</v>
      </c>
      <c r="B38" s="60">
        <v>141</v>
      </c>
      <c r="C38" s="60">
        <v>3</v>
      </c>
      <c r="D38" s="60">
        <v>35</v>
      </c>
      <c r="E38" s="51">
        <v>0</v>
      </c>
      <c r="F38" s="51">
        <v>0.25</v>
      </c>
      <c r="G38" s="51">
        <v>0.25</v>
      </c>
      <c r="H38" s="51">
        <v>0.5</v>
      </c>
      <c r="I38" s="53">
        <f t="shared" si="1"/>
        <v>14.8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">
      <c r="A39" s="50">
        <v>30</v>
      </c>
      <c r="B39" s="60">
        <v>177</v>
      </c>
      <c r="C39" s="60">
        <v>4</v>
      </c>
      <c r="D39" s="60">
        <v>35</v>
      </c>
      <c r="E39" s="51">
        <v>0.25</v>
      </c>
      <c r="F39" s="51">
        <v>0.25</v>
      </c>
      <c r="G39" s="51">
        <v>0.25</v>
      </c>
      <c r="H39" s="51">
        <v>0.25</v>
      </c>
      <c r="I39" s="49">
        <f t="shared" si="1"/>
        <v>14.2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">
      <c r="A40" s="50">
        <v>35</v>
      </c>
      <c r="B40" s="60">
        <v>206</v>
      </c>
      <c r="C40" s="60">
        <v>5</v>
      </c>
      <c r="D40" s="60">
        <v>35</v>
      </c>
      <c r="E40" s="51">
        <v>0.25</v>
      </c>
      <c r="F40" s="51">
        <v>0.25</v>
      </c>
      <c r="G40" s="51">
        <v>0.25</v>
      </c>
      <c r="H40" s="51">
        <v>0.25</v>
      </c>
      <c r="I40" s="49">
        <f t="shared" si="1"/>
        <v>12.8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">
      <c r="A41" s="50">
        <v>40</v>
      </c>
      <c r="B41" s="60">
        <v>228</v>
      </c>
      <c r="C41" s="60">
        <v>6</v>
      </c>
      <c r="D41" s="60">
        <v>35</v>
      </c>
      <c r="E41" s="51">
        <v>0.25</v>
      </c>
      <c r="F41" s="51">
        <v>0.25</v>
      </c>
      <c r="G41" s="51">
        <v>0.25</v>
      </c>
      <c r="H41" s="51">
        <v>0.25</v>
      </c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">
      <c r="A42" s="50">
        <v>45</v>
      </c>
      <c r="B42" s="60">
        <v>242</v>
      </c>
      <c r="C42" s="60">
        <v>7</v>
      </c>
      <c r="D42" s="60">
        <v>24</v>
      </c>
      <c r="E42" s="51">
        <v>0.25</v>
      </c>
      <c r="F42" s="51">
        <v>0.25</v>
      </c>
      <c r="G42" s="51">
        <v>0.25</v>
      </c>
      <c r="H42" s="51">
        <v>0.25</v>
      </c>
      <c r="I42" s="53">
        <f t="shared" si="1"/>
        <v>9.8000000000000007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">
      <c r="A43" s="50">
        <v>50</v>
      </c>
      <c r="B43" s="60">
        <v>261</v>
      </c>
      <c r="C43" s="60">
        <v>8</v>
      </c>
      <c r="D43" s="60">
        <v>19</v>
      </c>
      <c r="E43" s="51">
        <v>0.25</v>
      </c>
      <c r="F43" s="51">
        <v>0.25</v>
      </c>
      <c r="G43" s="51">
        <v>0.25</v>
      </c>
      <c r="H43" s="51">
        <v>0.25</v>
      </c>
      <c r="I43" s="49">
        <f t="shared" si="1"/>
        <v>8.6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">
      <c r="A44" s="50">
        <v>55</v>
      </c>
      <c r="B44" s="60">
        <v>279</v>
      </c>
      <c r="C44" s="60">
        <v>9</v>
      </c>
      <c r="D44" s="60">
        <v>16</v>
      </c>
      <c r="E44" s="51">
        <v>0.25</v>
      </c>
      <c r="F44" s="51">
        <v>0.25</v>
      </c>
      <c r="G44" s="51">
        <v>0.25</v>
      </c>
      <c r="H44" s="51">
        <v>0.25</v>
      </c>
      <c r="I44" s="49">
        <f t="shared" si="1"/>
        <v>7.4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">
      <c r="A45" s="50">
        <v>60</v>
      </c>
      <c r="B45" s="60">
        <v>294</v>
      </c>
      <c r="C45" s="60">
        <v>10</v>
      </c>
      <c r="D45" s="60">
        <v>14</v>
      </c>
      <c r="E45" s="51">
        <v>0.25</v>
      </c>
      <c r="F45" s="51">
        <v>0.25</v>
      </c>
      <c r="G45" s="51">
        <v>0.25</v>
      </c>
      <c r="H45" s="51">
        <v>0.25</v>
      </c>
      <c r="I45" s="49">
        <f t="shared" si="1"/>
        <v>6.2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">
      <c r="A46" s="50">
        <v>65</v>
      </c>
      <c r="B46" s="60">
        <v>306</v>
      </c>
      <c r="C46" s="60">
        <v>11</v>
      </c>
      <c r="D46" s="60">
        <v>13</v>
      </c>
      <c r="E46" s="51">
        <v>0.25</v>
      </c>
      <c r="F46" s="51">
        <v>0.25</v>
      </c>
      <c r="G46" s="51">
        <v>0.25</v>
      </c>
      <c r="H46" s="51">
        <v>0.25</v>
      </c>
      <c r="I46" s="49">
        <f t="shared" si="1"/>
        <v>5.2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">
      <c r="A47" s="50">
        <v>70</v>
      </c>
      <c r="B47" s="60">
        <v>316</v>
      </c>
      <c r="C47" s="60">
        <v>12</v>
      </c>
      <c r="D47" s="60">
        <v>13</v>
      </c>
      <c r="E47" s="51">
        <v>0.25</v>
      </c>
      <c r="F47" s="51">
        <v>0.25</v>
      </c>
      <c r="G47" s="51">
        <v>0.25</v>
      </c>
      <c r="H47" s="51">
        <v>0.25</v>
      </c>
      <c r="I47" s="49">
        <f t="shared" si="1"/>
        <v>4.5999999999999996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">
      <c r="A48" s="50">
        <v>75</v>
      </c>
      <c r="B48" s="60">
        <v>324</v>
      </c>
      <c r="C48" s="60">
        <v>13</v>
      </c>
      <c r="D48" s="60">
        <v>12</v>
      </c>
      <c r="E48" s="51">
        <v>0.25</v>
      </c>
      <c r="F48" s="51">
        <v>0.25</v>
      </c>
      <c r="G48" s="51">
        <v>0.25</v>
      </c>
      <c r="H48" s="51">
        <v>0.25</v>
      </c>
      <c r="I48" s="49">
        <f t="shared" si="1"/>
        <v>4.2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">
      <c r="A49" s="50">
        <v>80</v>
      </c>
      <c r="B49" s="60">
        <v>330</v>
      </c>
      <c r="C49" s="60">
        <v>14</v>
      </c>
      <c r="D49" s="60">
        <v>330</v>
      </c>
      <c r="E49" s="51">
        <v>0.25</v>
      </c>
      <c r="F49" s="51">
        <v>0.25</v>
      </c>
      <c r="G49" s="51">
        <v>0.25</v>
      </c>
      <c r="H49" s="51">
        <v>0.25</v>
      </c>
      <c r="I49" s="49">
        <f t="shared" si="1"/>
        <v>3.6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">
      <c r="A58" s="46" t="s">
        <v>166</v>
      </c>
      <c r="B58" s="52" t="str">
        <f>IF(B10="","",B10)</f>
        <v>Erable sycomore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75" x14ac:dyDescent="0.4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">
      <c r="A62" s="50">
        <v>15</v>
      </c>
      <c r="B62" s="60">
        <v>65</v>
      </c>
      <c r="C62" s="60">
        <v>1</v>
      </c>
      <c r="D62" s="60">
        <v>32</v>
      </c>
      <c r="E62" s="51">
        <v>0</v>
      </c>
      <c r="F62" s="51">
        <v>0.25</v>
      </c>
      <c r="G62" s="51">
        <v>0.25</v>
      </c>
      <c r="H62" s="51">
        <v>0.5</v>
      </c>
      <c r="I62" s="53">
        <f>IFERROR(B62/A62,"")</f>
        <v>4.333333333333333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">
      <c r="A63" s="50">
        <v>20</v>
      </c>
      <c r="B63" s="60">
        <v>102</v>
      </c>
      <c r="C63" s="60">
        <v>2</v>
      </c>
      <c r="D63" s="60">
        <v>35</v>
      </c>
      <c r="E63" s="51">
        <v>0</v>
      </c>
      <c r="F63" s="51">
        <v>0.25</v>
      </c>
      <c r="G63" s="51">
        <v>0.25</v>
      </c>
      <c r="H63" s="51">
        <v>0.5</v>
      </c>
      <c r="I63" s="49">
        <f>IF(A63&lt;&gt;0,(B63-(B62-D62))/(A63-A62),"")</f>
        <v>13.8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">
      <c r="A64" s="50">
        <v>25</v>
      </c>
      <c r="B64" s="60">
        <v>141</v>
      </c>
      <c r="C64" s="60">
        <v>3</v>
      </c>
      <c r="D64" s="60">
        <v>35</v>
      </c>
      <c r="E64" s="51">
        <v>0</v>
      </c>
      <c r="F64" s="51">
        <v>0.25</v>
      </c>
      <c r="G64" s="51">
        <v>0.25</v>
      </c>
      <c r="H64" s="51">
        <v>0.5</v>
      </c>
      <c r="I64" s="49">
        <f>IF(A64&lt;&gt;0,(B64-(B63-D63))/(A64-A63),"")</f>
        <v>14.8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">
      <c r="A65" s="50">
        <v>30</v>
      </c>
      <c r="B65" s="60">
        <v>177</v>
      </c>
      <c r="C65" s="60">
        <v>4</v>
      </c>
      <c r="D65" s="60">
        <v>35</v>
      </c>
      <c r="E65" s="51">
        <v>0.25</v>
      </c>
      <c r="F65" s="51">
        <v>0.25</v>
      </c>
      <c r="G65" s="51">
        <v>0.25</v>
      </c>
      <c r="H65" s="51">
        <v>0.25</v>
      </c>
      <c r="I65" s="49">
        <f>IF(A65&lt;&gt;0,(B65-(B64-D64))/(A65-A64),"")</f>
        <v>14.2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">
      <c r="A66" s="50">
        <v>35</v>
      </c>
      <c r="B66" s="60">
        <v>206</v>
      </c>
      <c r="C66" s="60">
        <v>5</v>
      </c>
      <c r="D66" s="60">
        <v>35</v>
      </c>
      <c r="E66" s="51">
        <v>0.25</v>
      </c>
      <c r="F66" s="51">
        <v>0.25</v>
      </c>
      <c r="G66" s="51">
        <v>0.25</v>
      </c>
      <c r="H66" s="51">
        <v>0.25</v>
      </c>
      <c r="I66" s="49">
        <f t="shared" ref="I66:I81" si="2">IF(A66&lt;&gt;0,(B66-(B65-D65))/(A66-A65),"")</f>
        <v>12.8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">
      <c r="A67" s="50">
        <v>40</v>
      </c>
      <c r="B67" s="60">
        <v>228</v>
      </c>
      <c r="C67" s="60">
        <v>6</v>
      </c>
      <c r="D67" s="60">
        <v>35</v>
      </c>
      <c r="E67" s="51">
        <v>0.25</v>
      </c>
      <c r="F67" s="51">
        <v>0.25</v>
      </c>
      <c r="G67" s="51">
        <v>0.25</v>
      </c>
      <c r="H67" s="51">
        <v>0.25</v>
      </c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">
      <c r="A68" s="50">
        <v>45</v>
      </c>
      <c r="B68" s="60">
        <v>242</v>
      </c>
      <c r="C68" s="60">
        <v>7</v>
      </c>
      <c r="D68" s="60">
        <v>24</v>
      </c>
      <c r="E68" s="51">
        <v>0.25</v>
      </c>
      <c r="F68" s="51">
        <v>0.25</v>
      </c>
      <c r="G68" s="51">
        <v>0.25</v>
      </c>
      <c r="H68" s="51">
        <v>0.25</v>
      </c>
      <c r="I68" s="49">
        <f t="shared" si="2"/>
        <v>9.8000000000000007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">
      <c r="A69" s="50">
        <v>50</v>
      </c>
      <c r="B69" s="50">
        <v>261</v>
      </c>
      <c r="C69" s="50">
        <v>8</v>
      </c>
      <c r="D69" s="50">
        <v>19</v>
      </c>
      <c r="E69" s="51">
        <v>0.25</v>
      </c>
      <c r="F69" s="51">
        <v>0.25</v>
      </c>
      <c r="G69" s="51">
        <v>0.25</v>
      </c>
      <c r="H69" s="51">
        <v>0.25</v>
      </c>
      <c r="I69" s="49">
        <f t="shared" si="2"/>
        <v>8.6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">
      <c r="A70" s="50">
        <v>55</v>
      </c>
      <c r="B70" s="50">
        <v>279</v>
      </c>
      <c r="C70" s="50">
        <v>9</v>
      </c>
      <c r="D70" s="50">
        <v>16</v>
      </c>
      <c r="E70" s="51">
        <v>0.25</v>
      </c>
      <c r="F70" s="51">
        <v>0.25</v>
      </c>
      <c r="G70" s="51">
        <v>0.25</v>
      </c>
      <c r="H70" s="51">
        <v>0.25</v>
      </c>
      <c r="I70" s="49">
        <f t="shared" si="2"/>
        <v>7.4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">
      <c r="A71" s="50">
        <v>60</v>
      </c>
      <c r="B71" s="50">
        <v>294</v>
      </c>
      <c r="C71" s="50">
        <v>10</v>
      </c>
      <c r="D71" s="50">
        <v>14</v>
      </c>
      <c r="E71" s="51">
        <v>0.25</v>
      </c>
      <c r="F71" s="51">
        <v>0.25</v>
      </c>
      <c r="G71" s="51">
        <v>0.25</v>
      </c>
      <c r="H71" s="51">
        <v>0.25</v>
      </c>
      <c r="I71" s="49">
        <f t="shared" si="2"/>
        <v>6.2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">
      <c r="A72" s="50">
        <v>65</v>
      </c>
      <c r="B72" s="50">
        <v>306</v>
      </c>
      <c r="C72" s="50">
        <v>11</v>
      </c>
      <c r="D72" s="50">
        <v>13</v>
      </c>
      <c r="E72" s="51">
        <v>0.25</v>
      </c>
      <c r="F72" s="51">
        <v>0.25</v>
      </c>
      <c r="G72" s="51">
        <v>0.25</v>
      </c>
      <c r="H72" s="51">
        <v>0.25</v>
      </c>
      <c r="I72" s="49">
        <f t="shared" si="2"/>
        <v>5.2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">
      <c r="A73" s="50">
        <v>70</v>
      </c>
      <c r="B73" s="50">
        <v>316</v>
      </c>
      <c r="C73" s="50">
        <v>12</v>
      </c>
      <c r="D73" s="50">
        <v>13</v>
      </c>
      <c r="E73" s="51">
        <v>0.25</v>
      </c>
      <c r="F73" s="51">
        <v>0.25</v>
      </c>
      <c r="G73" s="51">
        <v>0.25</v>
      </c>
      <c r="H73" s="51">
        <v>0.25</v>
      </c>
      <c r="I73" s="49">
        <f t="shared" si="2"/>
        <v>4.5999999999999996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">
      <c r="A74" s="50">
        <v>75</v>
      </c>
      <c r="B74" s="50">
        <v>324</v>
      </c>
      <c r="C74" s="50">
        <v>13</v>
      </c>
      <c r="D74" s="50">
        <v>12</v>
      </c>
      <c r="E74" s="51">
        <v>0.25</v>
      </c>
      <c r="F74" s="51">
        <v>0.25</v>
      </c>
      <c r="G74" s="51">
        <v>0.25</v>
      </c>
      <c r="H74" s="51">
        <v>0.25</v>
      </c>
      <c r="I74" s="49">
        <f t="shared" si="2"/>
        <v>4.2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">
      <c r="A75" s="50">
        <v>80</v>
      </c>
      <c r="B75" s="50">
        <v>330</v>
      </c>
      <c r="C75" s="50">
        <v>14</v>
      </c>
      <c r="D75" s="50">
        <v>330</v>
      </c>
      <c r="E75" s="51">
        <v>0.25</v>
      </c>
      <c r="F75" s="51">
        <v>0.25</v>
      </c>
      <c r="G75" s="51">
        <v>0.25</v>
      </c>
      <c r="H75" s="51">
        <v>0.25</v>
      </c>
      <c r="I75" s="49">
        <f t="shared" si="2"/>
        <v>3.6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">
      <c r="A84" s="46" t="s">
        <v>167</v>
      </c>
      <c r="B84" s="52" t="str">
        <f>IF(B11="","",B11)</f>
        <v>Noyer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75" x14ac:dyDescent="0.4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">
      <c r="A88" s="50">
        <v>15</v>
      </c>
      <c r="B88" s="60">
        <v>65</v>
      </c>
      <c r="C88" s="60">
        <v>1</v>
      </c>
      <c r="D88" s="60">
        <v>32</v>
      </c>
      <c r="E88" s="51">
        <v>0</v>
      </c>
      <c r="F88" s="51">
        <v>0.25</v>
      </c>
      <c r="G88" s="51">
        <v>0.25</v>
      </c>
      <c r="H88" s="87">
        <v>0.5</v>
      </c>
      <c r="I88" s="53">
        <f>IFERROR(B88/A88,"")</f>
        <v>4.333333333333333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">
      <c r="A89" s="50">
        <v>20</v>
      </c>
      <c r="B89" s="60">
        <v>102</v>
      </c>
      <c r="C89" s="60">
        <v>2</v>
      </c>
      <c r="D89" s="60">
        <v>35</v>
      </c>
      <c r="E89" s="51">
        <v>0</v>
      </c>
      <c r="F89" s="51">
        <v>0.25</v>
      </c>
      <c r="G89" s="51">
        <v>0.25</v>
      </c>
      <c r="H89" s="87">
        <v>0.5</v>
      </c>
      <c r="I89" s="53">
        <f t="shared" ref="I89:I107" si="3">IF(A89&lt;&gt;0,(B89-(B88-D88))/(A89-A88),"")</f>
        <v>13.8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">
      <c r="A90" s="50">
        <v>25</v>
      </c>
      <c r="B90" s="60">
        <v>141</v>
      </c>
      <c r="C90" s="60">
        <v>3</v>
      </c>
      <c r="D90" s="60">
        <v>35</v>
      </c>
      <c r="E90" s="87">
        <v>0</v>
      </c>
      <c r="F90" s="87">
        <v>0.25</v>
      </c>
      <c r="G90" s="87">
        <v>0.25</v>
      </c>
      <c r="H90" s="87">
        <v>0.5</v>
      </c>
      <c r="I90" s="53">
        <f t="shared" si="3"/>
        <v>14.8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">
      <c r="A91" s="50">
        <v>30</v>
      </c>
      <c r="B91" s="60">
        <v>177</v>
      </c>
      <c r="C91" s="60">
        <v>4</v>
      </c>
      <c r="D91" s="60">
        <v>35</v>
      </c>
      <c r="E91" s="87">
        <v>0.25</v>
      </c>
      <c r="F91" s="87">
        <v>0.25</v>
      </c>
      <c r="G91" s="87">
        <v>0.25</v>
      </c>
      <c r="H91" s="87">
        <v>0.25</v>
      </c>
      <c r="I91" s="53">
        <f t="shared" si="3"/>
        <v>14.2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">
      <c r="A92" s="50">
        <v>35</v>
      </c>
      <c r="B92" s="60">
        <v>206</v>
      </c>
      <c r="C92" s="60">
        <v>5</v>
      </c>
      <c r="D92" s="60">
        <v>35</v>
      </c>
      <c r="E92" s="87">
        <v>0.25</v>
      </c>
      <c r="F92" s="87">
        <v>0.25</v>
      </c>
      <c r="G92" s="87">
        <v>0.25</v>
      </c>
      <c r="H92" s="87">
        <v>0.25</v>
      </c>
      <c r="I92" s="53">
        <f t="shared" si="3"/>
        <v>12.8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">
      <c r="A93" s="50">
        <v>40</v>
      </c>
      <c r="B93" s="60">
        <v>228</v>
      </c>
      <c r="C93" s="60">
        <v>6</v>
      </c>
      <c r="D93" s="60">
        <v>35</v>
      </c>
      <c r="E93" s="87">
        <v>0.25</v>
      </c>
      <c r="F93" s="87">
        <v>0.25</v>
      </c>
      <c r="G93" s="87">
        <v>0.25</v>
      </c>
      <c r="H93" s="87">
        <v>0.25</v>
      </c>
      <c r="I93" s="53">
        <f t="shared" si="3"/>
        <v>11.4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">
      <c r="A94" s="50">
        <v>45</v>
      </c>
      <c r="B94" s="60">
        <v>242</v>
      </c>
      <c r="C94" s="60">
        <v>7</v>
      </c>
      <c r="D94" s="60">
        <v>24</v>
      </c>
      <c r="E94" s="87">
        <v>0.25</v>
      </c>
      <c r="F94" s="87">
        <v>0.25</v>
      </c>
      <c r="G94" s="87">
        <v>0.25</v>
      </c>
      <c r="H94" s="87">
        <v>0.25</v>
      </c>
      <c r="I94" s="53">
        <f t="shared" si="3"/>
        <v>9.8000000000000007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">
      <c r="A95" s="60">
        <v>50</v>
      </c>
      <c r="B95" s="60">
        <v>261</v>
      </c>
      <c r="C95" s="60">
        <v>8</v>
      </c>
      <c r="D95" s="60">
        <v>19</v>
      </c>
      <c r="E95" s="87">
        <v>0.25</v>
      </c>
      <c r="F95" s="87">
        <v>0.25</v>
      </c>
      <c r="G95" s="87">
        <v>0.25</v>
      </c>
      <c r="H95" s="87">
        <v>0.25</v>
      </c>
      <c r="I95" s="53">
        <f t="shared" si="3"/>
        <v>8.6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">
      <c r="A96" s="60">
        <v>55</v>
      </c>
      <c r="B96" s="60">
        <v>279</v>
      </c>
      <c r="C96" s="60">
        <v>9</v>
      </c>
      <c r="D96" s="60">
        <v>16</v>
      </c>
      <c r="E96" s="87">
        <v>0.25</v>
      </c>
      <c r="F96" s="87">
        <v>0.25</v>
      </c>
      <c r="G96" s="87">
        <v>0.25</v>
      </c>
      <c r="H96" s="87">
        <v>0.25</v>
      </c>
      <c r="I96" s="53">
        <f t="shared" si="3"/>
        <v>7.4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">
      <c r="A97" s="60">
        <v>60</v>
      </c>
      <c r="B97" s="60">
        <v>294</v>
      </c>
      <c r="C97" s="60">
        <v>10</v>
      </c>
      <c r="D97" s="60">
        <v>14</v>
      </c>
      <c r="E97" s="87">
        <v>0.25</v>
      </c>
      <c r="F97" s="87">
        <v>0.25</v>
      </c>
      <c r="G97" s="87">
        <v>0.25</v>
      </c>
      <c r="H97" s="87">
        <v>0.25</v>
      </c>
      <c r="I97" s="53">
        <f t="shared" si="3"/>
        <v>6.2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">
      <c r="A98" s="60">
        <v>65</v>
      </c>
      <c r="B98" s="60">
        <v>306</v>
      </c>
      <c r="C98" s="60">
        <v>11</v>
      </c>
      <c r="D98" s="60">
        <v>13</v>
      </c>
      <c r="E98" s="87">
        <v>0.25</v>
      </c>
      <c r="F98" s="87">
        <v>0.25</v>
      </c>
      <c r="G98" s="87">
        <v>0.25</v>
      </c>
      <c r="H98" s="87">
        <v>0.25</v>
      </c>
      <c r="I98" s="53">
        <f t="shared" si="3"/>
        <v>5.2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">
      <c r="A99" s="60">
        <v>70</v>
      </c>
      <c r="B99" s="60">
        <v>316</v>
      </c>
      <c r="C99" s="60">
        <v>12</v>
      </c>
      <c r="D99" s="60">
        <v>13</v>
      </c>
      <c r="E99" s="87">
        <v>0.25</v>
      </c>
      <c r="F99" s="87">
        <v>0.25</v>
      </c>
      <c r="G99" s="87">
        <v>0.25</v>
      </c>
      <c r="H99" s="87">
        <v>0.25</v>
      </c>
      <c r="I99" s="53">
        <f t="shared" si="3"/>
        <v>4.5999999999999996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">
      <c r="A100" s="60">
        <v>75</v>
      </c>
      <c r="B100" s="60">
        <v>324</v>
      </c>
      <c r="C100" s="60">
        <v>13</v>
      </c>
      <c r="D100" s="60">
        <v>12</v>
      </c>
      <c r="E100" s="65">
        <v>0.25</v>
      </c>
      <c r="F100" s="65">
        <v>0.25</v>
      </c>
      <c r="G100" s="65">
        <v>0.25</v>
      </c>
      <c r="H100" s="65">
        <v>0.25</v>
      </c>
      <c r="I100" s="53">
        <f t="shared" si="3"/>
        <v>4.2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">
      <c r="A101" s="60">
        <v>80</v>
      </c>
      <c r="B101" s="60">
        <v>330</v>
      </c>
      <c r="C101" s="60">
        <v>14</v>
      </c>
      <c r="D101" s="60">
        <v>330</v>
      </c>
      <c r="E101" s="65">
        <v>0.25</v>
      </c>
      <c r="F101" s="65">
        <v>0.25</v>
      </c>
      <c r="G101" s="65">
        <v>0.25</v>
      </c>
      <c r="H101" s="65">
        <v>0.25</v>
      </c>
      <c r="I101" s="53">
        <f t="shared" si="3"/>
        <v>3.6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">
      <c r="A110" s="46" t="s">
        <v>168</v>
      </c>
      <c r="B110" s="52" t="str">
        <f>IF(B12="","",B12)</f>
        <v>Bouleau verruqueux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75" x14ac:dyDescent="0.4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">
      <c r="A114" s="50">
        <v>15</v>
      </c>
      <c r="B114" s="60">
        <v>20.512820512820511</v>
      </c>
      <c r="C114" s="50">
        <v>1</v>
      </c>
      <c r="D114" s="60">
        <v>0</v>
      </c>
      <c r="E114" s="51">
        <v>0</v>
      </c>
      <c r="F114" s="51">
        <v>0.25</v>
      </c>
      <c r="G114" s="51">
        <v>0.25</v>
      </c>
      <c r="H114" s="51">
        <v>0.5</v>
      </c>
      <c r="I114" s="53">
        <f>IFERROR(B114/A114,"")</f>
        <v>1.3675213675213673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">
      <c r="A115" s="50">
        <v>20</v>
      </c>
      <c r="B115" s="60">
        <v>34.615384615384613</v>
      </c>
      <c r="C115" s="50">
        <v>2</v>
      </c>
      <c r="D115" s="60">
        <v>5.7692307692307692</v>
      </c>
      <c r="E115" s="51">
        <v>0</v>
      </c>
      <c r="F115" s="51">
        <v>0.25</v>
      </c>
      <c r="G115" s="51">
        <v>0.25</v>
      </c>
      <c r="H115" s="51">
        <v>0.5</v>
      </c>
      <c r="I115" s="53">
        <f t="shared" ref="I115:I133" si="4">IF(A115&lt;&gt;0,(B115-(B114-D114))/(A115-A114),"")</f>
        <v>2.8205128205128203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">
      <c r="A116" s="50">
        <v>25</v>
      </c>
      <c r="B116" s="60">
        <v>43.589743589743591</v>
      </c>
      <c r="C116" s="50">
        <v>3</v>
      </c>
      <c r="D116" s="60">
        <v>5.1282051282051277</v>
      </c>
      <c r="E116" s="51">
        <v>0</v>
      </c>
      <c r="F116" s="51">
        <v>0.25</v>
      </c>
      <c r="G116" s="51">
        <v>0.25</v>
      </c>
      <c r="H116" s="51">
        <v>0.5</v>
      </c>
      <c r="I116" s="53">
        <f t="shared" si="4"/>
        <v>2.9487179487179498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">
      <c r="A117" s="50">
        <v>30</v>
      </c>
      <c r="B117" s="60">
        <v>53.84615384615384</v>
      </c>
      <c r="C117" s="50">
        <v>4</v>
      </c>
      <c r="D117" s="60">
        <v>5.7692307692307692</v>
      </c>
      <c r="E117" s="51">
        <v>0</v>
      </c>
      <c r="F117" s="51">
        <v>0.25</v>
      </c>
      <c r="G117" s="51">
        <v>0.25</v>
      </c>
      <c r="H117" s="51">
        <v>0.5</v>
      </c>
      <c r="I117" s="53">
        <f t="shared" si="4"/>
        <v>3.0769230769230744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">
      <c r="A118" s="50">
        <v>35</v>
      </c>
      <c r="B118" s="60">
        <v>63.46153846153846</v>
      </c>
      <c r="C118" s="50">
        <v>5</v>
      </c>
      <c r="D118" s="60">
        <v>6.4102564102564097</v>
      </c>
      <c r="E118" s="51">
        <v>0</v>
      </c>
      <c r="F118" s="51">
        <v>0.25</v>
      </c>
      <c r="G118" s="51">
        <v>0.25</v>
      </c>
      <c r="H118" s="51">
        <v>0.5</v>
      </c>
      <c r="I118" s="53">
        <f t="shared" si="4"/>
        <v>3.0769230769230775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">
      <c r="A119" s="50">
        <v>40</v>
      </c>
      <c r="B119" s="60">
        <v>72.435897435897431</v>
      </c>
      <c r="C119" s="50">
        <v>6</v>
      </c>
      <c r="D119" s="60">
        <v>6.4102564102564097</v>
      </c>
      <c r="E119" s="51">
        <v>0</v>
      </c>
      <c r="F119" s="51">
        <v>0.25</v>
      </c>
      <c r="G119" s="51">
        <v>0.25</v>
      </c>
      <c r="H119" s="51">
        <v>0.5</v>
      </c>
      <c r="I119" s="53">
        <f t="shared" si="4"/>
        <v>3.0769230769230758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">
      <c r="A120" s="60">
        <v>45</v>
      </c>
      <c r="B120" s="60">
        <v>81.410256410256409</v>
      </c>
      <c r="C120" s="60">
        <v>7</v>
      </c>
      <c r="D120" s="60">
        <v>7.0512820512820511</v>
      </c>
      <c r="E120" s="87">
        <v>0</v>
      </c>
      <c r="F120" s="87">
        <v>0.25</v>
      </c>
      <c r="G120" s="87">
        <v>0.25</v>
      </c>
      <c r="H120" s="87">
        <v>0.5</v>
      </c>
      <c r="I120" s="53">
        <f t="shared" si="4"/>
        <v>3.0769230769230775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">
      <c r="A121" s="60">
        <v>50</v>
      </c>
      <c r="B121" s="60">
        <v>89.102564102564088</v>
      </c>
      <c r="C121" s="60">
        <v>8</v>
      </c>
      <c r="D121" s="60">
        <v>7.0512820512820511</v>
      </c>
      <c r="E121" s="87">
        <v>0</v>
      </c>
      <c r="F121" s="87">
        <v>0.25</v>
      </c>
      <c r="G121" s="87">
        <v>0.25</v>
      </c>
      <c r="H121" s="87">
        <v>0.5</v>
      </c>
      <c r="I121" s="53">
        <f t="shared" si="4"/>
        <v>2.9487179487179445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">
      <c r="A122" s="60">
        <v>55</v>
      </c>
      <c r="B122" s="60">
        <v>96.15384615384616</v>
      </c>
      <c r="C122" s="60">
        <v>9</v>
      </c>
      <c r="D122" s="60">
        <v>7.0512820512820511</v>
      </c>
      <c r="E122" s="87">
        <v>0</v>
      </c>
      <c r="F122" s="87">
        <v>0.25</v>
      </c>
      <c r="G122" s="87">
        <v>0.25</v>
      </c>
      <c r="H122" s="87">
        <v>0.5</v>
      </c>
      <c r="I122" s="53">
        <f t="shared" si="4"/>
        <v>2.8205128205128234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">
      <c r="A123" s="60">
        <v>60</v>
      </c>
      <c r="B123" s="60">
        <v>102.56410256410257</v>
      </c>
      <c r="C123" s="60">
        <v>10</v>
      </c>
      <c r="D123" s="60">
        <v>7.0512820512820511</v>
      </c>
      <c r="E123" s="87">
        <v>0</v>
      </c>
      <c r="F123" s="87">
        <v>0.25</v>
      </c>
      <c r="G123" s="87">
        <v>0.25</v>
      </c>
      <c r="H123" s="87">
        <v>0.5</v>
      </c>
      <c r="I123" s="53">
        <f t="shared" si="4"/>
        <v>2.6923076923076907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">
      <c r="A124" s="60">
        <v>65</v>
      </c>
      <c r="B124" s="60">
        <v>108.33333333333334</v>
      </c>
      <c r="C124" s="60">
        <v>11</v>
      </c>
      <c r="D124" s="60">
        <v>7.0512820512820511</v>
      </c>
      <c r="E124" s="87">
        <v>0</v>
      </c>
      <c r="F124" s="87">
        <v>0.25</v>
      </c>
      <c r="G124" s="87">
        <v>0.25</v>
      </c>
      <c r="H124" s="87">
        <v>0.5</v>
      </c>
      <c r="I124" s="53">
        <f t="shared" si="4"/>
        <v>2.5641025641025634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">
      <c r="A125" s="60">
        <v>70</v>
      </c>
      <c r="B125" s="60">
        <v>114.10256410256409</v>
      </c>
      <c r="C125" s="60">
        <v>12</v>
      </c>
      <c r="D125" s="60">
        <v>7.0512820512820511</v>
      </c>
      <c r="E125" s="87">
        <v>0</v>
      </c>
      <c r="F125" s="87">
        <v>0.25</v>
      </c>
      <c r="G125" s="87">
        <v>0.25</v>
      </c>
      <c r="H125" s="87">
        <v>0.5</v>
      </c>
      <c r="I125" s="53">
        <f t="shared" si="4"/>
        <v>2.5641025641025577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">
      <c r="A126" s="60">
        <v>75</v>
      </c>
      <c r="B126" s="60">
        <v>118.58974358974359</v>
      </c>
      <c r="C126" s="60">
        <v>13</v>
      </c>
      <c r="D126" s="60">
        <v>7.0512820512820511</v>
      </c>
      <c r="E126" s="65">
        <v>0</v>
      </c>
      <c r="F126" s="65">
        <v>0.25</v>
      </c>
      <c r="G126" s="65">
        <v>0.25</v>
      </c>
      <c r="H126" s="65">
        <v>0.5</v>
      </c>
      <c r="I126" s="53">
        <f t="shared" si="4"/>
        <v>2.3076923076923093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">
      <c r="A127" s="60">
        <v>80</v>
      </c>
      <c r="B127" s="60">
        <v>123.07692307692307</v>
      </c>
      <c r="C127" s="60">
        <v>14</v>
      </c>
      <c r="D127" s="60">
        <v>7.0512820512820511</v>
      </c>
      <c r="E127" s="65">
        <v>0</v>
      </c>
      <c r="F127" s="65">
        <v>0.25</v>
      </c>
      <c r="G127" s="65">
        <v>0.25</v>
      </c>
      <c r="H127" s="65">
        <v>0.5</v>
      </c>
      <c r="I127" s="53">
        <f t="shared" si="4"/>
        <v>2.3076923076923039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">
      <c r="A128" s="50">
        <v>85</v>
      </c>
      <c r="B128" s="50">
        <v>126.28205128205127</v>
      </c>
      <c r="C128" s="50">
        <v>15</v>
      </c>
      <c r="D128" s="50">
        <v>6.4102564102564097</v>
      </c>
      <c r="E128" s="54">
        <v>0</v>
      </c>
      <c r="F128" s="54">
        <v>0.25</v>
      </c>
      <c r="G128" s="54">
        <v>0.25</v>
      </c>
      <c r="H128" s="54">
        <v>0.5</v>
      </c>
      <c r="I128" s="53">
        <f t="shared" si="4"/>
        <v>2.0512820512820498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">
      <c r="A129" s="50">
        <v>90</v>
      </c>
      <c r="B129" s="50">
        <v>129.48717948717947</v>
      </c>
      <c r="C129" s="50">
        <v>16</v>
      </c>
      <c r="D129" s="50">
        <v>129.48717948717947</v>
      </c>
      <c r="E129" s="54">
        <v>0</v>
      </c>
      <c r="F129" s="54">
        <v>0.25</v>
      </c>
      <c r="G129" s="54">
        <v>0.25</v>
      </c>
      <c r="H129" s="54">
        <v>0.5</v>
      </c>
      <c r="I129" s="53">
        <f t="shared" si="4"/>
        <v>1.9230769230769227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">
      <c r="A136" s="46" t="s">
        <v>169</v>
      </c>
      <c r="B136" s="52" t="str">
        <f>IF(B13="","",B13)</f>
        <v>Erable plane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75" x14ac:dyDescent="0.4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">
      <c r="A140" s="50">
        <v>15</v>
      </c>
      <c r="B140" s="60">
        <v>65</v>
      </c>
      <c r="C140" s="50">
        <v>1</v>
      </c>
      <c r="D140" s="60">
        <v>32</v>
      </c>
      <c r="E140" s="51">
        <v>0</v>
      </c>
      <c r="F140" s="51">
        <v>0.25</v>
      </c>
      <c r="G140" s="51">
        <v>0.25</v>
      </c>
      <c r="H140" s="51">
        <v>0.5</v>
      </c>
      <c r="I140" s="57">
        <f>IFERROR(B140/A140,"")</f>
        <v>4.333333333333333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">
      <c r="A141" s="50">
        <v>20</v>
      </c>
      <c r="B141" s="60">
        <v>102</v>
      </c>
      <c r="C141" s="50">
        <v>2</v>
      </c>
      <c r="D141" s="60">
        <v>35</v>
      </c>
      <c r="E141" s="51">
        <v>0</v>
      </c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13.8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">
      <c r="A142" s="50">
        <v>25</v>
      </c>
      <c r="B142" s="60">
        <v>141</v>
      </c>
      <c r="C142" s="50">
        <v>3</v>
      </c>
      <c r="D142" s="60">
        <v>35</v>
      </c>
      <c r="E142" s="51">
        <v>0</v>
      </c>
      <c r="F142" s="51">
        <v>0.25</v>
      </c>
      <c r="G142" s="51">
        <v>0.25</v>
      </c>
      <c r="H142" s="51">
        <v>0.5</v>
      </c>
      <c r="I142" s="57">
        <f t="shared" si="5"/>
        <v>14.8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">
      <c r="A143" s="50">
        <v>30</v>
      </c>
      <c r="B143" s="60">
        <v>177</v>
      </c>
      <c r="C143" s="50">
        <v>4</v>
      </c>
      <c r="D143" s="60">
        <v>35</v>
      </c>
      <c r="E143" s="51">
        <v>0.25</v>
      </c>
      <c r="F143" s="51">
        <v>0.25</v>
      </c>
      <c r="G143" s="51">
        <v>0.25</v>
      </c>
      <c r="H143" s="51">
        <v>0.25</v>
      </c>
      <c r="I143" s="57">
        <f t="shared" si="5"/>
        <v>14.2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">
      <c r="A144" s="50">
        <v>35</v>
      </c>
      <c r="B144" s="60">
        <v>206</v>
      </c>
      <c r="C144" s="50">
        <v>5</v>
      </c>
      <c r="D144" s="60">
        <v>35</v>
      </c>
      <c r="E144" s="51">
        <v>0.25</v>
      </c>
      <c r="F144" s="51">
        <v>0.25</v>
      </c>
      <c r="G144" s="51">
        <v>0.25</v>
      </c>
      <c r="H144" s="51">
        <v>0.25</v>
      </c>
      <c r="I144" s="57">
        <f t="shared" si="5"/>
        <v>12.8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">
      <c r="A145" s="50">
        <v>40</v>
      </c>
      <c r="B145" s="60">
        <v>228</v>
      </c>
      <c r="C145" s="50">
        <v>6</v>
      </c>
      <c r="D145" s="60">
        <v>35</v>
      </c>
      <c r="E145" s="51">
        <v>0.25</v>
      </c>
      <c r="F145" s="51">
        <v>0.25</v>
      </c>
      <c r="G145" s="51">
        <v>0.25</v>
      </c>
      <c r="H145" s="51">
        <v>0.25</v>
      </c>
      <c r="I145" s="57">
        <f t="shared" si="5"/>
        <v>11.4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">
      <c r="A146" s="50">
        <v>45</v>
      </c>
      <c r="B146" s="60">
        <v>242</v>
      </c>
      <c r="C146" s="50">
        <v>7</v>
      </c>
      <c r="D146" s="60">
        <v>24</v>
      </c>
      <c r="E146" s="51">
        <v>0.25</v>
      </c>
      <c r="F146" s="51">
        <v>0.25</v>
      </c>
      <c r="G146" s="51">
        <v>0.25</v>
      </c>
      <c r="H146" s="51">
        <v>0.25</v>
      </c>
      <c r="I146" s="57">
        <f t="shared" si="5"/>
        <v>9.8000000000000007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">
      <c r="A147" s="50">
        <v>50</v>
      </c>
      <c r="B147" s="60">
        <v>261</v>
      </c>
      <c r="C147" s="50">
        <v>8</v>
      </c>
      <c r="D147" s="60">
        <v>19</v>
      </c>
      <c r="E147" s="51">
        <v>0.25</v>
      </c>
      <c r="F147" s="51">
        <v>0.25</v>
      </c>
      <c r="G147" s="51">
        <v>0.25</v>
      </c>
      <c r="H147" s="51">
        <v>0.25</v>
      </c>
      <c r="I147" s="57">
        <f>IF(A147&lt;&gt;0,(B147-(B146-D146))/(A147-A146),"")</f>
        <v>8.6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">
      <c r="A148" s="50">
        <v>55</v>
      </c>
      <c r="B148" s="60">
        <v>279</v>
      </c>
      <c r="C148" s="50">
        <v>9</v>
      </c>
      <c r="D148" s="60">
        <v>16</v>
      </c>
      <c r="E148" s="51">
        <v>0.25</v>
      </c>
      <c r="F148" s="51">
        <v>0.25</v>
      </c>
      <c r="G148" s="51">
        <v>0.25</v>
      </c>
      <c r="H148" s="51">
        <v>0.25</v>
      </c>
      <c r="I148" s="57">
        <f t="shared" si="5"/>
        <v>7.4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">
      <c r="A149" s="50">
        <v>60</v>
      </c>
      <c r="B149" s="60">
        <v>294</v>
      </c>
      <c r="C149" s="50">
        <v>10</v>
      </c>
      <c r="D149" s="60">
        <v>14</v>
      </c>
      <c r="E149" s="51">
        <v>0.25</v>
      </c>
      <c r="F149" s="51">
        <v>0.25</v>
      </c>
      <c r="G149" s="51">
        <v>0.25</v>
      </c>
      <c r="H149" s="51">
        <v>0.25</v>
      </c>
      <c r="I149" s="57">
        <f t="shared" si="5"/>
        <v>6.2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">
      <c r="A150" s="50">
        <v>65</v>
      </c>
      <c r="B150" s="60">
        <v>306</v>
      </c>
      <c r="C150" s="50">
        <v>11</v>
      </c>
      <c r="D150" s="60">
        <v>13</v>
      </c>
      <c r="E150" s="51">
        <v>0.25</v>
      </c>
      <c r="F150" s="51">
        <v>0.25</v>
      </c>
      <c r="G150" s="51">
        <v>0.25</v>
      </c>
      <c r="H150" s="51">
        <v>0.25</v>
      </c>
      <c r="I150" s="57">
        <f t="shared" si="5"/>
        <v>5.2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">
      <c r="A151" s="50">
        <v>70</v>
      </c>
      <c r="B151" s="60">
        <v>316</v>
      </c>
      <c r="C151" s="50">
        <v>12</v>
      </c>
      <c r="D151" s="60">
        <v>13</v>
      </c>
      <c r="E151" s="51">
        <v>0.25</v>
      </c>
      <c r="F151" s="51">
        <v>0.25</v>
      </c>
      <c r="G151" s="51">
        <v>0.25</v>
      </c>
      <c r="H151" s="51">
        <v>0.25</v>
      </c>
      <c r="I151" s="57">
        <f t="shared" si="5"/>
        <v>4.5999999999999996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">
      <c r="A152" s="50">
        <v>75</v>
      </c>
      <c r="B152" s="60">
        <v>324</v>
      </c>
      <c r="C152" s="50">
        <v>13</v>
      </c>
      <c r="D152" s="60">
        <v>12</v>
      </c>
      <c r="E152" s="54">
        <v>0.25</v>
      </c>
      <c r="F152" s="54">
        <v>0.25</v>
      </c>
      <c r="G152" s="54">
        <v>0.25</v>
      </c>
      <c r="H152" s="54">
        <v>0.25</v>
      </c>
      <c r="I152" s="57">
        <f t="shared" si="5"/>
        <v>4.2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">
      <c r="A153" s="50">
        <v>80</v>
      </c>
      <c r="B153" s="60">
        <v>330</v>
      </c>
      <c r="C153" s="50">
        <v>14</v>
      </c>
      <c r="D153" s="60">
        <v>330</v>
      </c>
      <c r="E153" s="54">
        <v>0.25</v>
      </c>
      <c r="F153" s="54">
        <v>0.25</v>
      </c>
      <c r="G153" s="54">
        <v>0.25</v>
      </c>
      <c r="H153" s="54">
        <v>0.25</v>
      </c>
      <c r="I153" s="57">
        <f t="shared" si="5"/>
        <v>3.6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">
      <c r="A162" s="46" t="s">
        <v>170</v>
      </c>
      <c r="B162" s="52" t="str">
        <f>IF(B14="","",B14)</f>
        <v>Chêne sessile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75" x14ac:dyDescent="0.4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">
      <c r="A166" s="50">
        <v>42</v>
      </c>
      <c r="B166" s="60">
        <v>171.96</v>
      </c>
      <c r="C166" s="60">
        <v>1</v>
      </c>
      <c r="D166" s="60">
        <v>44.510000000000005</v>
      </c>
      <c r="E166" s="51">
        <v>0</v>
      </c>
      <c r="F166" s="51">
        <v>0.8</v>
      </c>
      <c r="G166" s="51">
        <v>0.2</v>
      </c>
      <c r="H166" s="51">
        <v>0</v>
      </c>
      <c r="I166" s="49">
        <f>IFERROR(B166/A166,"")</f>
        <v>4.0942857142857143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">
      <c r="A167" s="50">
        <v>50</v>
      </c>
      <c r="B167" s="60">
        <v>208.33</v>
      </c>
      <c r="C167" s="60">
        <v>2</v>
      </c>
      <c r="D167" s="60">
        <v>37.54000000000002</v>
      </c>
      <c r="E167" s="51">
        <v>0</v>
      </c>
      <c r="F167" s="51">
        <v>0.8</v>
      </c>
      <c r="G167" s="51">
        <v>0.2</v>
      </c>
      <c r="H167" s="51">
        <v>0</v>
      </c>
      <c r="I167" s="49">
        <f t="shared" ref="I167:I185" si="6">IF(A167&lt;&gt;0,(B167-(B166-D166))/(A167-A166),"")</f>
        <v>10.110000000000001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">
      <c r="A168" s="50">
        <v>58</v>
      </c>
      <c r="B168" s="60">
        <v>253.7</v>
      </c>
      <c r="C168" s="60">
        <v>3</v>
      </c>
      <c r="D168" s="60">
        <v>47.789999999999992</v>
      </c>
      <c r="E168" s="51">
        <v>0</v>
      </c>
      <c r="F168" s="51">
        <v>0.8</v>
      </c>
      <c r="G168" s="51">
        <v>0.2</v>
      </c>
      <c r="H168" s="51">
        <v>0</v>
      </c>
      <c r="I168" s="49">
        <f t="shared" si="6"/>
        <v>10.36375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">
      <c r="A169" s="50">
        <v>66</v>
      </c>
      <c r="B169" s="60">
        <v>286.77</v>
      </c>
      <c r="C169" s="60">
        <v>4</v>
      </c>
      <c r="D169" s="60">
        <v>53.679999999999978</v>
      </c>
      <c r="E169" s="51">
        <v>0.35</v>
      </c>
      <c r="F169" s="51">
        <v>0.2</v>
      </c>
      <c r="G169" s="51">
        <v>0.1</v>
      </c>
      <c r="H169" s="51">
        <v>0.35</v>
      </c>
      <c r="I169" s="49">
        <f t="shared" si="6"/>
        <v>10.107499999999998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">
      <c r="A170" s="50">
        <v>74</v>
      </c>
      <c r="B170" s="60">
        <v>310.95999999999998</v>
      </c>
      <c r="C170" s="60">
        <v>5</v>
      </c>
      <c r="D170" s="60">
        <v>51.339999999999975</v>
      </c>
      <c r="E170" s="51">
        <v>0.35</v>
      </c>
      <c r="F170" s="51">
        <v>0.2</v>
      </c>
      <c r="G170" s="51">
        <v>0.1</v>
      </c>
      <c r="H170" s="51">
        <v>0.35</v>
      </c>
      <c r="I170" s="49">
        <f t="shared" si="6"/>
        <v>9.733749999999997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">
      <c r="A171" s="50">
        <v>84</v>
      </c>
      <c r="B171" s="60">
        <v>355.09</v>
      </c>
      <c r="C171" s="60">
        <v>6</v>
      </c>
      <c r="D171" s="60">
        <v>66.69</v>
      </c>
      <c r="E171" s="51">
        <v>0.35</v>
      </c>
      <c r="F171" s="51">
        <v>0.2</v>
      </c>
      <c r="G171" s="51">
        <v>0.1</v>
      </c>
      <c r="H171" s="51">
        <v>0.35</v>
      </c>
      <c r="I171" s="49">
        <f t="shared" si="6"/>
        <v>9.546999999999997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">
      <c r="A172" s="50">
        <v>94</v>
      </c>
      <c r="B172" s="60">
        <v>380.13</v>
      </c>
      <c r="C172" s="60">
        <v>7</v>
      </c>
      <c r="D172" s="60">
        <v>67.350000000000023</v>
      </c>
      <c r="E172" s="51">
        <v>0.35</v>
      </c>
      <c r="F172" s="51">
        <v>0.2</v>
      </c>
      <c r="G172" s="51">
        <v>0.1</v>
      </c>
      <c r="H172" s="51">
        <v>0.35</v>
      </c>
      <c r="I172" s="49">
        <f t="shared" si="6"/>
        <v>9.1730000000000018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">
      <c r="A173" s="50">
        <v>104</v>
      </c>
      <c r="B173" s="50">
        <v>402.2</v>
      </c>
      <c r="C173" s="50">
        <v>8</v>
      </c>
      <c r="D173" s="50">
        <v>66.089999999999975</v>
      </c>
      <c r="E173" s="51">
        <v>0.35</v>
      </c>
      <c r="F173" s="51">
        <v>0.2</v>
      </c>
      <c r="G173" s="51">
        <v>0.1</v>
      </c>
      <c r="H173" s="51">
        <v>0.35</v>
      </c>
      <c r="I173" s="49">
        <f t="shared" si="6"/>
        <v>8.9420000000000019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">
      <c r="A174" s="50">
        <v>114</v>
      </c>
      <c r="B174" s="50">
        <v>424.56</v>
      </c>
      <c r="C174" s="50">
        <v>9</v>
      </c>
      <c r="D174" s="50">
        <v>61.860000000000014</v>
      </c>
      <c r="E174" s="51">
        <v>0.35</v>
      </c>
      <c r="F174" s="51">
        <v>0.2</v>
      </c>
      <c r="G174" s="51">
        <v>0.1</v>
      </c>
      <c r="H174" s="51">
        <v>0.35</v>
      </c>
      <c r="I174" s="49">
        <f t="shared" si="6"/>
        <v>8.8449999999999989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">
      <c r="A175" s="50">
        <v>124</v>
      </c>
      <c r="B175" s="50">
        <v>451.86</v>
      </c>
      <c r="C175" s="50">
        <v>10</v>
      </c>
      <c r="D175" s="50">
        <v>57.81</v>
      </c>
      <c r="E175" s="51">
        <v>0.35</v>
      </c>
      <c r="F175" s="51">
        <v>0.2</v>
      </c>
      <c r="G175" s="51">
        <v>0.1</v>
      </c>
      <c r="H175" s="51">
        <v>0.35</v>
      </c>
      <c r="I175" s="49">
        <f t="shared" si="6"/>
        <v>8.9160000000000021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">
      <c r="A176" s="50">
        <v>134</v>
      </c>
      <c r="B176" s="50">
        <v>484.28</v>
      </c>
      <c r="C176" s="50">
        <v>11</v>
      </c>
      <c r="D176" s="50">
        <v>60.779999999999973</v>
      </c>
      <c r="E176" s="51">
        <v>0.5</v>
      </c>
      <c r="F176" s="51">
        <v>0.2</v>
      </c>
      <c r="G176" s="51">
        <v>0</v>
      </c>
      <c r="H176" s="51">
        <v>0.3</v>
      </c>
      <c r="I176" s="49">
        <f t="shared" si="6"/>
        <v>9.0229999999999961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">
      <c r="A177" s="50">
        <v>144</v>
      </c>
      <c r="B177" s="50">
        <v>514.94000000000005</v>
      </c>
      <c r="C177" s="50">
        <v>12</v>
      </c>
      <c r="D177" s="50">
        <v>61.800000000000068</v>
      </c>
      <c r="E177" s="51">
        <v>0.5</v>
      </c>
      <c r="F177" s="51">
        <v>0.2</v>
      </c>
      <c r="G177" s="51">
        <v>0</v>
      </c>
      <c r="H177" s="51">
        <v>0.3</v>
      </c>
      <c r="I177" s="49">
        <f t="shared" si="6"/>
        <v>9.1440000000000055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">
      <c r="A178" s="50">
        <v>154</v>
      </c>
      <c r="B178" s="50">
        <v>546.49</v>
      </c>
      <c r="C178" s="50">
        <v>13</v>
      </c>
      <c r="D178" s="50">
        <v>61.050000000000011</v>
      </c>
      <c r="E178" s="51">
        <v>0.5</v>
      </c>
      <c r="F178" s="51">
        <v>0.2</v>
      </c>
      <c r="G178" s="51">
        <v>0</v>
      </c>
      <c r="H178" s="51">
        <v>0.3</v>
      </c>
      <c r="I178" s="49">
        <f t="shared" si="6"/>
        <v>9.3350000000000026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">
      <c r="A179" s="50">
        <v>164</v>
      </c>
      <c r="B179" s="50">
        <v>580.32000000000005</v>
      </c>
      <c r="C179" s="50">
        <v>14</v>
      </c>
      <c r="D179" s="50">
        <v>66.020000000000095</v>
      </c>
      <c r="E179" s="51">
        <v>0.5</v>
      </c>
      <c r="F179" s="51">
        <v>0.2</v>
      </c>
      <c r="G179" s="51">
        <v>0</v>
      </c>
      <c r="H179" s="51">
        <v>0.3</v>
      </c>
      <c r="I179" s="49">
        <f t="shared" si="6"/>
        <v>9.4880000000000049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">
      <c r="A180" s="50">
        <v>174</v>
      </c>
      <c r="B180" s="50">
        <v>610.52</v>
      </c>
      <c r="C180" s="50">
        <v>15</v>
      </c>
      <c r="D180" s="50">
        <v>240</v>
      </c>
      <c r="E180" s="51">
        <v>0.45</v>
      </c>
      <c r="F180" s="51">
        <v>0.05</v>
      </c>
      <c r="G180" s="51">
        <v>0.05</v>
      </c>
      <c r="H180" s="51">
        <v>0.45</v>
      </c>
      <c r="I180" s="49">
        <f t="shared" si="6"/>
        <v>9.6220000000000034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">
      <c r="A181" s="50">
        <v>177</v>
      </c>
      <c r="B181" s="50">
        <v>388.94</v>
      </c>
      <c r="C181" s="50">
        <v>16</v>
      </c>
      <c r="D181" s="50">
        <v>128.66000000000003</v>
      </c>
      <c r="E181" s="51">
        <v>0.45</v>
      </c>
      <c r="F181" s="51">
        <v>0.05</v>
      </c>
      <c r="G181" s="51">
        <v>0.05</v>
      </c>
      <c r="H181" s="51">
        <v>0.45</v>
      </c>
      <c r="I181" s="49">
        <f t="shared" si="6"/>
        <v>6.140000000000005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">
      <c r="A182" s="50">
        <v>180</v>
      </c>
      <c r="B182" s="50">
        <v>271.56</v>
      </c>
      <c r="C182" s="50">
        <v>17</v>
      </c>
      <c r="D182" s="50">
        <v>86.97</v>
      </c>
      <c r="E182" s="51">
        <v>0.45</v>
      </c>
      <c r="F182" s="51">
        <v>0.05</v>
      </c>
      <c r="G182" s="51">
        <v>0.05</v>
      </c>
      <c r="H182" s="51">
        <v>0.45</v>
      </c>
      <c r="I182" s="49">
        <f t="shared" si="6"/>
        <v>3.76000000000001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">
      <c r="A183" s="50">
        <v>183</v>
      </c>
      <c r="B183" s="50">
        <v>191.47</v>
      </c>
      <c r="C183" s="50">
        <v>18</v>
      </c>
      <c r="D183" s="50">
        <v>191.47</v>
      </c>
      <c r="E183" s="51">
        <v>0.45</v>
      </c>
      <c r="F183" s="51">
        <v>0.05</v>
      </c>
      <c r="G183" s="51">
        <v>0.05</v>
      </c>
      <c r="H183" s="51">
        <v>0.45</v>
      </c>
      <c r="I183" s="49">
        <f t="shared" si="6"/>
        <v>2.2933333333333317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">
      <c r="A188" s="46" t="s">
        <v>171</v>
      </c>
      <c r="B188" s="52" t="str">
        <f>IF(B15="","",B15)</f>
        <v>Tilleul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75" x14ac:dyDescent="0.4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">
      <c r="A192" s="50">
        <v>42</v>
      </c>
      <c r="B192" s="60">
        <v>171.96</v>
      </c>
      <c r="C192" s="60">
        <v>1</v>
      </c>
      <c r="D192" s="60">
        <v>44.510000000000005</v>
      </c>
      <c r="E192" s="51">
        <v>0</v>
      </c>
      <c r="F192" s="51">
        <v>0.8</v>
      </c>
      <c r="G192" s="51">
        <v>0.2</v>
      </c>
      <c r="H192" s="51">
        <v>0</v>
      </c>
      <c r="I192" s="49">
        <f>IFERROR(B192/A192,"")</f>
        <v>4.0942857142857143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">
      <c r="A193" s="50">
        <v>50</v>
      </c>
      <c r="B193" s="60">
        <v>208.33</v>
      </c>
      <c r="C193" s="60">
        <v>2</v>
      </c>
      <c r="D193" s="60">
        <v>37.54000000000002</v>
      </c>
      <c r="E193" s="51">
        <v>0</v>
      </c>
      <c r="F193" s="51">
        <v>0.8</v>
      </c>
      <c r="G193" s="51">
        <v>0.2</v>
      </c>
      <c r="H193" s="51">
        <v>0</v>
      </c>
      <c r="I193" s="49">
        <f t="shared" ref="I193:I211" si="7">IF(A193&lt;&gt;0,(B193-(B192-D192))/(A193-A192),"")</f>
        <v>10.110000000000001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">
      <c r="A194" s="50">
        <v>58</v>
      </c>
      <c r="B194" s="60">
        <v>253.7</v>
      </c>
      <c r="C194" s="60">
        <v>3</v>
      </c>
      <c r="D194" s="60">
        <v>47.789999999999992</v>
      </c>
      <c r="E194" s="51">
        <v>0</v>
      </c>
      <c r="F194" s="51">
        <v>0.8</v>
      </c>
      <c r="G194" s="51">
        <v>0.2</v>
      </c>
      <c r="H194" s="51">
        <v>0</v>
      </c>
      <c r="I194" s="49">
        <f t="shared" si="7"/>
        <v>10.36375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">
      <c r="A195" s="50">
        <v>66</v>
      </c>
      <c r="B195" s="60">
        <v>286.77</v>
      </c>
      <c r="C195" s="60">
        <v>4</v>
      </c>
      <c r="D195" s="60">
        <v>53.679999999999978</v>
      </c>
      <c r="E195" s="51">
        <v>0.35</v>
      </c>
      <c r="F195" s="51">
        <v>0.2</v>
      </c>
      <c r="G195" s="51">
        <v>0.1</v>
      </c>
      <c r="H195" s="51">
        <v>0.35</v>
      </c>
      <c r="I195" s="49">
        <f t="shared" si="7"/>
        <v>10.107499999999998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">
      <c r="A196" s="50">
        <v>74</v>
      </c>
      <c r="B196" s="60">
        <v>310.95999999999998</v>
      </c>
      <c r="C196" s="60">
        <v>5</v>
      </c>
      <c r="D196" s="60">
        <v>51.339999999999975</v>
      </c>
      <c r="E196" s="51">
        <v>0.35</v>
      </c>
      <c r="F196" s="51">
        <v>0.2</v>
      </c>
      <c r="G196" s="51">
        <v>0.1</v>
      </c>
      <c r="H196" s="51">
        <v>0.35</v>
      </c>
      <c r="I196" s="49">
        <f t="shared" si="7"/>
        <v>9.733749999999997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">
      <c r="A197" s="50">
        <v>84</v>
      </c>
      <c r="B197" s="60">
        <v>355.09</v>
      </c>
      <c r="C197" s="60">
        <v>6</v>
      </c>
      <c r="D197" s="60">
        <v>66.69</v>
      </c>
      <c r="E197" s="51">
        <v>0.35</v>
      </c>
      <c r="F197" s="51">
        <v>0.2</v>
      </c>
      <c r="G197" s="51">
        <v>0.1</v>
      </c>
      <c r="H197" s="51">
        <v>0.35</v>
      </c>
      <c r="I197" s="49">
        <f t="shared" si="7"/>
        <v>9.546999999999997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">
      <c r="A198" s="50">
        <v>94</v>
      </c>
      <c r="B198" s="60">
        <v>380.13</v>
      </c>
      <c r="C198" s="60">
        <v>7</v>
      </c>
      <c r="D198" s="60">
        <v>67.350000000000023</v>
      </c>
      <c r="E198" s="51">
        <v>0.35</v>
      </c>
      <c r="F198" s="51">
        <v>0.2</v>
      </c>
      <c r="G198" s="51">
        <v>0.1</v>
      </c>
      <c r="H198" s="51">
        <v>0.35</v>
      </c>
      <c r="I198" s="49">
        <f t="shared" si="7"/>
        <v>9.1730000000000018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">
      <c r="A199" s="50">
        <v>104</v>
      </c>
      <c r="B199" s="50">
        <v>402.2</v>
      </c>
      <c r="C199" s="50">
        <v>8</v>
      </c>
      <c r="D199" s="50">
        <v>66.089999999999975</v>
      </c>
      <c r="E199" s="51">
        <v>0.35</v>
      </c>
      <c r="F199" s="51">
        <v>0.2</v>
      </c>
      <c r="G199" s="51">
        <v>0.1</v>
      </c>
      <c r="H199" s="51">
        <v>0.35</v>
      </c>
      <c r="I199" s="49">
        <f t="shared" si="7"/>
        <v>8.9420000000000019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">
      <c r="A200" s="50">
        <v>114</v>
      </c>
      <c r="B200" s="50">
        <v>424.56</v>
      </c>
      <c r="C200" s="50">
        <v>9</v>
      </c>
      <c r="D200" s="50">
        <v>61.860000000000014</v>
      </c>
      <c r="E200" s="51">
        <v>0.35</v>
      </c>
      <c r="F200" s="51">
        <v>0.2</v>
      </c>
      <c r="G200" s="51">
        <v>0.1</v>
      </c>
      <c r="H200" s="51">
        <v>0.35</v>
      </c>
      <c r="I200" s="49">
        <f t="shared" si="7"/>
        <v>8.8449999999999989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">
      <c r="A201" s="50">
        <v>124</v>
      </c>
      <c r="B201" s="50">
        <v>451.86</v>
      </c>
      <c r="C201" s="50">
        <v>10</v>
      </c>
      <c r="D201" s="50">
        <v>57.81</v>
      </c>
      <c r="E201" s="51">
        <v>0.35</v>
      </c>
      <c r="F201" s="51">
        <v>0.2</v>
      </c>
      <c r="G201" s="51">
        <v>0.1</v>
      </c>
      <c r="H201" s="51">
        <v>0.35</v>
      </c>
      <c r="I201" s="49">
        <f t="shared" si="7"/>
        <v>8.9160000000000021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">
      <c r="A202" s="50">
        <v>134</v>
      </c>
      <c r="B202" s="50">
        <v>484.28</v>
      </c>
      <c r="C202" s="50">
        <v>11</v>
      </c>
      <c r="D202" s="50">
        <v>60.779999999999973</v>
      </c>
      <c r="E202" s="51">
        <v>0.5</v>
      </c>
      <c r="F202" s="51">
        <v>0.2</v>
      </c>
      <c r="G202" s="51">
        <v>0</v>
      </c>
      <c r="H202" s="51">
        <v>0.3</v>
      </c>
      <c r="I202" s="49">
        <f t="shared" si="7"/>
        <v>9.0229999999999961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">
      <c r="A203" s="50">
        <v>144</v>
      </c>
      <c r="B203" s="50">
        <v>514.94000000000005</v>
      </c>
      <c r="C203" s="50">
        <v>12</v>
      </c>
      <c r="D203" s="50">
        <v>61.800000000000068</v>
      </c>
      <c r="E203" s="51">
        <v>0.5</v>
      </c>
      <c r="F203" s="51">
        <v>0.2</v>
      </c>
      <c r="G203" s="51">
        <v>0</v>
      </c>
      <c r="H203" s="51">
        <v>0.3</v>
      </c>
      <c r="I203" s="49">
        <f t="shared" si="7"/>
        <v>9.1440000000000055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">
      <c r="A204" s="50">
        <v>154</v>
      </c>
      <c r="B204" s="50">
        <v>546.49</v>
      </c>
      <c r="C204" s="50">
        <v>13</v>
      </c>
      <c r="D204" s="50">
        <v>61.050000000000011</v>
      </c>
      <c r="E204" s="51">
        <v>0.5</v>
      </c>
      <c r="F204" s="51">
        <v>0.2</v>
      </c>
      <c r="G204" s="51">
        <v>0</v>
      </c>
      <c r="H204" s="51">
        <v>0.3</v>
      </c>
      <c r="I204" s="49">
        <f t="shared" si="7"/>
        <v>9.3350000000000026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">
      <c r="A205" s="50">
        <v>164</v>
      </c>
      <c r="B205" s="50">
        <v>580.32000000000005</v>
      </c>
      <c r="C205" s="50">
        <v>14</v>
      </c>
      <c r="D205" s="50">
        <v>66.020000000000095</v>
      </c>
      <c r="E205" s="51">
        <v>0.5</v>
      </c>
      <c r="F205" s="51">
        <v>0.2</v>
      </c>
      <c r="G205" s="51">
        <v>0</v>
      </c>
      <c r="H205" s="51">
        <v>0.3</v>
      </c>
      <c r="I205" s="49">
        <f t="shared" si="7"/>
        <v>9.4880000000000049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">
      <c r="A206" s="50">
        <v>174</v>
      </c>
      <c r="B206" s="50">
        <v>610.52</v>
      </c>
      <c r="C206" s="50">
        <v>15</v>
      </c>
      <c r="D206" s="50">
        <v>240</v>
      </c>
      <c r="E206" s="51">
        <v>0.45</v>
      </c>
      <c r="F206" s="51">
        <v>0.05</v>
      </c>
      <c r="G206" s="51">
        <v>0.05</v>
      </c>
      <c r="H206" s="51">
        <v>0.45</v>
      </c>
      <c r="I206" s="49">
        <f t="shared" si="7"/>
        <v>9.6220000000000034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">
      <c r="A207" s="50">
        <v>177</v>
      </c>
      <c r="B207" s="50">
        <v>388.94</v>
      </c>
      <c r="C207" s="50">
        <v>16</v>
      </c>
      <c r="D207" s="50">
        <v>128.66000000000003</v>
      </c>
      <c r="E207" s="51">
        <v>0.45</v>
      </c>
      <c r="F207" s="51">
        <v>0.05</v>
      </c>
      <c r="G207" s="51">
        <v>0.05</v>
      </c>
      <c r="H207" s="51">
        <v>0.45</v>
      </c>
      <c r="I207" s="49">
        <f t="shared" si="7"/>
        <v>6.140000000000005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">
      <c r="A208" s="50">
        <v>180</v>
      </c>
      <c r="B208" s="50">
        <v>271.56</v>
      </c>
      <c r="C208" s="50">
        <v>17</v>
      </c>
      <c r="D208" s="50">
        <v>86.97</v>
      </c>
      <c r="E208" s="51">
        <v>0.45</v>
      </c>
      <c r="F208" s="51">
        <v>0.05</v>
      </c>
      <c r="G208" s="51">
        <v>0.05</v>
      </c>
      <c r="H208" s="51">
        <v>0.45</v>
      </c>
      <c r="I208" s="49">
        <f t="shared" si="7"/>
        <v>3.76000000000001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">
      <c r="A209" s="50">
        <v>183</v>
      </c>
      <c r="B209" s="50">
        <v>191.47</v>
      </c>
      <c r="C209" s="50">
        <v>18</v>
      </c>
      <c r="D209" s="50">
        <v>191.47</v>
      </c>
      <c r="E209" s="51">
        <v>0.45</v>
      </c>
      <c r="F209" s="51">
        <v>0.05</v>
      </c>
      <c r="G209" s="51">
        <v>0.05</v>
      </c>
      <c r="H209" s="51">
        <v>0.45</v>
      </c>
      <c r="I209" s="49">
        <f t="shared" si="7"/>
        <v>2.2933333333333317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">
      <c r="A214" s="46" t="s">
        <v>172</v>
      </c>
      <c r="B214" s="52" t="str">
        <f>IF(B16="","",B16)</f>
        <v>Charme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75" x14ac:dyDescent="0.4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">
      <c r="A218" s="50">
        <v>42</v>
      </c>
      <c r="B218" s="60">
        <v>171.96</v>
      </c>
      <c r="C218" s="50">
        <v>1</v>
      </c>
      <c r="D218" s="60">
        <v>44.510000000000005</v>
      </c>
      <c r="E218" s="63">
        <v>0</v>
      </c>
      <c r="F218" s="63">
        <v>0.8</v>
      </c>
      <c r="G218" s="63">
        <v>0.2</v>
      </c>
      <c r="H218" s="63">
        <v>0</v>
      </c>
      <c r="I218" s="53">
        <f>IFERROR(B218/A218,"")</f>
        <v>4.0942857142857143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">
      <c r="A219" s="50">
        <v>50</v>
      </c>
      <c r="B219" s="60">
        <v>208.33</v>
      </c>
      <c r="C219" s="50">
        <v>2</v>
      </c>
      <c r="D219" s="60">
        <v>37.54000000000002</v>
      </c>
      <c r="E219" s="63">
        <v>0</v>
      </c>
      <c r="F219" s="63">
        <v>0.8</v>
      </c>
      <c r="G219" s="63">
        <v>0.2</v>
      </c>
      <c r="H219" s="63">
        <v>0</v>
      </c>
      <c r="I219" s="53">
        <f t="shared" ref="I219:I237" si="8">IF(A219&lt;&gt;0,(B219-(B218-D218))/(A219-A218),"")</f>
        <v>10.110000000000001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">
      <c r="A220" s="50">
        <v>58</v>
      </c>
      <c r="B220" s="60">
        <v>253.7</v>
      </c>
      <c r="C220" s="50">
        <v>3</v>
      </c>
      <c r="D220" s="60">
        <v>47.789999999999992</v>
      </c>
      <c r="E220" s="63">
        <v>0</v>
      </c>
      <c r="F220" s="63">
        <v>0.8</v>
      </c>
      <c r="G220" s="63">
        <v>0.2</v>
      </c>
      <c r="H220" s="63">
        <v>0</v>
      </c>
      <c r="I220" s="53">
        <f t="shared" si="8"/>
        <v>10.36375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">
      <c r="A221" s="55">
        <v>66</v>
      </c>
      <c r="B221" s="55">
        <v>286.77</v>
      </c>
      <c r="C221" s="55">
        <v>4</v>
      </c>
      <c r="D221" s="55">
        <v>53.679999999999978</v>
      </c>
      <c r="E221" s="63">
        <v>0.35</v>
      </c>
      <c r="F221" s="63">
        <v>0.2</v>
      </c>
      <c r="G221" s="63">
        <v>0.1</v>
      </c>
      <c r="H221" s="63">
        <v>0.35</v>
      </c>
      <c r="I221" s="53">
        <f t="shared" si="8"/>
        <v>10.107499999999998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">
      <c r="A222" s="55">
        <v>74</v>
      </c>
      <c r="B222" s="55">
        <v>310.95999999999998</v>
      </c>
      <c r="C222" s="55">
        <v>5</v>
      </c>
      <c r="D222" s="55">
        <v>51.339999999999975</v>
      </c>
      <c r="E222" s="63">
        <v>0.35</v>
      </c>
      <c r="F222" s="63">
        <v>0.2</v>
      </c>
      <c r="G222" s="63">
        <v>0.1</v>
      </c>
      <c r="H222" s="63">
        <v>0.35</v>
      </c>
      <c r="I222" s="53">
        <f t="shared" si="8"/>
        <v>9.733749999999997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">
      <c r="A223" s="55">
        <v>84</v>
      </c>
      <c r="B223" s="55">
        <v>355.09</v>
      </c>
      <c r="C223" s="55">
        <v>6</v>
      </c>
      <c r="D223" s="55">
        <v>66.69</v>
      </c>
      <c r="E223" s="63">
        <v>0.35</v>
      </c>
      <c r="F223" s="63">
        <v>0.2</v>
      </c>
      <c r="G223" s="63">
        <v>0.1</v>
      </c>
      <c r="H223" s="63">
        <v>0.35</v>
      </c>
      <c r="I223" s="53">
        <f t="shared" si="8"/>
        <v>9.546999999999997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">
      <c r="A224" s="55">
        <v>94</v>
      </c>
      <c r="B224" s="55">
        <v>380.13</v>
      </c>
      <c r="C224" s="55">
        <v>7</v>
      </c>
      <c r="D224" s="55">
        <v>67.350000000000023</v>
      </c>
      <c r="E224" s="63">
        <v>0.35</v>
      </c>
      <c r="F224" s="63">
        <v>0.2</v>
      </c>
      <c r="G224" s="63">
        <v>0.1</v>
      </c>
      <c r="H224" s="63">
        <v>0.35</v>
      </c>
      <c r="I224" s="53">
        <f t="shared" si="8"/>
        <v>9.1730000000000018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">
      <c r="A225" s="55">
        <v>104</v>
      </c>
      <c r="B225" s="55">
        <v>402.2</v>
      </c>
      <c r="C225" s="55">
        <v>8</v>
      </c>
      <c r="D225" s="55">
        <v>66.089999999999975</v>
      </c>
      <c r="E225" s="63">
        <v>0.35</v>
      </c>
      <c r="F225" s="63">
        <v>0.2</v>
      </c>
      <c r="G225" s="63">
        <v>0.1</v>
      </c>
      <c r="H225" s="63">
        <v>0.35</v>
      </c>
      <c r="I225" s="53">
        <f t="shared" si="8"/>
        <v>8.9420000000000019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">
      <c r="A226" s="55">
        <v>114</v>
      </c>
      <c r="B226" s="55">
        <v>424.56</v>
      </c>
      <c r="C226" s="55">
        <v>9</v>
      </c>
      <c r="D226" s="55">
        <v>61.860000000000014</v>
      </c>
      <c r="E226" s="63">
        <v>0.35</v>
      </c>
      <c r="F226" s="63">
        <v>0.2</v>
      </c>
      <c r="G226" s="63">
        <v>0.1</v>
      </c>
      <c r="H226" s="63">
        <v>0.35</v>
      </c>
      <c r="I226" s="53">
        <f t="shared" si="8"/>
        <v>8.8449999999999989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">
      <c r="A227" s="55">
        <v>124</v>
      </c>
      <c r="B227" s="55">
        <v>451.86</v>
      </c>
      <c r="C227" s="55">
        <v>10</v>
      </c>
      <c r="D227" s="55">
        <v>57.81</v>
      </c>
      <c r="E227" s="63">
        <v>0.35</v>
      </c>
      <c r="F227" s="63">
        <v>0.2</v>
      </c>
      <c r="G227" s="63">
        <v>0.1</v>
      </c>
      <c r="H227" s="63">
        <v>0.35</v>
      </c>
      <c r="I227" s="53">
        <f t="shared" si="8"/>
        <v>8.9160000000000021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">
      <c r="A228" s="55">
        <v>134</v>
      </c>
      <c r="B228" s="55">
        <v>484.28</v>
      </c>
      <c r="C228" s="55">
        <v>11</v>
      </c>
      <c r="D228" s="55">
        <v>60.779999999999973</v>
      </c>
      <c r="E228" s="63">
        <v>0.5</v>
      </c>
      <c r="F228" s="63">
        <v>0.2</v>
      </c>
      <c r="G228" s="63">
        <v>0</v>
      </c>
      <c r="H228" s="63">
        <v>0.3</v>
      </c>
      <c r="I228" s="53">
        <f t="shared" si="8"/>
        <v>9.0229999999999961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">
      <c r="A229" s="55">
        <v>144</v>
      </c>
      <c r="B229" s="55">
        <v>514.94000000000005</v>
      </c>
      <c r="C229" s="55">
        <v>12</v>
      </c>
      <c r="D229" s="55">
        <v>61.800000000000068</v>
      </c>
      <c r="E229" s="63">
        <v>0.5</v>
      </c>
      <c r="F229" s="63">
        <v>0.2</v>
      </c>
      <c r="G229" s="63">
        <v>0</v>
      </c>
      <c r="H229" s="63">
        <v>0.3</v>
      </c>
      <c r="I229" s="53">
        <f t="shared" si="8"/>
        <v>9.1440000000000055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">
      <c r="A230" s="55">
        <v>154</v>
      </c>
      <c r="B230" s="55">
        <v>546.49</v>
      </c>
      <c r="C230" s="55">
        <v>13</v>
      </c>
      <c r="D230" s="55">
        <v>61.050000000000011</v>
      </c>
      <c r="E230" s="64">
        <v>0.5</v>
      </c>
      <c r="F230" s="64">
        <v>0.2</v>
      </c>
      <c r="G230" s="64">
        <v>0</v>
      </c>
      <c r="H230" s="64">
        <v>0.3</v>
      </c>
      <c r="I230" s="53">
        <f t="shared" si="8"/>
        <v>9.3350000000000026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">
      <c r="A231" s="88">
        <v>164</v>
      </c>
      <c r="B231" s="60">
        <v>580.32000000000005</v>
      </c>
      <c r="C231" s="88">
        <v>14</v>
      </c>
      <c r="D231" s="60">
        <v>66.020000000000095</v>
      </c>
      <c r="E231" s="54">
        <v>0.5</v>
      </c>
      <c r="F231" s="54">
        <v>0.2</v>
      </c>
      <c r="G231" s="54">
        <v>0</v>
      </c>
      <c r="H231" s="54">
        <v>0.3</v>
      </c>
      <c r="I231" s="53">
        <f t="shared" si="8"/>
        <v>9.4880000000000049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">
      <c r="A232" s="50">
        <v>174</v>
      </c>
      <c r="B232" s="50">
        <v>610.52</v>
      </c>
      <c r="C232" s="50">
        <v>15</v>
      </c>
      <c r="D232" s="50">
        <v>240</v>
      </c>
      <c r="E232" s="54">
        <v>0.45</v>
      </c>
      <c r="F232" s="54">
        <v>0.05</v>
      </c>
      <c r="G232" s="54">
        <v>0.05</v>
      </c>
      <c r="H232" s="54">
        <v>0.45</v>
      </c>
      <c r="I232" s="53">
        <f t="shared" si="8"/>
        <v>9.6220000000000034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">
      <c r="A233" s="50">
        <v>177</v>
      </c>
      <c r="B233" s="50">
        <v>388.94</v>
      </c>
      <c r="C233" s="50">
        <v>16</v>
      </c>
      <c r="D233" s="50">
        <v>128.66000000000003</v>
      </c>
      <c r="E233" s="54">
        <v>0.45</v>
      </c>
      <c r="F233" s="54">
        <v>0.05</v>
      </c>
      <c r="G233" s="54">
        <v>0.05</v>
      </c>
      <c r="H233" s="54">
        <v>0.45</v>
      </c>
      <c r="I233" s="53">
        <f t="shared" si="8"/>
        <v>6.140000000000005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">
      <c r="A234" s="50">
        <v>180</v>
      </c>
      <c r="B234" s="50">
        <v>271.56</v>
      </c>
      <c r="C234" s="50">
        <v>17</v>
      </c>
      <c r="D234" s="50">
        <v>86.97</v>
      </c>
      <c r="E234" s="54">
        <v>0.45</v>
      </c>
      <c r="F234" s="54">
        <v>0.05</v>
      </c>
      <c r="G234" s="54">
        <v>0.05</v>
      </c>
      <c r="H234" s="54">
        <v>0.45</v>
      </c>
      <c r="I234" s="53">
        <f t="shared" si="8"/>
        <v>3.76000000000001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">
      <c r="A235" s="50">
        <v>183</v>
      </c>
      <c r="B235" s="50">
        <v>191.47</v>
      </c>
      <c r="C235" s="50">
        <v>18</v>
      </c>
      <c r="D235" s="50">
        <v>191.47</v>
      </c>
      <c r="E235" s="54">
        <v>0.45</v>
      </c>
      <c r="F235" s="54">
        <v>0.05</v>
      </c>
      <c r="G235" s="54">
        <v>0.05</v>
      </c>
      <c r="H235" s="54">
        <v>0.45</v>
      </c>
      <c r="I235" s="53">
        <f t="shared" si="8"/>
        <v>2.2933333333333317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75" x14ac:dyDescent="0.4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75" x14ac:dyDescent="0.4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B17" sqref="B17"/>
    </sheetView>
  </sheetViews>
  <sheetFormatPr baseColWidth="10" defaultColWidth="11.4609375" defaultRowHeight="14.6" x14ac:dyDescent="0.4"/>
  <cols>
    <col min="1" max="1" width="5.921875" style="1" customWidth="1"/>
    <col min="2" max="2" width="14.07421875" style="1" customWidth="1"/>
    <col min="3" max="3" width="62.07421875" style="1" customWidth="1"/>
    <col min="4" max="5" width="4.3046875" style="1" customWidth="1"/>
    <col min="6" max="6" width="14.3046875" style="1" customWidth="1"/>
    <col min="7" max="7" width="73.3046875" style="1" bestFit="1" customWidth="1"/>
    <col min="8" max="10" width="11.4609375" style="1"/>
    <col min="11" max="11" width="12.53515625" style="1" customWidth="1"/>
    <col min="12" max="16384" width="11.4609375" style="1"/>
  </cols>
  <sheetData>
    <row r="1" spans="1:38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6" thickBot="1" x14ac:dyDescent="0.7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">
      <c r="C104" s="4"/>
      <c r="F104" s="4"/>
    </row>
    <row r="105" spans="3:35" x14ac:dyDescent="0.4">
      <c r="C105" s="4"/>
      <c r="F105" s="4"/>
    </row>
    <row r="106" spans="3:35" x14ac:dyDescent="0.4">
      <c r="C106" s="4"/>
      <c r="F106" s="4"/>
    </row>
    <row r="107" spans="3:35" x14ac:dyDescent="0.4">
      <c r="C107" s="4"/>
      <c r="F107" s="4"/>
    </row>
    <row r="108" spans="3:35" x14ac:dyDescent="0.4">
      <c r="C108" s="4"/>
      <c r="F108" s="4"/>
    </row>
    <row r="109" spans="3:35" x14ac:dyDescent="0.4">
      <c r="C109" s="4"/>
      <c r="F109" s="4"/>
    </row>
    <row r="110" spans="3:35" x14ac:dyDescent="0.4">
      <c r="C110" s="4"/>
      <c r="F110" s="4"/>
    </row>
    <row r="111" spans="3:35" x14ac:dyDescent="0.4">
      <c r="C111" s="4"/>
      <c r="F111" s="4"/>
    </row>
    <row r="112" spans="3:35" x14ac:dyDescent="0.4">
      <c r="C112" s="4"/>
      <c r="F112" s="4"/>
    </row>
    <row r="113" spans="3:6" x14ac:dyDescent="0.4">
      <c r="C113" s="4"/>
      <c r="F113" s="4"/>
    </row>
    <row r="114" spans="3:6" x14ac:dyDescent="0.4">
      <c r="C114" s="4"/>
      <c r="F114" s="4"/>
    </row>
    <row r="115" spans="3:6" x14ac:dyDescent="0.4">
      <c r="C115" s="4"/>
      <c r="F115" s="4"/>
    </row>
    <row r="116" spans="3:6" x14ac:dyDescent="0.4">
      <c r="C116" s="4"/>
      <c r="F116" s="4"/>
    </row>
    <row r="117" spans="3:6" x14ac:dyDescent="0.4">
      <c r="C117" s="4"/>
      <c r="F117" s="4"/>
    </row>
    <row r="118" spans="3:6" x14ac:dyDescent="0.4">
      <c r="C118" s="4"/>
      <c r="F118" s="4"/>
    </row>
    <row r="119" spans="3:6" x14ac:dyDescent="0.4">
      <c r="C119" s="4"/>
      <c r="F119" s="4"/>
    </row>
    <row r="120" spans="3:6" x14ac:dyDescent="0.4">
      <c r="C120" s="4"/>
      <c r="F120" s="4"/>
    </row>
    <row r="121" spans="3:6" x14ac:dyDescent="0.4">
      <c r="C121" s="4"/>
      <c r="F121" s="4"/>
    </row>
    <row r="122" spans="3:6" x14ac:dyDescent="0.4">
      <c r="C122" s="4"/>
      <c r="F122" s="4"/>
    </row>
    <row r="123" spans="3:6" x14ac:dyDescent="0.4">
      <c r="C123" s="4"/>
      <c r="F123" s="4"/>
    </row>
    <row r="124" spans="3:6" x14ac:dyDescent="0.4">
      <c r="C124" s="4"/>
      <c r="F124" s="4"/>
    </row>
    <row r="125" spans="3:6" x14ac:dyDescent="0.4">
      <c r="C125" s="4"/>
      <c r="F125" s="4"/>
    </row>
    <row r="126" spans="3:6" x14ac:dyDescent="0.4">
      <c r="C126" s="4"/>
      <c r="F126" s="4"/>
    </row>
    <row r="127" spans="3:6" x14ac:dyDescent="0.4">
      <c r="C127" s="4"/>
      <c r="F127" s="4"/>
    </row>
    <row r="128" spans="3:6" x14ac:dyDescent="0.4">
      <c r="C128" s="4"/>
      <c r="F128" s="4"/>
    </row>
    <row r="129" spans="3:6" x14ac:dyDescent="0.4">
      <c r="C129" s="4"/>
      <c r="F129" s="4"/>
    </row>
    <row r="130" spans="3:6" x14ac:dyDescent="0.4">
      <c r="C130" s="4"/>
      <c r="F130" s="4"/>
    </row>
    <row r="131" spans="3:6" x14ac:dyDescent="0.4">
      <c r="C131" s="4"/>
      <c r="F131" s="4"/>
    </row>
    <row r="132" spans="3:6" x14ac:dyDescent="0.4">
      <c r="F132" s="4"/>
    </row>
    <row r="133" spans="3:6" x14ac:dyDescent="0.4">
      <c r="F133" s="4"/>
    </row>
    <row r="134" spans="3:6" x14ac:dyDescent="0.4">
      <c r="F134" s="4"/>
    </row>
    <row r="135" spans="3:6" x14ac:dyDescent="0.4">
      <c r="F135" s="4"/>
    </row>
    <row r="136" spans="3:6" x14ac:dyDescent="0.4">
      <c r="F136" s="4"/>
    </row>
    <row r="137" spans="3:6" x14ac:dyDescent="0.4">
      <c r="F137" s="4"/>
    </row>
    <row r="138" spans="3:6" x14ac:dyDescent="0.4">
      <c r="F138" s="4"/>
    </row>
    <row r="139" spans="3:6" x14ac:dyDescent="0.4">
      <c r="F139" s="4"/>
    </row>
    <row r="140" spans="3:6" x14ac:dyDescent="0.4">
      <c r="F140" s="4"/>
    </row>
    <row r="141" spans="3:6" x14ac:dyDescent="0.4">
      <c r="F141" s="4"/>
    </row>
    <row r="142" spans="3:6" x14ac:dyDescent="0.4">
      <c r="F142" s="4"/>
    </row>
    <row r="143" spans="3:6" x14ac:dyDescent="0.4">
      <c r="F143" s="4"/>
    </row>
    <row r="144" spans="3:6" x14ac:dyDescent="0.4">
      <c r="F144" s="4"/>
    </row>
    <row r="145" spans="6:6" x14ac:dyDescent="0.4">
      <c r="F145" s="4"/>
    </row>
    <row r="146" spans="6:6" x14ac:dyDescent="0.4">
      <c r="F146" s="4"/>
    </row>
    <row r="147" spans="6:6" x14ac:dyDescent="0.4">
      <c r="F147" s="4"/>
    </row>
    <row r="148" spans="6:6" x14ac:dyDescent="0.4">
      <c r="F148" s="4"/>
    </row>
    <row r="149" spans="6:6" x14ac:dyDescent="0.4">
      <c r="F149" s="4"/>
    </row>
    <row r="150" spans="6:6" x14ac:dyDescent="0.4">
      <c r="F150" s="4"/>
    </row>
    <row r="151" spans="6:6" x14ac:dyDescent="0.4">
      <c r="F151" s="4"/>
    </row>
    <row r="152" spans="6:6" x14ac:dyDescent="0.4">
      <c r="F152" s="4"/>
    </row>
    <row r="153" spans="6:6" x14ac:dyDescent="0.4">
      <c r="F153" s="4"/>
    </row>
    <row r="154" spans="6:6" x14ac:dyDescent="0.4">
      <c r="F154" s="4"/>
    </row>
    <row r="155" spans="6:6" x14ac:dyDescent="0.4">
      <c r="F155" s="4"/>
    </row>
    <row r="156" spans="6:6" x14ac:dyDescent="0.4">
      <c r="F156" s="4"/>
    </row>
    <row r="157" spans="6:6" x14ac:dyDescent="0.4">
      <c r="F157" s="4"/>
    </row>
    <row r="158" spans="6:6" x14ac:dyDescent="0.4">
      <c r="F158" s="4"/>
    </row>
    <row r="159" spans="6:6" x14ac:dyDescent="0.4">
      <c r="F159" s="4"/>
    </row>
    <row r="160" spans="6:6" x14ac:dyDescent="0.4">
      <c r="F160" s="4"/>
    </row>
    <row r="161" spans="6:6" x14ac:dyDescent="0.4">
      <c r="F161" s="4"/>
    </row>
    <row r="162" spans="6:6" x14ac:dyDescent="0.4">
      <c r="F162" s="4"/>
    </row>
    <row r="163" spans="6:6" x14ac:dyDescent="0.4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09375" defaultRowHeight="14.6" x14ac:dyDescent="0.4"/>
  <cols>
    <col min="1" max="1" width="6.921875" style="4" bestFit="1" customWidth="1"/>
    <col min="2" max="4" width="11.4609375" style="4"/>
    <col min="5" max="5" width="9.53515625" style="4" customWidth="1"/>
    <col min="6" max="7" width="11.4609375" style="4"/>
    <col min="8" max="8" width="10.61328125" style="4" customWidth="1"/>
    <col min="9" max="9" width="9.4609375" style="4" customWidth="1"/>
    <col min="10" max="11" width="10.53515625" style="4" bestFit="1" customWidth="1"/>
    <col min="12" max="12" width="14" style="4" bestFit="1" customWidth="1"/>
    <col min="13" max="13" width="14" style="4" customWidth="1"/>
    <col min="14" max="23" width="11.4609375" style="4"/>
    <col min="24" max="24" width="11.61328125" style="4" bestFit="1" customWidth="1"/>
    <col min="25" max="25" width="14.53515625" style="4" bestFit="1" customWidth="1"/>
    <col min="26" max="26" width="12.4609375" style="4" bestFit="1" customWidth="1"/>
    <col min="27" max="27" width="9.61328125" style="4" bestFit="1" customWidth="1"/>
    <col min="28" max="28" width="11" style="4" bestFit="1" customWidth="1"/>
    <col min="29" max="29" width="9.4609375" style="4" bestFit="1" customWidth="1"/>
    <col min="30" max="31" width="9.4609375" style="4" customWidth="1"/>
    <col min="32" max="32" width="11.4609375" style="4"/>
    <col min="33" max="34" width="14" style="4" bestFit="1" customWidth="1"/>
    <col min="35" max="35" width="10.53515625" style="4" bestFit="1" customWidth="1"/>
    <col min="36" max="36" width="9.4609375" style="4" bestFit="1" customWidth="1"/>
    <col min="37" max="38" width="10.53515625" style="4" bestFit="1" customWidth="1"/>
    <col min="39" max="41" width="10.53515625" style="4" customWidth="1"/>
    <col min="42" max="42" width="9" style="4" bestFit="1" customWidth="1"/>
    <col min="43" max="43" width="10.53515625" style="4" bestFit="1" customWidth="1"/>
    <col min="44" max="44" width="9.3046875" style="4" bestFit="1" customWidth="1"/>
    <col min="45" max="45" width="11.61328125" style="4" bestFit="1" customWidth="1"/>
    <col min="46" max="46" width="8.4609375" style="4" bestFit="1" customWidth="1"/>
    <col min="47" max="47" width="9.4609375" style="4" bestFit="1" customWidth="1"/>
    <col min="48" max="48" width="9.61328125" style="4" bestFit="1" customWidth="1"/>
    <col min="49" max="49" width="11" style="4" bestFit="1" customWidth="1"/>
    <col min="50" max="50" width="9.4609375" style="4" bestFit="1" customWidth="1"/>
    <col min="51" max="52" width="9.4609375" style="4" customWidth="1"/>
    <col min="53" max="53" width="10.53515625" style="4" bestFit="1" customWidth="1"/>
    <col min="54" max="54" width="14.3046875" style="4" customWidth="1"/>
    <col min="55" max="55" width="14" style="4" customWidth="1"/>
    <col min="56" max="56" width="10.53515625" style="4" bestFit="1" customWidth="1"/>
    <col min="57" max="57" width="9.4609375" style="4" bestFit="1" customWidth="1"/>
    <col min="58" max="59" width="10.53515625" style="4" bestFit="1" customWidth="1"/>
    <col min="60" max="62" width="10.53515625" style="4" customWidth="1"/>
    <col min="63" max="63" width="9" style="4" bestFit="1" customWidth="1"/>
    <col min="64" max="64" width="10.53515625" style="4" bestFit="1" customWidth="1"/>
    <col min="65" max="65" width="9.3046875" style="4" bestFit="1" customWidth="1"/>
    <col min="66" max="66" width="11.61328125" style="4" bestFit="1" customWidth="1"/>
    <col min="67" max="67" width="8.4609375" style="4" bestFit="1" customWidth="1"/>
    <col min="68" max="68" width="9.4609375" style="4" bestFit="1" customWidth="1"/>
    <col min="69" max="69" width="9.61328125" style="4" bestFit="1" customWidth="1"/>
    <col min="70" max="70" width="11" style="4" bestFit="1" customWidth="1"/>
    <col min="71" max="71" width="9.4609375" style="4" bestFit="1" customWidth="1"/>
    <col min="72" max="73" width="9.4609375" style="4" customWidth="1"/>
    <col min="74" max="74" width="10.53515625" style="4" bestFit="1" customWidth="1"/>
    <col min="75" max="75" width="14" style="4" bestFit="1" customWidth="1"/>
    <col min="76" max="76" width="13.921875" style="4" customWidth="1"/>
    <col min="77" max="77" width="10.53515625" style="4" bestFit="1" customWidth="1"/>
    <col min="78" max="78" width="9.4609375" style="4" bestFit="1" customWidth="1"/>
    <col min="79" max="80" width="10.53515625" style="4" bestFit="1" customWidth="1"/>
    <col min="81" max="83" width="10.53515625" style="4" customWidth="1"/>
    <col min="84" max="84" width="11.4609375" style="4"/>
    <col min="85" max="85" width="10.53515625" style="4" bestFit="1" customWidth="1"/>
    <col min="86" max="86" width="9.3046875" style="4" bestFit="1" customWidth="1"/>
    <col min="87" max="87" width="11.61328125" style="4" bestFit="1" customWidth="1"/>
    <col min="88" max="88" width="8.4609375" style="4" bestFit="1" customWidth="1"/>
    <col min="89" max="89" width="9.4609375" style="4" bestFit="1" customWidth="1"/>
    <col min="90" max="90" width="9.61328125" style="4" bestFit="1" customWidth="1"/>
    <col min="91" max="91" width="11" style="4" bestFit="1" customWidth="1"/>
    <col min="92" max="92" width="9.4609375" style="4" bestFit="1" customWidth="1"/>
    <col min="93" max="94" width="9.4609375" style="4" customWidth="1"/>
    <col min="95" max="95" width="11.4609375" style="4"/>
    <col min="96" max="97" width="14" style="4" customWidth="1"/>
    <col min="98" max="98" width="10.53515625" style="4" bestFit="1" customWidth="1"/>
    <col min="99" max="99" width="9.4609375" style="4" bestFit="1" customWidth="1"/>
    <col min="100" max="101" width="10.53515625" style="4" bestFit="1" customWidth="1"/>
    <col min="102" max="104" width="10.53515625" style="4" customWidth="1"/>
    <col min="105" max="105" width="9" style="4" bestFit="1" customWidth="1"/>
    <col min="106" max="106" width="10.53515625" style="4" bestFit="1" customWidth="1"/>
    <col min="107" max="107" width="9.3046875" style="4" bestFit="1" customWidth="1"/>
    <col min="108" max="108" width="11.61328125" style="4" bestFit="1" customWidth="1"/>
    <col min="109" max="109" width="8.4609375" style="4" bestFit="1" customWidth="1"/>
    <col min="110" max="110" width="9.4609375" style="4" bestFit="1" customWidth="1"/>
    <col min="111" max="111" width="9.61328125" style="4" bestFit="1" customWidth="1"/>
    <col min="112" max="112" width="11" style="4" bestFit="1" customWidth="1"/>
    <col min="113" max="113" width="9.4609375" style="4" bestFit="1" customWidth="1"/>
    <col min="114" max="115" width="9.4609375" style="4" customWidth="1"/>
    <col min="116" max="116" width="10.53515625" style="4" bestFit="1" customWidth="1"/>
    <col min="117" max="117" width="14.3046875" style="4" customWidth="1"/>
    <col min="118" max="118" width="14" style="4" bestFit="1" customWidth="1"/>
    <col min="119" max="119" width="10.53515625" style="4" bestFit="1" customWidth="1"/>
    <col min="120" max="120" width="9.4609375" style="4" bestFit="1" customWidth="1"/>
    <col min="121" max="122" width="10.53515625" style="4" bestFit="1" customWidth="1"/>
    <col min="123" max="125" width="10.53515625" style="4" customWidth="1"/>
    <col min="126" max="126" width="9" style="4" bestFit="1" customWidth="1"/>
    <col min="127" max="127" width="10.53515625" style="4" bestFit="1" customWidth="1"/>
    <col min="128" max="128" width="9.3046875" style="4" bestFit="1" customWidth="1"/>
    <col min="129" max="129" width="11.61328125" style="4" bestFit="1" customWidth="1"/>
    <col min="130" max="130" width="8.4609375" style="4" bestFit="1" customWidth="1"/>
    <col min="131" max="131" width="9.4609375" style="4" bestFit="1" customWidth="1"/>
    <col min="132" max="132" width="9.61328125" style="4" bestFit="1" customWidth="1"/>
    <col min="133" max="133" width="11" style="4" bestFit="1" customWidth="1"/>
    <col min="134" max="134" width="9.4609375" style="4" bestFit="1" customWidth="1"/>
    <col min="135" max="136" width="9.4609375" style="4" customWidth="1"/>
    <col min="137" max="137" width="10.53515625" style="4" bestFit="1" customWidth="1"/>
    <col min="138" max="139" width="14" style="4" customWidth="1"/>
    <col min="140" max="140" width="10.53515625" style="4" bestFit="1" customWidth="1"/>
    <col min="141" max="141" width="9.4609375" style="4" bestFit="1" customWidth="1"/>
    <col min="142" max="143" width="10.53515625" style="4" bestFit="1" customWidth="1"/>
    <col min="144" max="146" width="10.53515625" style="4" customWidth="1"/>
    <col min="147" max="147" width="9" style="4" bestFit="1" customWidth="1"/>
    <col min="148" max="148" width="10.53515625" style="4" bestFit="1" customWidth="1"/>
    <col min="149" max="149" width="9.3046875" style="4" bestFit="1" customWidth="1"/>
    <col min="150" max="150" width="11.61328125" style="4" bestFit="1" customWidth="1"/>
    <col min="151" max="151" width="8.4609375" style="4" bestFit="1" customWidth="1"/>
    <col min="152" max="152" width="9.4609375" style="4" bestFit="1" customWidth="1"/>
    <col min="153" max="153" width="9.61328125" style="4" bestFit="1" customWidth="1"/>
    <col min="154" max="154" width="11" style="4" bestFit="1" customWidth="1"/>
    <col min="155" max="155" width="9.4609375" style="4" bestFit="1" customWidth="1"/>
    <col min="156" max="157" width="9.4609375" style="4" customWidth="1"/>
    <col min="158" max="158" width="11.4609375" style="4"/>
    <col min="159" max="160" width="14" style="4" bestFit="1" customWidth="1"/>
    <col min="161" max="161" width="10.53515625" style="4" bestFit="1" customWidth="1"/>
    <col min="162" max="162" width="9.4609375" style="4" bestFit="1" customWidth="1"/>
    <col min="163" max="164" width="10.53515625" style="4" bestFit="1" customWidth="1"/>
    <col min="165" max="167" width="10.53515625" style="4" customWidth="1"/>
    <col min="168" max="168" width="9" style="4" bestFit="1" customWidth="1"/>
    <col min="169" max="169" width="10.53515625" style="4" bestFit="1" customWidth="1"/>
    <col min="170" max="170" width="9.3046875" style="4" bestFit="1" customWidth="1"/>
    <col min="171" max="171" width="11.61328125" style="4" bestFit="1" customWidth="1"/>
    <col min="172" max="172" width="8.07421875" style="4" bestFit="1" customWidth="1"/>
    <col min="173" max="173" width="9.4609375" style="4" bestFit="1" customWidth="1"/>
    <col min="174" max="174" width="9.61328125" style="4" bestFit="1" customWidth="1"/>
    <col min="175" max="175" width="11" style="4" bestFit="1" customWidth="1"/>
    <col min="176" max="176" width="9.4609375" style="4" bestFit="1" customWidth="1"/>
    <col min="177" max="178" width="9.4609375" style="4" customWidth="1"/>
    <col min="179" max="179" width="10.53515625" style="4" bestFit="1" customWidth="1"/>
    <col min="180" max="181" width="14" style="4" bestFit="1" customWidth="1"/>
    <col min="182" max="182" width="10.53515625" style="4" bestFit="1" customWidth="1"/>
    <col min="183" max="183" width="9.4609375" style="4" bestFit="1" customWidth="1"/>
    <col min="184" max="185" width="10.53515625" style="4" bestFit="1" customWidth="1"/>
    <col min="186" max="188" width="10.53515625" style="4" customWidth="1"/>
    <col min="189" max="189" width="9" style="4" bestFit="1" customWidth="1"/>
    <col min="190" max="190" width="10.53515625" style="4" bestFit="1" customWidth="1"/>
    <col min="191" max="191" width="9.3046875" style="4" bestFit="1" customWidth="1"/>
    <col min="192" max="192" width="11.4609375" style="4"/>
    <col min="193" max="193" width="8.4609375" style="4" bestFit="1" customWidth="1"/>
    <col min="194" max="194" width="9.4609375" style="4" bestFit="1" customWidth="1"/>
    <col min="195" max="195" width="9.61328125" style="4" bestFit="1" customWidth="1"/>
    <col min="196" max="196" width="11" style="4" bestFit="1" customWidth="1"/>
    <col min="197" max="197" width="9.4609375" style="4" bestFit="1" customWidth="1"/>
    <col min="198" max="199" width="9.4609375" style="4" customWidth="1"/>
    <col min="200" max="200" width="10.53515625" style="4" bestFit="1" customWidth="1"/>
    <col min="201" max="201" width="14" style="4" customWidth="1"/>
    <col min="202" max="202" width="14.3046875" style="4" customWidth="1"/>
    <col min="203" max="203" width="10.53515625" style="4" bestFit="1" customWidth="1"/>
    <col min="204" max="204" width="9.4609375" style="4" bestFit="1" customWidth="1"/>
    <col min="205" max="206" width="10.53515625" style="4" bestFit="1" customWidth="1"/>
    <col min="207" max="209" width="10.53515625" style="4" customWidth="1"/>
    <col min="210" max="210" width="9" style="4" bestFit="1" customWidth="1"/>
    <col min="211" max="211" width="10.53515625" style="4" bestFit="1" customWidth="1"/>
    <col min="212" max="212" width="9.3046875" style="4" bestFit="1" customWidth="1"/>
    <col min="213" max="213" width="11.61328125" style="4" bestFit="1" customWidth="1"/>
    <col min="214" max="214" width="8.4609375" style="4" bestFit="1" customWidth="1"/>
    <col min="215" max="215" width="9.4609375" style="4" bestFit="1" customWidth="1"/>
    <col min="216" max="216" width="9.61328125" style="4" bestFit="1" customWidth="1"/>
    <col min="217" max="217" width="11" style="4" bestFit="1" customWidth="1"/>
    <col min="218" max="218" width="9.4609375" style="4" bestFit="1" customWidth="1"/>
    <col min="219" max="16384" width="11.4609375" style="4"/>
  </cols>
  <sheetData>
    <row r="1" spans="1:218" ht="26.6" thickBot="1" x14ac:dyDescent="0.7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Châtaignier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Erable sycomore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Noyer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Bouleau verruqueux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Erable plane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Chêne sessile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Tilleul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Charme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75" thickBot="1" x14ac:dyDescent="0.4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328.55631138162721</v>
      </c>
      <c r="T3" s="59">
        <f>IF('Données projet'!E9&gt;30,$R$33-$H$33,LOOKUP('Données projet'!$E$9,$A$3:$A$203,R3:R203)-LOOKUP('Données projet'!$E$9,$A$3:$A$203,$H$3:$H$203))</f>
        <v>321.81422611044985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353.37479213497227</v>
      </c>
      <c r="AO3" s="59">
        <f>IF('Données projet'!E10&gt;30,$AM$33-$H$33,LOOKUP('Données projet'!$E$10,$A$3:$A$203,AM3:AM203)-LOOKUP('Données projet'!$E$10,$A$3:$A$203,$H$3:$H$203))</f>
        <v>345.4750813433123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359.57284550600366</v>
      </c>
      <c r="BJ3" s="59">
        <f>IF('Données projet'!E11&gt;30,$BH$33-$H$33,LOOKUP('Données projet'!$E$11,$A$3:$A$203,BH3:BH203)-LOOKUP('Données projet'!$E$11,$A$3:$A$203,$H$3:$H$203))</f>
        <v>351.38386928091433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159.4660488566085</v>
      </c>
      <c r="CE3" s="59">
        <f>IF('Données projet'!E12&gt;30,$CC$33-$H$33,LOOKUP('Données projet'!$E$12,$A$3:$A$203,CC3:CC203)-LOOKUP('Données projet'!$E$12,$A$3:$A$203,$H$3:$H$203))</f>
        <v>135.33030558297088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353.37479213497227</v>
      </c>
      <c r="CZ3" s="59">
        <f>IF('Données projet'!E13&gt;30,$CX$33-$H$33,LOOKUP('Données projet'!$E$13,$A$3:$A$203,CX3:CX203)-LOOKUP('Données projet'!$E$13,$A$3:$A$203,$H$3:$H$203))</f>
        <v>345.4750813433123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635.71275911100679</v>
      </c>
      <c r="DU3" s="59">
        <f>IF('Données projet'!E14&gt;30,$DS$33-$H$33,LOOKUP('Données projet'!$E$14,$A$3:$A$203,DS3:DS203)-LOOKUP('Données projet'!$E$14,$A$3:$A$203,$H$3:$H$203))</f>
        <v>281.7776857269169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482.99915419700773</v>
      </c>
      <c r="EP3" s="59">
        <f>IF('Données projet'!E15&gt;30,$EN$33-$H$33,LOOKUP('Données projet'!$E$15,$A$3:$A$203,EN3:EN203)-LOOKUP('Données projet'!$E$15,$A$3:$A$203,$H$3:$H$203))</f>
        <v>219.74157899604279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666.1523645983184</v>
      </c>
      <c r="FK3" s="59">
        <f>IF('Données projet'!E16&gt;30,$FI$33-$H$33,LOOKUP('Données projet'!$E$16,$A$3:$A$203,FI3:FI203)-LOOKUP('Données projet'!$E$16,$A$3:$A$203,$H$3:$H$203))</f>
        <v>294.13851344047526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4.333333333333333</v>
      </c>
      <c r="N4" s="13">
        <f>IF('Données projet'!$A$36&gt;35,N3+M4-V3,IF(A4&lt;'Données projet'!$A$36,$K$205^A4,IF(A4='Données projet'!$A$36,'Données projet'!$B$36,N3+M4-V3)))</f>
        <v>1.3208724756526424</v>
      </c>
      <c r="O4" s="13">
        <f>N4*VLOOKUP('Données projet'!$B$9,Paramètres!$A$1:$I$89,3,0)*VLOOKUP('Données projet'!$B$9,Paramètres!$A$1:$I$89,5,0)</f>
        <v>0.96846369914851749</v>
      </c>
      <c r="P4" s="13">
        <f>EXP(-1.0587+0.8836*LN(O4)+0.284)</f>
        <v>0.44797658016270847</v>
      </c>
      <c r="Q4" s="20">
        <f t="shared" ref="Q4:Q34" si="2">(O4+P4)*0.475*44/12</f>
        <v>2.4669668198003851</v>
      </c>
      <c r="R4" s="59">
        <f t="shared" si="0"/>
        <v>260.35585570868926</v>
      </c>
      <c r="S4" s="59">
        <f ca="1">AVERAGE(OFFSET($R$3,0,0,'Données projet'!$E$9+1,1))-AVERAGE(OFFSET($H$3,0,0,'Données projet'!$E$9+1,1))</f>
        <v>328.55631138162721</v>
      </c>
      <c r="T4" s="59">
        <f>$T$3</f>
        <v>321.81422611044985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4.333333333333333</v>
      </c>
      <c r="AI4" s="13">
        <f>IF('Données projet'!$A$62&gt;35,AI3+AH4-AQ3,IF(A4&lt;'Données projet'!$A$62,$AF$205^A4,IF(A4='Données projet'!$A$62,'Données projet'!$B$62,AI3+AH4-AQ3)))</f>
        <v>1.3208724756526424</v>
      </c>
      <c r="AJ4" s="13">
        <f>AI4*VLOOKUP('Données projet'!$B$10,Paramètres!$A$1:$I$89,3,0)*VLOOKUP('Données projet'!$B$10,Paramètres!$A$1:$I$89,5,0)</f>
        <v>1.0508861416292423</v>
      </c>
      <c r="AK4" s="13">
        <f>EXP(-1.0587+0.8836*LN(AJ4)+0.284)</f>
        <v>0.48150261531866312</v>
      </c>
      <c r="AL4" s="20">
        <f t="shared" ref="AL4:AL67" si="4">(AJ4+AK4)*0.475*44/12</f>
        <v>2.6689104183509347</v>
      </c>
      <c r="AM4" s="59">
        <f t="shared" ref="AM4:AM67" si="5">AL4+(AD4+AE4)*44/12</f>
        <v>260.5577993072398</v>
      </c>
      <c r="AN4" s="59">
        <f ca="1">AVERAGE(OFFSET($AM$3,0,0,'Données projet'!$E$10+1,1))-AVERAGE(OFFSET($H$3,0,0,'Données projet'!$E$10+1,1))</f>
        <v>353.37479213497227</v>
      </c>
      <c r="AO4" s="59">
        <f>$AO$3</f>
        <v>345.4750813433123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4.333333333333333</v>
      </c>
      <c r="BD4" s="12">
        <f>IF('Données projet'!$A$88&gt;35,BD3+BC4-BL3,IF(A4&lt;'Données projet'!$A$88,$BA$205^A4,IF(A4='Données projet'!$A$88,'Données projet'!$B$88,BD3+BC4-BL3)))</f>
        <v>1.3208724756526424</v>
      </c>
      <c r="BE4" s="13">
        <f>BD4*VLOOKUP('Données projet'!$B$11,Paramètres!$A$1:$I$89,3,0)*VLOOKUP('Données projet'!$B$11,Paramètres!$A$1:$I$89,5,0)</f>
        <v>1.0714917522494236</v>
      </c>
      <c r="BF4" s="13">
        <f>EXP(-1.0587+0.8836*LN(BE4)+0.284)</f>
        <v>0.48983543291176185</v>
      </c>
      <c r="BG4" s="20">
        <f t="shared" ref="BG4:BG67" si="7">(BE4+BF4)*0.475*44/12</f>
        <v>2.7193115141557311</v>
      </c>
      <c r="BH4" s="59">
        <f t="shared" ref="BH4:BH67" si="8">BG4+(AY4+AZ4)*44/12</f>
        <v>260.60820040304458</v>
      </c>
      <c r="BI4" s="59">
        <f ca="1">AVERAGE(OFFSET($BH$3,0,0,'Données projet'!$E$11+1,1))-AVERAGE(OFFSET($H$3,0,0,'Données projet'!$E$11+1,1))</f>
        <v>359.57284550600366</v>
      </c>
      <c r="BJ4" s="59">
        <f>$BJ$3</f>
        <v>351.38386928091433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1.3675213675213673</v>
      </c>
      <c r="BY4" s="12">
        <f>IF('Données projet'!$A$114&gt;35,BY3+BX4-CG3,IF(A4&lt;'Données projet'!$A$114,$BV$205^A4,IF(A4='Données projet'!$A$114,'Données projet'!$B$114,BY3+BX4-CG3)))</f>
        <v>1.2231180032570037</v>
      </c>
      <c r="BZ4" s="13">
        <f>BY4*VLOOKUP('Données projet'!$B$12,Paramètres!$A$1:$I$89,3,0)*VLOOKUP('Données projet'!$B$12,Paramètres!$A$1:$I$89,5,0)</f>
        <v>0.99219332424208151</v>
      </c>
      <c r="CA4" s="13">
        <f>EXP(-1.0587+0.8836*LN(BZ4)+0.284)</f>
        <v>0.45766168594626538</v>
      </c>
      <c r="CB4" s="20">
        <f t="shared" ref="CB4:CB67" si="10">(BZ4+CA4)*0.475*44/12</f>
        <v>2.5251641427447038</v>
      </c>
      <c r="CC4" s="59">
        <f t="shared" ref="CC4:CC67" si="11">CB4+(BT4+BU4)*44/12</f>
        <v>260.41405303163356</v>
      </c>
      <c r="CD4" s="59">
        <f ca="1">AVERAGE(OFFSET($CC$3,0,0,'Données projet'!$E$12+1,1))-AVERAGE(OFFSET($H$3,0,0,'Données projet'!$E$12+1,1))</f>
        <v>159.4660488566085</v>
      </c>
      <c r="CE4" s="59">
        <f>$CE$3</f>
        <v>135.33030558297088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4.333333333333333</v>
      </c>
      <c r="CT4" s="12">
        <f>IF('Données projet'!$A$140&gt;35,CT3+CS4-DB3,IF(A4&lt;'Données projet'!$A$140,$CQ$205^A4,IF(A4='Données projet'!$A$140,'Données projet'!$B$140,CT3+CS4-DB3)))</f>
        <v>1.3208724756526424</v>
      </c>
      <c r="CU4" s="17">
        <f>CT4*VLOOKUP('Données projet'!$B$13,Paramètres!$A$1:$I$89,3,0)*VLOOKUP('Données projet'!$B$13,Paramètres!$A$1:$I$89,5,0)</f>
        <v>1.0508861416292423</v>
      </c>
      <c r="CV4" s="13">
        <f>EXP(-1.0587+0.8836*LN(CU4)+0.284)</f>
        <v>0.48150261531866312</v>
      </c>
      <c r="CW4" s="20">
        <f t="shared" ref="CW4:CW67" si="13">(CU4+CV4)*0.475*44/12</f>
        <v>2.6689104183509347</v>
      </c>
      <c r="CX4" s="59">
        <f t="shared" ref="CX4:CX67" si="14">CW4+(CO4+CP4)*44/12</f>
        <v>260.5577993072398</v>
      </c>
      <c r="CY4" s="59">
        <f ca="1">AVERAGE(OFFSET($CX$3,0,0,'Données projet'!$E$13+1,1))-AVERAGE(OFFSET($H$3,0,0,'Données projet'!$E$13+1,1))</f>
        <v>353.37479213497227</v>
      </c>
      <c r="CZ4" s="59">
        <f>$CZ$3</f>
        <v>345.4750813433123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4.0942857142857143</v>
      </c>
      <c r="DO4" s="12">
        <f>IF('Données projet'!$A$166&gt;35,DO3+DN4-DW3,IF(A4&lt;'Données projet'!$A$166,$DL$205^A4,IF(A4='Données projet'!$A$166,'Données projet'!$B$166,DO3+DN4-DW3)))</f>
        <v>4.0942857142857143</v>
      </c>
      <c r="DP4" s="17">
        <f>DO4*VLOOKUP('Données projet'!$B$14,Paramètres!$A$1:$I$89,3,0)*VLOOKUP('Données projet'!$B$14,Paramètres!$A$1:$I$89,5,0)</f>
        <v>3.704509714285714</v>
      </c>
      <c r="DQ4" s="13">
        <f>EXP(-1.0587+0.8836*LN(DP4)+0.284)</f>
        <v>1.4658264193249637</v>
      </c>
      <c r="DR4" s="20">
        <f t="shared" ref="DR4:DR67" si="16">(DP4+DQ4)*0.475*44/12</f>
        <v>9.0050020993719304</v>
      </c>
      <c r="DS4" s="59">
        <f t="shared" ref="DS4:DS67" si="17">DR4+(DJ4+DK4)*44/12</f>
        <v>266.89389098826081</v>
      </c>
      <c r="DT4" s="59">
        <f ca="1">AVERAGE(OFFSET($DS$3,0,0,'Données projet'!$E$14+1,1))-AVERAGE(OFFSET($H$3,0,0,'Données projet'!$E$14+1,1))</f>
        <v>635.71275911100679</v>
      </c>
      <c r="DU4" s="59">
        <f>$DU$3</f>
        <v>281.7776857269169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4.0942857142857143</v>
      </c>
      <c r="EJ4" s="12">
        <f>IF('Données projet'!$A$192&gt;35,EJ3+EI4-ER3,IF(A4&lt;'Données projet'!$A$192,$EG$205^A4,IF(A4='Données projet'!$A$192,'Données projet'!$B$192,EJ3+EI4-ER3)))</f>
        <v>4.0942857142857143</v>
      </c>
      <c r="EK4" s="17">
        <f>EJ4*VLOOKUP('Données projet'!$B$15,Paramètres!$A$1:$I$89,3,0)*VLOOKUP('Données projet'!$B$15,Paramètres!$A$1:$I$89,5,0)</f>
        <v>2.7464468571428573</v>
      </c>
      <c r="EL4" s="13">
        <f>EXP(-1.0587+0.8836*LN(EK4)+0.284)</f>
        <v>1.1252533049663334</v>
      </c>
      <c r="EM4" s="20">
        <f t="shared" ref="EM4:EM67" si="19">(EK4+EL4)*0.475*44/12</f>
        <v>6.7432111156735068</v>
      </c>
      <c r="EN4" s="59">
        <f t="shared" ref="EN4:EN67" si="20">EM4+(EE4+EF4)*44/12</f>
        <v>264.63210000456235</v>
      </c>
      <c r="EO4" s="59">
        <f ca="1">AVERAGE(OFFSET($EN$3,0,0,'Données projet'!$E$15+1,1))-AVERAGE(OFFSET($H$3,0,0,'Données projet'!$E$15+1,1))</f>
        <v>482.99915419700773</v>
      </c>
      <c r="EP4" s="59">
        <f>$EP$3</f>
        <v>219.74157899604279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4.0942857142857143</v>
      </c>
      <c r="FE4" s="12">
        <f>IF('Données projet'!$A$218&gt;35,FE3+FD4-FM3,IF(A4&lt;'Données projet'!$A$218,$FB$205^A4,IF(A4='Données projet'!$A$218,'Données projet'!$B$218,FE3+FD4-FM3)))</f>
        <v>4.0942857142857143</v>
      </c>
      <c r="FF4" s="17">
        <f>FE4*VLOOKUP('Données projet'!$B$16,Paramètres!$A$1:$I$89,3,0)*VLOOKUP('Données projet'!$B$16,Paramètres!$A$1:$I$89,5,0)</f>
        <v>3.8961222857142861</v>
      </c>
      <c r="FG4" s="13">
        <f>EXP(-1.0587+0.8836*LN(FF4)+0.284)</f>
        <v>1.5326218471913844</v>
      </c>
      <c r="FH4" s="20">
        <f t="shared" ref="FH4:FH67" si="22">(FF4+FG4)*0.475*44/12</f>
        <v>9.455062698144042</v>
      </c>
      <c r="FI4" s="59">
        <f t="shared" ref="FI4:FI67" si="23">FH4+(EZ4+FA4)*44/12</f>
        <v>267.3439515870329</v>
      </c>
      <c r="FJ4" s="59">
        <f ca="1">AVERAGE(OFFSET($FI$3,0,0,'Données projet'!$E$16+1,1))-AVERAGE(OFFSET($H$3,0,0,'Données projet'!$E$16+1,1))</f>
        <v>666.1523645983184</v>
      </c>
      <c r="FK4" s="59">
        <f>$FK$3</f>
        <v>294.13851344047526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4.333333333333333</v>
      </c>
      <c r="N5" s="13">
        <f>IF('Données projet'!$A$36&gt;35,N4+M5-V4,IF(A5&lt;'Données projet'!$A$36,$K$205^A5,IF(A5='Données projet'!$A$36,'Données projet'!$B$36,N4+M5-V4)))</f>
        <v>1.7447040969367404</v>
      </c>
      <c r="O5" s="13">
        <f>N5*VLOOKUP('Données projet'!$B$9,Paramètres!$A$1:$I$89,3,0)*VLOOKUP('Données projet'!$B$9,Paramètres!$A$1:$I$89,5,0)</f>
        <v>1.279217043874018</v>
      </c>
      <c r="P5" s="13">
        <f t="shared" ref="P5:P68" si="33">EXP(-1.0587+0.8836*LN(O5)+0.284)</f>
        <v>0.57285933279451839</v>
      </c>
      <c r="Q5" s="20">
        <f t="shared" si="2"/>
        <v>3.2256996893643675</v>
      </c>
      <c r="R5" s="59">
        <f t="shared" si="0"/>
        <v>262.33681080047552</v>
      </c>
      <c r="S5" s="59">
        <f ca="1">AVERAGE(OFFSET($R$3,0,0,'Données projet'!$E$9+1,1))-AVERAGE(OFFSET($H$3,0,0,'Données projet'!$E$9+1,1))</f>
        <v>328.55631138162721</v>
      </c>
      <c r="T5" s="59">
        <f t="shared" ref="T5:T68" si="34">$T$3</f>
        <v>321.81422611044985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4.333333333333333</v>
      </c>
      <c r="AI5" s="13">
        <f>IF('Données projet'!$A$62&gt;35,AI4+AH5-AQ4,IF(A5&lt;'Données projet'!$A$62,$AF$205^A5,IF(A5='Données projet'!$A$62,'Données projet'!$B$62,AI4+AH5-AQ4)))</f>
        <v>1.7447040969367404</v>
      </c>
      <c r="AJ5" s="13">
        <f>AI5*VLOOKUP('Données projet'!$B$10,Paramètres!$A$1:$I$89,3,0)*VLOOKUP('Données projet'!$B$10,Paramètres!$A$1:$I$89,5,0)</f>
        <v>1.3880865795228707</v>
      </c>
      <c r="AK5" s="13">
        <f t="shared" ref="AK5:AK68" si="35">EXP(-1.0587+0.8836*LN(AJ5)+0.284)</f>
        <v>0.61573144482258502</v>
      </c>
      <c r="AL5" s="20">
        <f t="shared" si="4"/>
        <v>3.4899830590683352</v>
      </c>
      <c r="AM5" s="59">
        <f t="shared" si="5"/>
        <v>262.60109417017946</v>
      </c>
      <c r="AN5" s="59">
        <f ca="1">AVERAGE(OFFSET($AM$3,0,0,'Données projet'!$E$10+1,1))-AVERAGE(OFFSET($H$3,0,0,'Données projet'!$E$10+1,1))</f>
        <v>353.37479213497227</v>
      </c>
      <c r="AO5" s="59">
        <f t="shared" ref="AO5:AO68" si="36">$AO$3</f>
        <v>345.4750813433123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4.333333333333333</v>
      </c>
      <c r="BD5" s="12">
        <f>IF('Données projet'!$A$88&gt;35,BD4+BC5-BL4,IF(A5&lt;'Données projet'!$A$88,$BA$205^A5,IF(A5='Données projet'!$A$88,'Données projet'!$B$88,BD4+BC5-BL4)))</f>
        <v>1.7447040969367404</v>
      </c>
      <c r="BE5" s="13">
        <f>BD5*VLOOKUP('Données projet'!$B$11,Paramètres!$A$1:$I$89,3,0)*VLOOKUP('Données projet'!$B$11,Paramètres!$A$1:$I$89,5,0)</f>
        <v>1.4153039634350839</v>
      </c>
      <c r="BF5" s="13">
        <f t="shared" ref="BF5:BF68" si="37">EXP(-1.0587+0.8836*LN(BE5)+0.284)</f>
        <v>0.62638720795410219</v>
      </c>
      <c r="BG5" s="20">
        <f t="shared" si="7"/>
        <v>3.5559454568361653</v>
      </c>
      <c r="BH5" s="59">
        <f t="shared" si="8"/>
        <v>262.66705656794733</v>
      </c>
      <c r="BI5" s="59">
        <f ca="1">AVERAGE(OFFSET($BH$3,0,0,'Données projet'!$E$11+1,1))-AVERAGE(OFFSET($H$3,0,0,'Données projet'!$E$11+1,1))</f>
        <v>359.57284550600366</v>
      </c>
      <c r="BJ5" s="59">
        <f t="shared" ref="BJ5:BJ68" si="38">$BJ$3</f>
        <v>351.38386928091433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1.3675213675213673</v>
      </c>
      <c r="BY5" s="12">
        <f>IF('Données projet'!$A$114&gt;35,BY4+BX5-CG4,IF(A5&lt;'Données projet'!$A$114,$BV$205^A5,IF(A5='Données projet'!$A$114,'Données projet'!$B$114,BY4+BX5-CG4)))</f>
        <v>1.4960176498913997</v>
      </c>
      <c r="BZ5" s="13">
        <f>BY5*VLOOKUP('Données projet'!$B$12,Paramètres!$A$1:$I$89,3,0)*VLOOKUP('Données projet'!$B$12,Paramètres!$A$1:$I$89,5,0)</f>
        <v>1.2135695175919035</v>
      </c>
      <c r="CA5" s="13">
        <f t="shared" ref="CA5:CA68" si="39">EXP(-1.0587+0.8836*LN(BZ5)+0.284)</f>
        <v>0.54680389294081433</v>
      </c>
      <c r="CB5" s="20">
        <f t="shared" si="10"/>
        <v>3.0659836900111501</v>
      </c>
      <c r="CC5" s="59">
        <f t="shared" si="11"/>
        <v>262.17709480112228</v>
      </c>
      <c r="CD5" s="59">
        <f ca="1">AVERAGE(OFFSET($CC$3,0,0,'Données projet'!$E$12+1,1))-AVERAGE(OFFSET($H$3,0,0,'Données projet'!$E$12+1,1))</f>
        <v>159.4660488566085</v>
      </c>
      <c r="CE5" s="59">
        <f t="shared" ref="CE5:CE68" si="40">$CE$3</f>
        <v>135.33030558297088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4.333333333333333</v>
      </c>
      <c r="CT5" s="12">
        <f>IF('Données projet'!$A$140&gt;35,CT4+CS5-DB4,IF(A5&lt;'Données projet'!$A$140,$CQ$205^A5,IF(A5='Données projet'!$A$140,'Données projet'!$B$140,CT4+CS5-DB4)))</f>
        <v>1.7447040969367404</v>
      </c>
      <c r="CU5" s="17">
        <f>CT5*VLOOKUP('Données projet'!$B$13,Paramètres!$A$1:$I$89,3,0)*VLOOKUP('Données projet'!$B$13,Paramètres!$A$1:$I$89,5,0)</f>
        <v>1.3880865795228707</v>
      </c>
      <c r="CV5" s="13">
        <f t="shared" ref="CV5:CV68" si="41">EXP(-1.0587+0.8836*LN(CU5)+0.284)</f>
        <v>0.61573144482258502</v>
      </c>
      <c r="CW5" s="20">
        <f t="shared" si="13"/>
        <v>3.4899830590683352</v>
      </c>
      <c r="CX5" s="59">
        <f t="shared" si="14"/>
        <v>262.60109417017946</v>
      </c>
      <c r="CY5" s="59">
        <f ca="1">AVERAGE(OFFSET($CX$3,0,0,'Données projet'!$E$13+1,1))-AVERAGE(OFFSET($H$3,0,0,'Données projet'!$E$13+1,1))</f>
        <v>353.37479213497227</v>
      </c>
      <c r="CZ5" s="59">
        <f t="shared" ref="CZ5:CZ68" si="42">$CZ$3</f>
        <v>345.4750813433123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4.0942857142857143</v>
      </c>
      <c r="DO5" s="12">
        <f>IF('Données projet'!$A$166&gt;35,DO4+DN5-DW4,IF(A5&lt;'Données projet'!$A$166,$DL$205^A5,IF(A5='Données projet'!$A$166,'Données projet'!$B$166,DO4+DN5-DW4)))</f>
        <v>8.1885714285714286</v>
      </c>
      <c r="DP5" s="17">
        <f>DO5*VLOOKUP('Données projet'!$B$14,Paramètres!$A$1:$I$89,3,0)*VLOOKUP('Données projet'!$B$14,Paramètres!$A$1:$I$89,5,0)</f>
        <v>7.4090194285714279</v>
      </c>
      <c r="DQ5" s="13">
        <f t="shared" ref="DQ5:DQ68" si="43">EXP(-1.0587+0.8836*LN(DP5)+0.284)</f>
        <v>2.7044107221075859</v>
      </c>
      <c r="DR5" s="20">
        <f t="shared" si="16"/>
        <v>17.614224179099281</v>
      </c>
      <c r="DS5" s="59">
        <f t="shared" si="17"/>
        <v>276.72533529021041</v>
      </c>
      <c r="DT5" s="59">
        <f ca="1">AVERAGE(OFFSET($DS$3,0,0,'Données projet'!$E$14+1,1))-AVERAGE(OFFSET($H$3,0,0,'Données projet'!$E$14+1,1))</f>
        <v>635.71275911100679</v>
      </c>
      <c r="DU5" s="59">
        <f t="shared" ref="DU5:DU68" si="44">$DU$3</f>
        <v>281.7776857269169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4.0942857142857143</v>
      </c>
      <c r="EJ5" s="12">
        <f>IF('Données projet'!$A$192&gt;35,EJ4+EI5-ER4,IF(A5&lt;'Données projet'!$A$192,$EG$205^A5,IF(A5='Données projet'!$A$192,'Données projet'!$B$192,EJ4+EI5-ER4)))</f>
        <v>8.1885714285714286</v>
      </c>
      <c r="EK5" s="17">
        <f>EJ5*VLOOKUP('Données projet'!$B$15,Paramètres!$A$1:$I$89,3,0)*VLOOKUP('Données projet'!$B$15,Paramètres!$A$1:$I$89,5,0)</f>
        <v>5.4928937142857146</v>
      </c>
      <c r="EL5" s="13">
        <f t="shared" ref="EL5:EL68" si="45">EXP(-1.0587+0.8836*LN(EK5)+0.284)</f>
        <v>2.0760623924621076</v>
      </c>
      <c r="EM5" s="20">
        <f t="shared" si="19"/>
        <v>13.182598552585789</v>
      </c>
      <c r="EN5" s="59">
        <f t="shared" si="20"/>
        <v>272.29370966369692</v>
      </c>
      <c r="EO5" s="59">
        <f ca="1">AVERAGE(OFFSET($EN$3,0,0,'Données projet'!$E$15+1,1))-AVERAGE(OFFSET($H$3,0,0,'Données projet'!$E$15+1,1))</f>
        <v>482.99915419700773</v>
      </c>
      <c r="EP5" s="59">
        <f t="shared" ref="EP5:EP68" si="46">$EP$3</f>
        <v>219.74157899604279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4.0942857142857143</v>
      </c>
      <c r="FE5" s="12">
        <f>IF('Données projet'!$A$218&gt;35,FE4+FD5-FM4,IF(A5&lt;'Données projet'!$A$218,$FB$205^A5,IF(A5='Données projet'!$A$218,'Données projet'!$B$218,FE4+FD5-FM4)))</f>
        <v>8.1885714285714286</v>
      </c>
      <c r="FF5" s="17">
        <f>FE5*VLOOKUP('Données projet'!$B$16,Paramètres!$A$1:$I$89,3,0)*VLOOKUP('Données projet'!$B$16,Paramètres!$A$1:$I$89,5,0)</f>
        <v>7.7922445714285722</v>
      </c>
      <c r="FG5" s="13">
        <f t="shared" ref="FG5:FG68" si="47">EXP(-1.0587+0.8836*LN(FF5)+0.284)</f>
        <v>2.8276465083699871</v>
      </c>
      <c r="FH5" s="20">
        <f t="shared" si="22"/>
        <v>18.496310297315823</v>
      </c>
      <c r="FI5" s="59">
        <f t="shared" si="23"/>
        <v>277.60742140842694</v>
      </c>
      <c r="FJ5" s="59">
        <f ca="1">AVERAGE(OFFSET($FI$3,0,0,'Données projet'!$E$16+1,1))-AVERAGE(OFFSET($H$3,0,0,'Données projet'!$E$16+1,1))</f>
        <v>666.1523645983184</v>
      </c>
      <c r="FK5" s="59">
        <f t="shared" ref="FK5:FK68" si="48">$FK$3</f>
        <v>294.13851344047526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4.333333333333333</v>
      </c>
      <c r="N6" s="13">
        <f>IF('Données projet'!$A$36&gt;35,N5+M6-V5,IF(A6&lt;'Données projet'!$A$36,$K$205^A6,IF(A6='Données projet'!$A$36,'Données projet'!$B$36,N5+M6-V5)))</f>
        <v>2.3045316198021402</v>
      </c>
      <c r="O6" s="13">
        <f>N6*VLOOKUP('Données projet'!$B$9,Paramètres!$A$1:$I$89,3,0)*VLOOKUP('Données projet'!$B$9,Paramètres!$A$1:$I$89,5,0)</f>
        <v>1.6896825836389291</v>
      </c>
      <c r="P6" s="13">
        <f t="shared" si="33"/>
        <v>0.73255573996878998</v>
      </c>
      <c r="Q6" s="20">
        <f t="shared" si="2"/>
        <v>4.2187317469501098</v>
      </c>
      <c r="R6" s="59">
        <f t="shared" si="0"/>
        <v>264.5520650802834</v>
      </c>
      <c r="S6" s="59">
        <f ca="1">AVERAGE(OFFSET($R$3,0,0,'Données projet'!$E$9+1,1))-AVERAGE(OFFSET($H$3,0,0,'Données projet'!$E$9+1,1))</f>
        <v>328.55631138162721</v>
      </c>
      <c r="T6" s="59">
        <f t="shared" si="34"/>
        <v>321.81422611044985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4.333333333333333</v>
      </c>
      <c r="AI6" s="13">
        <f>IF('Données projet'!$A$62&gt;35,AI5+AH6-AQ5,IF(A6&lt;'Données projet'!$A$62,$AF$205^A6,IF(A6='Données projet'!$A$62,'Données projet'!$B$62,AI5+AH6-AQ5)))</f>
        <v>2.3045316198021402</v>
      </c>
      <c r="AJ6" s="13">
        <f>AI6*VLOOKUP('Données projet'!$B$10,Paramètres!$A$1:$I$89,3,0)*VLOOKUP('Données projet'!$B$10,Paramètres!$A$1:$I$89,5,0)</f>
        <v>1.833485356714583</v>
      </c>
      <c r="AK6" s="13">
        <f t="shared" si="35"/>
        <v>0.78737934142351296</v>
      </c>
      <c r="AL6" s="20">
        <f t="shared" si="4"/>
        <v>4.5646726825905164</v>
      </c>
      <c r="AM6" s="59">
        <f t="shared" si="5"/>
        <v>264.89800601592384</v>
      </c>
      <c r="AN6" s="59">
        <f ca="1">AVERAGE(OFFSET($AM$3,0,0,'Données projet'!$E$10+1,1))-AVERAGE(OFFSET($H$3,0,0,'Données projet'!$E$10+1,1))</f>
        <v>353.37479213497227</v>
      </c>
      <c r="AO6" s="59">
        <f t="shared" si="36"/>
        <v>345.4750813433123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4.333333333333333</v>
      </c>
      <c r="BD6" s="12">
        <f>IF('Données projet'!$A$88&gt;35,BD5+BC6-BL5,IF(A6&lt;'Données projet'!$A$88,$BA$205^A6,IF(A6='Données projet'!$A$88,'Données projet'!$B$88,BD5+BC6-BL5)))</f>
        <v>2.3045316198021402</v>
      </c>
      <c r="BE6" s="13">
        <f>BD6*VLOOKUP('Données projet'!$B$11,Paramètres!$A$1:$I$89,3,0)*VLOOKUP('Données projet'!$B$11,Paramètres!$A$1:$I$89,5,0)</f>
        <v>1.8694360499834961</v>
      </c>
      <c r="BF6" s="13">
        <f t="shared" si="37"/>
        <v>0.8010056192876821</v>
      </c>
      <c r="BG6" s="20">
        <f t="shared" si="7"/>
        <v>4.6510192406473019</v>
      </c>
      <c r="BH6" s="59">
        <f t="shared" si="8"/>
        <v>264.98435257398063</v>
      </c>
      <c r="BI6" s="59">
        <f ca="1">AVERAGE(OFFSET($BH$3,0,0,'Données projet'!$E$11+1,1))-AVERAGE(OFFSET($H$3,0,0,'Données projet'!$E$11+1,1))</f>
        <v>359.57284550600366</v>
      </c>
      <c r="BJ6" s="59">
        <f t="shared" si="38"/>
        <v>351.38386928091433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1.3675213675213673</v>
      </c>
      <c r="BY6" s="12">
        <f>IF('Données projet'!$A$114&gt;35,BY5+BX6-CG5,IF(A6&lt;'Données projet'!$A$114,$BV$205^A6,IF(A6='Données projet'!$A$114,'Données projet'!$B$114,BY5+BX6-CG5)))</f>
        <v>1.8298061207724041</v>
      </c>
      <c r="BZ6" s="13">
        <f>BY6*VLOOKUP('Données projet'!$B$12,Paramètres!$A$1:$I$89,3,0)*VLOOKUP('Données projet'!$B$12,Paramètres!$A$1:$I$89,5,0)</f>
        <v>1.4843387251705742</v>
      </c>
      <c r="CA6" s="13">
        <f t="shared" si="39"/>
        <v>0.65330899770870265</v>
      </c>
      <c r="CB6" s="20">
        <f t="shared" si="10"/>
        <v>3.72306978401474</v>
      </c>
      <c r="CC6" s="59">
        <f t="shared" si="11"/>
        <v>264.05640311734805</v>
      </c>
      <c r="CD6" s="59">
        <f ca="1">AVERAGE(OFFSET($CC$3,0,0,'Données projet'!$E$12+1,1))-AVERAGE(OFFSET($H$3,0,0,'Données projet'!$E$12+1,1))</f>
        <v>159.4660488566085</v>
      </c>
      <c r="CE6" s="59">
        <f t="shared" si="40"/>
        <v>135.33030558297088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4.333333333333333</v>
      </c>
      <c r="CT6" s="12">
        <f>IF('Données projet'!$A$140&gt;35,CT5+CS6-DB5,IF(A6&lt;'Données projet'!$A$140,$CQ$205^A6,IF(A6='Données projet'!$A$140,'Données projet'!$B$140,CT5+CS6-DB5)))</f>
        <v>2.3045316198021402</v>
      </c>
      <c r="CU6" s="17">
        <f>CT6*VLOOKUP('Données projet'!$B$13,Paramètres!$A$1:$I$89,3,0)*VLOOKUP('Données projet'!$B$13,Paramètres!$A$1:$I$89,5,0)</f>
        <v>1.833485356714583</v>
      </c>
      <c r="CV6" s="13">
        <f t="shared" si="41"/>
        <v>0.78737934142351296</v>
      </c>
      <c r="CW6" s="20">
        <f t="shared" si="13"/>
        <v>4.5646726825905164</v>
      </c>
      <c r="CX6" s="59">
        <f t="shared" si="14"/>
        <v>264.89800601592384</v>
      </c>
      <c r="CY6" s="59">
        <f ca="1">AVERAGE(OFFSET($CX$3,0,0,'Données projet'!$E$13+1,1))-AVERAGE(OFFSET($H$3,0,0,'Données projet'!$E$13+1,1))</f>
        <v>353.37479213497227</v>
      </c>
      <c r="CZ6" s="59">
        <f t="shared" si="42"/>
        <v>345.4750813433123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4.0942857142857143</v>
      </c>
      <c r="DO6" s="12">
        <f>IF('Données projet'!$A$166&gt;35,DO5+DN6-DW5,IF(A6&lt;'Données projet'!$A$166,$DL$205^A6,IF(A6='Données projet'!$A$166,'Données projet'!$B$166,DO5+DN6-DW5)))</f>
        <v>12.282857142857143</v>
      </c>
      <c r="DP6" s="17">
        <f>DO6*VLOOKUP('Données projet'!$B$14,Paramètres!$A$1:$I$89,3,0)*VLOOKUP('Données projet'!$B$14,Paramètres!$A$1:$I$89,5,0)</f>
        <v>11.113529142857143</v>
      </c>
      <c r="DQ6" s="13">
        <f t="shared" si="43"/>
        <v>3.8696072280877138</v>
      </c>
      <c r="DR6" s="20">
        <f t="shared" si="16"/>
        <v>26.095629179395626</v>
      </c>
      <c r="DS6" s="59">
        <f t="shared" si="17"/>
        <v>286.42896251272896</v>
      </c>
      <c r="DT6" s="59">
        <f ca="1">AVERAGE(OFFSET($DS$3,0,0,'Données projet'!$E$14+1,1))-AVERAGE(OFFSET($H$3,0,0,'Données projet'!$E$14+1,1))</f>
        <v>635.71275911100679</v>
      </c>
      <c r="DU6" s="59">
        <f t="shared" si="44"/>
        <v>281.7776857269169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4.0942857142857143</v>
      </c>
      <c r="EJ6" s="12">
        <f>IF('Données projet'!$A$192&gt;35,EJ5+EI6-ER5,IF(A6&lt;'Données projet'!$A$192,$EG$205^A6,IF(A6='Données projet'!$A$192,'Données projet'!$B$192,EJ5+EI6-ER5)))</f>
        <v>12.282857142857143</v>
      </c>
      <c r="EK6" s="17">
        <f>EJ6*VLOOKUP('Données projet'!$B$15,Paramètres!$A$1:$I$89,3,0)*VLOOKUP('Données projet'!$B$15,Paramètres!$A$1:$I$89,5,0)</f>
        <v>8.2393405714285723</v>
      </c>
      <c r="EL6" s="13">
        <f t="shared" si="45"/>
        <v>2.9705347542668328</v>
      </c>
      <c r="EM6" s="20">
        <f t="shared" si="19"/>
        <v>19.523866192252829</v>
      </c>
      <c r="EN6" s="59">
        <f t="shared" si="20"/>
        <v>279.85719952558617</v>
      </c>
      <c r="EO6" s="59">
        <f ca="1">AVERAGE(OFFSET($EN$3,0,0,'Données projet'!$E$15+1,1))-AVERAGE(OFFSET($H$3,0,0,'Données projet'!$E$15+1,1))</f>
        <v>482.99915419700773</v>
      </c>
      <c r="EP6" s="59">
        <f t="shared" si="46"/>
        <v>219.74157899604279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4.0942857142857143</v>
      </c>
      <c r="FE6" s="12">
        <f>IF('Données projet'!$A$218&gt;35,FE5+FD6-FM5,IF(A6&lt;'Données projet'!$A$218,$FB$205^A6,IF(A6='Données projet'!$A$218,'Données projet'!$B$218,FE5+FD6-FM5)))</f>
        <v>12.282857142857143</v>
      </c>
      <c r="FF6" s="17">
        <f>FE6*VLOOKUP('Données projet'!$B$16,Paramètres!$A$1:$I$89,3,0)*VLOOKUP('Données projet'!$B$16,Paramètres!$A$1:$I$89,5,0)</f>
        <v>11.688366857142858</v>
      </c>
      <c r="FG6" s="13">
        <f t="shared" si="47"/>
        <v>4.0459392050991161</v>
      </c>
      <c r="FH6" s="20">
        <f t="shared" si="22"/>
        <v>27.403916391738104</v>
      </c>
      <c r="FI6" s="59">
        <f t="shared" si="23"/>
        <v>287.73724972507142</v>
      </c>
      <c r="FJ6" s="59">
        <f ca="1">AVERAGE(OFFSET($FI$3,0,0,'Données projet'!$E$16+1,1))-AVERAGE(OFFSET($H$3,0,0,'Données projet'!$E$16+1,1))</f>
        <v>666.1523645983184</v>
      </c>
      <c r="FK6" s="59">
        <f t="shared" si="48"/>
        <v>294.13851344047526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4.333333333333333</v>
      </c>
      <c r="N7" s="13">
        <f>IF('Données projet'!$A$36&gt;35,N6+M7-V6,IF(A7&lt;'Données projet'!$A$36,$K$205^A7,IF(A7='Données projet'!$A$36,'Données projet'!$B$36,N6+M7-V6)))</f>
        <v>3.0439923858678468</v>
      </c>
      <c r="O7" s="13">
        <f>N7*VLOOKUP('Données projet'!$B$9,Paramètres!$A$1:$I$89,3,0)*VLOOKUP('Données projet'!$B$9,Paramètres!$A$1:$I$89,5,0)</f>
        <v>2.2318552173183055</v>
      </c>
      <c r="P7" s="13">
        <f t="shared" si="33"/>
        <v>0.93677082913775367</v>
      </c>
      <c r="Q7" s="20">
        <f t="shared" si="2"/>
        <v>5.5186903642443035</v>
      </c>
      <c r="R7" s="59">
        <f t="shared" si="0"/>
        <v>267.07424591979986</v>
      </c>
      <c r="S7" s="59">
        <f ca="1">AVERAGE(OFFSET($R$3,0,0,'Données projet'!$E$9+1,1))-AVERAGE(OFFSET($H$3,0,0,'Données projet'!$E$9+1,1))</f>
        <v>328.55631138162721</v>
      </c>
      <c r="T7" s="59">
        <f t="shared" si="34"/>
        <v>321.81422611044985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4.333333333333333</v>
      </c>
      <c r="AI7" s="13">
        <f>IF('Données projet'!$A$62&gt;35,AI6+AH7-AQ6,IF(A7&lt;'Données projet'!$A$62,$AF$205^A7,IF(A7='Données projet'!$A$62,'Données projet'!$B$62,AI6+AH7-AQ6)))</f>
        <v>3.0439923858678468</v>
      </c>
      <c r="AJ7" s="13">
        <f>AI7*VLOOKUP('Données projet'!$B$10,Paramètres!$A$1:$I$89,3,0)*VLOOKUP('Données projet'!$B$10,Paramètres!$A$1:$I$89,5,0)</f>
        <v>2.4218003421964593</v>
      </c>
      <c r="AK7" s="13">
        <f t="shared" si="35"/>
        <v>1.0068776453006392</v>
      </c>
      <c r="AL7" s="20">
        <f t="shared" si="4"/>
        <v>5.9716141615574472</v>
      </c>
      <c r="AM7" s="59">
        <f t="shared" si="5"/>
        <v>267.527169717113</v>
      </c>
      <c r="AN7" s="59">
        <f ca="1">AVERAGE(OFFSET($AM$3,0,0,'Données projet'!$E$10+1,1))-AVERAGE(OFFSET($H$3,0,0,'Données projet'!$E$10+1,1))</f>
        <v>353.37479213497227</v>
      </c>
      <c r="AO7" s="59">
        <f t="shared" si="36"/>
        <v>345.4750813433123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4.333333333333333</v>
      </c>
      <c r="BD7" s="12">
        <f>IF('Données projet'!$A$88&gt;35,BD6+BC7-BL6,IF(A7&lt;'Données projet'!$A$88,$BA$205^A7,IF(A7='Données projet'!$A$88,'Données projet'!$B$88,BD6+BC7-BL6)))</f>
        <v>3.0439923858678468</v>
      </c>
      <c r="BE7" s="13">
        <f>BD7*VLOOKUP('Données projet'!$B$11,Paramètres!$A$1:$I$89,3,0)*VLOOKUP('Données projet'!$B$11,Paramètres!$A$1:$I$89,5,0)</f>
        <v>2.4692866234159974</v>
      </c>
      <c r="BF7" s="13">
        <f t="shared" si="37"/>
        <v>1.0243025304205389</v>
      </c>
      <c r="BG7" s="20">
        <f t="shared" si="7"/>
        <v>6.0846677762653014</v>
      </c>
      <c r="BH7" s="59">
        <f t="shared" si="8"/>
        <v>267.64022333182083</v>
      </c>
      <c r="BI7" s="59">
        <f ca="1">AVERAGE(OFFSET($BH$3,0,0,'Données projet'!$E$11+1,1))-AVERAGE(OFFSET($H$3,0,0,'Données projet'!$E$11+1,1))</f>
        <v>359.57284550600366</v>
      </c>
      <c r="BJ7" s="59">
        <f t="shared" si="38"/>
        <v>351.38386928091433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1.3675213675213673</v>
      </c>
      <c r="BY7" s="12">
        <f>IF('Données projet'!$A$114&gt;35,BY6+BX7-CG6,IF(A7&lt;'Données projet'!$A$114,$BV$205^A7,IF(A7='Données projet'!$A$114,'Données projet'!$B$114,BY6+BX7-CG6)))</f>
        <v>2.2380688087865868</v>
      </c>
      <c r="BZ7" s="13">
        <f>BY7*VLOOKUP('Données projet'!$B$12,Paramètres!$A$1:$I$89,3,0)*VLOOKUP('Données projet'!$B$12,Paramètres!$A$1:$I$89,5,0)</f>
        <v>1.8155214176876793</v>
      </c>
      <c r="CA7" s="13">
        <f t="shared" si="39"/>
        <v>0.7805589023729711</v>
      </c>
      <c r="CB7" s="20">
        <f t="shared" si="10"/>
        <v>4.5215065574389657</v>
      </c>
      <c r="CC7" s="59">
        <f t="shared" si="11"/>
        <v>266.0770621129945</v>
      </c>
      <c r="CD7" s="59">
        <f ca="1">AVERAGE(OFFSET($CC$3,0,0,'Données projet'!$E$12+1,1))-AVERAGE(OFFSET($H$3,0,0,'Données projet'!$E$12+1,1))</f>
        <v>159.4660488566085</v>
      </c>
      <c r="CE7" s="59">
        <f t="shared" si="40"/>
        <v>135.33030558297088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4.333333333333333</v>
      </c>
      <c r="CT7" s="12">
        <f>IF('Données projet'!$A$140&gt;35,CT6+CS7-DB6,IF(A7&lt;'Données projet'!$A$140,$CQ$205^A7,IF(A7='Données projet'!$A$140,'Données projet'!$B$140,CT6+CS7-DB6)))</f>
        <v>3.0439923858678468</v>
      </c>
      <c r="CU7" s="17">
        <f>CT7*VLOOKUP('Données projet'!$B$13,Paramètres!$A$1:$I$89,3,0)*VLOOKUP('Données projet'!$B$13,Paramètres!$A$1:$I$89,5,0)</f>
        <v>2.4218003421964593</v>
      </c>
      <c r="CV7" s="13">
        <f t="shared" si="41"/>
        <v>1.0068776453006392</v>
      </c>
      <c r="CW7" s="20">
        <f t="shared" si="13"/>
        <v>5.9716141615574472</v>
      </c>
      <c r="CX7" s="59">
        <f t="shared" si="14"/>
        <v>267.527169717113</v>
      </c>
      <c r="CY7" s="59">
        <f ca="1">AVERAGE(OFFSET($CX$3,0,0,'Données projet'!$E$13+1,1))-AVERAGE(OFFSET($H$3,0,0,'Données projet'!$E$13+1,1))</f>
        <v>353.37479213497227</v>
      </c>
      <c r="CZ7" s="59">
        <f t="shared" si="42"/>
        <v>345.4750813433123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4.0942857142857143</v>
      </c>
      <c r="DO7" s="12">
        <f>IF('Données projet'!$A$166&gt;35,DO6+DN7-DW6,IF(A7&lt;'Données projet'!$A$166,$DL$205^A7,IF(A7='Données projet'!$A$166,'Données projet'!$B$166,DO6+DN7-DW6)))</f>
        <v>16.377142857142857</v>
      </c>
      <c r="DP7" s="17">
        <f>DO7*VLOOKUP('Données projet'!$B$14,Paramètres!$A$1:$I$89,3,0)*VLOOKUP('Données projet'!$B$14,Paramètres!$A$1:$I$89,5,0)</f>
        <v>14.818038857142856</v>
      </c>
      <c r="DQ7" s="13">
        <f t="shared" si="43"/>
        <v>4.9895657885731195</v>
      </c>
      <c r="DR7" s="20">
        <f t="shared" si="16"/>
        <v>34.49824475795532</v>
      </c>
      <c r="DS7" s="59">
        <f t="shared" si="17"/>
        <v>296.05380031351086</v>
      </c>
      <c r="DT7" s="59">
        <f ca="1">AVERAGE(OFFSET($DS$3,0,0,'Données projet'!$E$14+1,1))-AVERAGE(OFFSET($H$3,0,0,'Données projet'!$E$14+1,1))</f>
        <v>635.71275911100679</v>
      </c>
      <c r="DU7" s="59">
        <f t="shared" si="44"/>
        <v>281.7776857269169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4.0942857142857143</v>
      </c>
      <c r="EJ7" s="12">
        <f>IF('Données projet'!$A$192&gt;35,EJ6+EI7-ER6,IF(A7&lt;'Données projet'!$A$192,$EG$205^A7,IF(A7='Données projet'!$A$192,'Données projet'!$B$192,EJ6+EI7-ER6)))</f>
        <v>16.377142857142857</v>
      </c>
      <c r="EK7" s="17">
        <f>EJ7*VLOOKUP('Données projet'!$B$15,Paramètres!$A$1:$I$89,3,0)*VLOOKUP('Données projet'!$B$15,Paramètres!$A$1:$I$89,5,0)</f>
        <v>10.985787428571429</v>
      </c>
      <c r="EL7" s="13">
        <f t="shared" si="45"/>
        <v>3.8302798475445874</v>
      </c>
      <c r="EM7" s="20">
        <f t="shared" si="19"/>
        <v>25.80465050590206</v>
      </c>
      <c r="EN7" s="59">
        <f t="shared" si="20"/>
        <v>287.36020606145757</v>
      </c>
      <c r="EO7" s="59">
        <f ca="1">AVERAGE(OFFSET($EN$3,0,0,'Données projet'!$E$15+1,1))-AVERAGE(OFFSET($H$3,0,0,'Données projet'!$E$15+1,1))</f>
        <v>482.99915419700773</v>
      </c>
      <c r="EP7" s="59">
        <f t="shared" si="46"/>
        <v>219.74157899604279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4.0942857142857143</v>
      </c>
      <c r="FE7" s="12">
        <f>IF('Données projet'!$A$218&gt;35,FE6+FD7-FM6,IF(A7&lt;'Données projet'!$A$218,$FB$205^A7,IF(A7='Données projet'!$A$218,'Données projet'!$B$218,FE6+FD7-FM6)))</f>
        <v>16.377142857142857</v>
      </c>
      <c r="FF7" s="17">
        <f>FE7*VLOOKUP('Données projet'!$B$16,Paramètres!$A$1:$I$89,3,0)*VLOOKUP('Données projet'!$B$16,Paramètres!$A$1:$I$89,5,0)</f>
        <v>15.584489142857144</v>
      </c>
      <c r="FG7" s="13">
        <f t="shared" si="47"/>
        <v>5.2169325335857213</v>
      </c>
      <c r="FH7" s="20">
        <f t="shared" si="22"/>
        <v>36.229142753137985</v>
      </c>
      <c r="FI7" s="59">
        <f t="shared" si="23"/>
        <v>297.78469830869352</v>
      </c>
      <c r="FJ7" s="59">
        <f ca="1">AVERAGE(OFFSET($FI$3,0,0,'Données projet'!$E$16+1,1))-AVERAGE(OFFSET($H$3,0,0,'Données projet'!$E$16+1,1))</f>
        <v>666.1523645983184</v>
      </c>
      <c r="FK7" s="59">
        <f t="shared" si="48"/>
        <v>294.13851344047526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4.333333333333333</v>
      </c>
      <c r="N8" s="13">
        <f>IF('Données projet'!$A$36&gt;35,N7+M8-V7,IF(A8&lt;'Données projet'!$A$36,$K$205^A8,IF(A8='Données projet'!$A$36,'Données projet'!$B$36,N7+M8-V7)))</f>
        <v>4.0207257585890561</v>
      </c>
      <c r="O8" s="13">
        <f>N8*VLOOKUP('Données projet'!$B$9,Paramètres!$A$1:$I$89,3,0)*VLOOKUP('Données projet'!$B$9,Paramètres!$A$1:$I$89,5,0)</f>
        <v>2.9479961261974958</v>
      </c>
      <c r="P8" s="13">
        <f t="shared" si="33"/>
        <v>1.1979151052189165</v>
      </c>
      <c r="Q8" s="20">
        <f t="shared" si="2"/>
        <v>7.2207953947169168</v>
      </c>
      <c r="R8" s="59">
        <f t="shared" si="0"/>
        <v>269.99857317249467</v>
      </c>
      <c r="S8" s="59">
        <f ca="1">AVERAGE(OFFSET($R$3,0,0,'Données projet'!$E$9+1,1))-AVERAGE(OFFSET($H$3,0,0,'Données projet'!$E$9+1,1))</f>
        <v>328.55631138162721</v>
      </c>
      <c r="T8" s="59">
        <f t="shared" si="34"/>
        <v>321.81422611044985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4.333333333333333</v>
      </c>
      <c r="AI8" s="13">
        <f>IF('Données projet'!$A$62&gt;35,AI7+AH8-AQ7,IF(A8&lt;'Données projet'!$A$62,$AF$205^A8,IF(A8='Données projet'!$A$62,'Données projet'!$B$62,AI7+AH8-AQ7)))</f>
        <v>4.0207257585890561</v>
      </c>
      <c r="AJ8" s="13">
        <f>AI8*VLOOKUP('Données projet'!$B$10,Paramètres!$A$1:$I$89,3,0)*VLOOKUP('Données projet'!$B$10,Paramètres!$A$1:$I$89,5,0)</f>
        <v>3.1988894135334531</v>
      </c>
      <c r="AK8" s="13">
        <f t="shared" si="35"/>
        <v>1.2875656488183871</v>
      </c>
      <c r="AL8" s="20">
        <f t="shared" si="4"/>
        <v>7.8139092335961218</v>
      </c>
      <c r="AM8" s="59">
        <f t="shared" si="5"/>
        <v>270.59168701137389</v>
      </c>
      <c r="AN8" s="59">
        <f ca="1">AVERAGE(OFFSET($AM$3,0,0,'Données projet'!$E$10+1,1))-AVERAGE(OFFSET($H$3,0,0,'Données projet'!$E$10+1,1))</f>
        <v>353.37479213497227</v>
      </c>
      <c r="AO8" s="59">
        <f t="shared" si="36"/>
        <v>345.4750813433123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4.333333333333333</v>
      </c>
      <c r="BD8" s="12">
        <f>IF('Données projet'!$A$88&gt;35,BD7+BC8-BL7,IF(A8&lt;'Données projet'!$A$88,$BA$205^A8,IF(A8='Données projet'!$A$88,'Données projet'!$B$88,BD7+BC8-BL7)))</f>
        <v>4.0207257585890561</v>
      </c>
      <c r="BE8" s="13">
        <f>BD8*VLOOKUP('Données projet'!$B$11,Paramètres!$A$1:$I$89,3,0)*VLOOKUP('Données projet'!$B$11,Paramètres!$A$1:$I$89,5,0)</f>
        <v>3.2616127353674425</v>
      </c>
      <c r="BF8" s="13">
        <f t="shared" si="37"/>
        <v>1.3098480816638303</v>
      </c>
      <c r="BG8" s="20">
        <f t="shared" si="7"/>
        <v>7.9619609229961332</v>
      </c>
      <c r="BH8" s="59">
        <f t="shared" si="8"/>
        <v>270.7397387007739</v>
      </c>
      <c r="BI8" s="59">
        <f ca="1">AVERAGE(OFFSET($BH$3,0,0,'Données projet'!$E$11+1,1))-AVERAGE(OFFSET($H$3,0,0,'Données projet'!$E$11+1,1))</f>
        <v>359.57284550600366</v>
      </c>
      <c r="BJ8" s="59">
        <f t="shared" si="38"/>
        <v>351.38386928091433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1.3675213675213673</v>
      </c>
      <c r="BY8" s="12">
        <f>IF('Données projet'!$A$114&gt;35,BY7+BX8-CG7,IF(A8&lt;'Données projet'!$A$114,$BV$205^A8,IF(A8='Données projet'!$A$114,'Données projet'!$B$114,BY7+BX8-CG7)))</f>
        <v>2.7374222525548308</v>
      </c>
      <c r="BZ8" s="13">
        <f>BY8*VLOOKUP('Données projet'!$B$12,Paramètres!$A$1:$I$89,3,0)*VLOOKUP('Données projet'!$B$12,Paramètres!$A$1:$I$89,5,0)</f>
        <v>2.2205969312724791</v>
      </c>
      <c r="CA8" s="13">
        <f t="shared" si="39"/>
        <v>0.93259422755625287</v>
      </c>
      <c r="CB8" s="20">
        <f t="shared" si="10"/>
        <v>5.4918079349600406</v>
      </c>
      <c r="CC8" s="59">
        <f t="shared" si="11"/>
        <v>268.26958571273781</v>
      </c>
      <c r="CD8" s="59">
        <f ca="1">AVERAGE(OFFSET($CC$3,0,0,'Données projet'!$E$12+1,1))-AVERAGE(OFFSET($H$3,0,0,'Données projet'!$E$12+1,1))</f>
        <v>159.4660488566085</v>
      </c>
      <c r="CE8" s="59">
        <f t="shared" si="40"/>
        <v>135.33030558297088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4.333333333333333</v>
      </c>
      <c r="CT8" s="12">
        <f>IF('Données projet'!$A$140&gt;35,CT7+CS8-DB7,IF(A8&lt;'Données projet'!$A$140,$CQ$205^A8,IF(A8='Données projet'!$A$140,'Données projet'!$B$140,CT7+CS8-DB7)))</f>
        <v>4.0207257585890561</v>
      </c>
      <c r="CU8" s="17">
        <f>CT8*VLOOKUP('Données projet'!$B$13,Paramètres!$A$1:$I$89,3,0)*VLOOKUP('Données projet'!$B$13,Paramètres!$A$1:$I$89,5,0)</f>
        <v>3.1988894135334531</v>
      </c>
      <c r="CV8" s="13">
        <f t="shared" si="41"/>
        <v>1.2875656488183871</v>
      </c>
      <c r="CW8" s="20">
        <f t="shared" si="13"/>
        <v>7.8139092335961218</v>
      </c>
      <c r="CX8" s="59">
        <f t="shared" si="14"/>
        <v>270.59168701137389</v>
      </c>
      <c r="CY8" s="59">
        <f ca="1">AVERAGE(OFFSET($CX$3,0,0,'Données projet'!$E$13+1,1))-AVERAGE(OFFSET($H$3,0,0,'Données projet'!$E$13+1,1))</f>
        <v>353.37479213497227</v>
      </c>
      <c r="CZ8" s="59">
        <f t="shared" si="42"/>
        <v>345.4750813433123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4.0942857142857143</v>
      </c>
      <c r="DO8" s="12">
        <f>IF('Données projet'!$A$166&gt;35,DO7+DN8-DW7,IF(A8&lt;'Données projet'!$A$166,$DL$205^A8,IF(A8='Données projet'!$A$166,'Données projet'!$B$166,DO7+DN8-DW7)))</f>
        <v>20.471428571428572</v>
      </c>
      <c r="DP8" s="17">
        <f>DO8*VLOOKUP('Données projet'!$B$14,Paramètres!$A$1:$I$89,3,0)*VLOOKUP('Données projet'!$B$14,Paramètres!$A$1:$I$89,5,0)</f>
        <v>18.522548571428572</v>
      </c>
      <c r="DQ8" s="13">
        <f t="shared" si="43"/>
        <v>6.0770448389896208</v>
      </c>
      <c r="DR8" s="20">
        <f t="shared" si="16"/>
        <v>42.84429185647835</v>
      </c>
      <c r="DS8" s="59">
        <f t="shared" si="17"/>
        <v>305.62206963425615</v>
      </c>
      <c r="DT8" s="59">
        <f ca="1">AVERAGE(OFFSET($DS$3,0,0,'Données projet'!$E$14+1,1))-AVERAGE(OFFSET($H$3,0,0,'Données projet'!$E$14+1,1))</f>
        <v>635.71275911100679</v>
      </c>
      <c r="DU8" s="59">
        <f t="shared" si="44"/>
        <v>281.7776857269169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4.0942857142857143</v>
      </c>
      <c r="EJ8" s="12">
        <f>IF('Données projet'!$A$192&gt;35,EJ7+EI8-ER7,IF(A8&lt;'Données projet'!$A$192,$EG$205^A8,IF(A8='Données projet'!$A$192,'Données projet'!$B$192,EJ7+EI8-ER7)))</f>
        <v>20.471428571428572</v>
      </c>
      <c r="EK8" s="17">
        <f>EJ8*VLOOKUP('Données projet'!$B$15,Paramètres!$A$1:$I$89,3,0)*VLOOKUP('Données projet'!$B$15,Paramètres!$A$1:$I$89,5,0)</f>
        <v>13.732234285714286</v>
      </c>
      <c r="EL8" s="13">
        <f t="shared" si="45"/>
        <v>4.6650917866869763</v>
      </c>
      <c r="EM8" s="20">
        <f t="shared" si="19"/>
        <v>32.042009576098863</v>
      </c>
      <c r="EN8" s="59">
        <f t="shared" si="20"/>
        <v>294.81978735387662</v>
      </c>
      <c r="EO8" s="59">
        <f ca="1">AVERAGE(OFFSET($EN$3,0,0,'Données projet'!$E$15+1,1))-AVERAGE(OFFSET($H$3,0,0,'Données projet'!$E$15+1,1))</f>
        <v>482.99915419700773</v>
      </c>
      <c r="EP8" s="59">
        <f t="shared" si="46"/>
        <v>219.74157899604279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4.0942857142857143</v>
      </c>
      <c r="FE8" s="12">
        <f>IF('Données projet'!$A$218&gt;35,FE7+FD8-FM7,IF(A8&lt;'Données projet'!$A$218,$FB$205^A8,IF(A8='Données projet'!$A$218,'Données projet'!$B$218,FE7+FD8-FM7)))</f>
        <v>20.471428571428572</v>
      </c>
      <c r="FF8" s="17">
        <f>FE8*VLOOKUP('Données projet'!$B$16,Paramètres!$A$1:$I$89,3,0)*VLOOKUP('Données projet'!$B$16,Paramètres!$A$1:$I$89,5,0)</f>
        <v>19.480611428571429</v>
      </c>
      <c r="FG8" s="13">
        <f t="shared" si="47"/>
        <v>6.3539663112950988</v>
      </c>
      <c r="FH8" s="20">
        <f t="shared" si="22"/>
        <v>44.995222896934202</v>
      </c>
      <c r="FI8" s="59">
        <f t="shared" si="23"/>
        <v>307.77300067471197</v>
      </c>
      <c r="FJ8" s="59">
        <f ca="1">AVERAGE(OFFSET($FI$3,0,0,'Données projet'!$E$16+1,1))-AVERAGE(OFFSET($H$3,0,0,'Données projet'!$E$16+1,1))</f>
        <v>666.1523645983184</v>
      </c>
      <c r="FK8" s="59">
        <f t="shared" si="48"/>
        <v>294.13851344047526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4.333333333333333</v>
      </c>
      <c r="N9" s="13">
        <f>IF('Données projet'!$A$36&gt;35,N8+M9-V8,IF(A9&lt;'Données projet'!$A$36,$K$205^A9,IF(A9='Données projet'!$A$36,'Données projet'!$B$36,N8+M9-V8)))</f>
        <v>5.310865986667876</v>
      </c>
      <c r="O9" s="13">
        <f>N9*VLOOKUP('Données projet'!$B$9,Paramètres!$A$1:$I$89,3,0)*VLOOKUP('Données projet'!$B$9,Paramètres!$A$1:$I$89,5,0)</f>
        <v>3.8939269414248865</v>
      </c>
      <c r="P9" s="13">
        <f t="shared" si="33"/>
        <v>1.5318587584889765</v>
      </c>
      <c r="Q9" s="20">
        <f t="shared" si="2"/>
        <v>9.4499100940166461</v>
      </c>
      <c r="R9" s="59">
        <f t="shared" si="0"/>
        <v>273.44991009401667</v>
      </c>
      <c r="S9" s="59">
        <f ca="1">AVERAGE(OFFSET($R$3,0,0,'Données projet'!$E$9+1,1))-AVERAGE(OFFSET($H$3,0,0,'Données projet'!$E$9+1,1))</f>
        <v>328.55631138162721</v>
      </c>
      <c r="T9" s="59">
        <f t="shared" si="34"/>
        <v>321.81422611044985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4.333333333333333</v>
      </c>
      <c r="AI9" s="13">
        <f>IF('Données projet'!$A$62&gt;35,AI8+AH9-AQ8,IF(A9&lt;'Données projet'!$A$62,$AF$205^A9,IF(A9='Données projet'!$A$62,'Données projet'!$B$62,AI8+AH9-AQ8)))</f>
        <v>5.310865986667876</v>
      </c>
      <c r="AJ9" s="13">
        <f>AI9*VLOOKUP('Données projet'!$B$10,Paramètres!$A$1:$I$89,3,0)*VLOOKUP('Données projet'!$B$10,Paramètres!$A$1:$I$89,5,0)</f>
        <v>4.2253249789929628</v>
      </c>
      <c r="AK9" s="13">
        <f t="shared" si="35"/>
        <v>1.6465012484432624</v>
      </c>
      <c r="AL9" s="20">
        <f t="shared" si="4"/>
        <v>10.226764012784757</v>
      </c>
      <c r="AM9" s="59">
        <f t="shared" si="5"/>
        <v>274.22676401278477</v>
      </c>
      <c r="AN9" s="59">
        <f ca="1">AVERAGE(OFFSET($AM$3,0,0,'Données projet'!$E$10+1,1))-AVERAGE(OFFSET($H$3,0,0,'Données projet'!$E$10+1,1))</f>
        <v>353.37479213497227</v>
      </c>
      <c r="AO9" s="59">
        <f t="shared" si="36"/>
        <v>345.4750813433123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4.333333333333333</v>
      </c>
      <c r="BD9" s="12">
        <f>IF('Données projet'!$A$88&gt;35,BD8+BC9-BL8,IF(A9&lt;'Données projet'!$A$88,$BA$205^A9,IF(A9='Données projet'!$A$88,'Données projet'!$B$88,BD8+BC9-BL8)))</f>
        <v>5.310865986667876</v>
      </c>
      <c r="BE9" s="13">
        <f>BD9*VLOOKUP('Données projet'!$B$11,Paramètres!$A$1:$I$89,3,0)*VLOOKUP('Données projet'!$B$11,Paramètres!$A$1:$I$89,5,0)</f>
        <v>4.3081744883849815</v>
      </c>
      <c r="BF9" s="13">
        <f t="shared" si="37"/>
        <v>1.6749953710785195</v>
      </c>
      <c r="BG9" s="20">
        <f t="shared" si="7"/>
        <v>10.420687505232264</v>
      </c>
      <c r="BH9" s="59">
        <f t="shared" si="8"/>
        <v>274.42068750523225</v>
      </c>
      <c r="BI9" s="59">
        <f ca="1">AVERAGE(OFFSET($BH$3,0,0,'Données projet'!$E$11+1,1))-AVERAGE(OFFSET($H$3,0,0,'Données projet'!$E$11+1,1))</f>
        <v>359.57284550600366</v>
      </c>
      <c r="BJ9" s="59">
        <f t="shared" si="38"/>
        <v>351.38386928091433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1.3675213675213673</v>
      </c>
      <c r="BY9" s="12">
        <f>IF('Données projet'!$A$114&gt;35,BY8+BX9-CG8,IF(A9&lt;'Données projet'!$A$114,$BV$205^A9,IF(A9='Données projet'!$A$114,'Données projet'!$B$114,BY8+BX9-CG8)))</f>
        <v>3.3481904396161539</v>
      </c>
      <c r="BZ9" s="13">
        <f>BY9*VLOOKUP('Données projet'!$B$12,Paramètres!$A$1:$I$89,3,0)*VLOOKUP('Données projet'!$B$12,Paramètres!$A$1:$I$89,5,0)</f>
        <v>2.7160520846166243</v>
      </c>
      <c r="CA9" s="13">
        <f t="shared" si="39"/>
        <v>1.1142426159347851</v>
      </c>
      <c r="CB9" s="20">
        <f t="shared" si="10"/>
        <v>6.6710966034603709</v>
      </c>
      <c r="CC9" s="59">
        <f t="shared" si="11"/>
        <v>270.6710966034604</v>
      </c>
      <c r="CD9" s="59">
        <f ca="1">AVERAGE(OFFSET($CC$3,0,0,'Données projet'!$E$12+1,1))-AVERAGE(OFFSET($H$3,0,0,'Données projet'!$E$12+1,1))</f>
        <v>159.4660488566085</v>
      </c>
      <c r="CE9" s="59">
        <f t="shared" si="40"/>
        <v>135.33030558297088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4.333333333333333</v>
      </c>
      <c r="CT9" s="12">
        <f>IF('Données projet'!$A$140&gt;35,CT8+CS9-DB8,IF(A9&lt;'Données projet'!$A$140,$CQ$205^A9,IF(A9='Données projet'!$A$140,'Données projet'!$B$140,CT8+CS9-DB8)))</f>
        <v>5.310865986667876</v>
      </c>
      <c r="CU9" s="17">
        <f>CT9*VLOOKUP('Données projet'!$B$13,Paramètres!$A$1:$I$89,3,0)*VLOOKUP('Données projet'!$B$13,Paramètres!$A$1:$I$89,5,0)</f>
        <v>4.2253249789929628</v>
      </c>
      <c r="CV9" s="13">
        <f t="shared" si="41"/>
        <v>1.6465012484432624</v>
      </c>
      <c r="CW9" s="20">
        <f t="shared" si="13"/>
        <v>10.226764012784757</v>
      </c>
      <c r="CX9" s="59">
        <f t="shared" si="14"/>
        <v>274.22676401278477</v>
      </c>
      <c r="CY9" s="59">
        <f ca="1">AVERAGE(OFFSET($CX$3,0,0,'Données projet'!$E$13+1,1))-AVERAGE(OFFSET($H$3,0,0,'Données projet'!$E$13+1,1))</f>
        <v>353.37479213497227</v>
      </c>
      <c r="CZ9" s="59">
        <f t="shared" si="42"/>
        <v>345.4750813433123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4.0942857142857143</v>
      </c>
      <c r="DO9" s="12">
        <f>IF('Données projet'!$A$166&gt;35,DO8+DN9-DW8,IF(A9&lt;'Données projet'!$A$166,$DL$205^A9,IF(A9='Données projet'!$A$166,'Données projet'!$B$166,DO8+DN9-DW8)))</f>
        <v>24.565714285714286</v>
      </c>
      <c r="DP9" s="17">
        <f>DO9*VLOOKUP('Données projet'!$B$14,Paramètres!$A$1:$I$89,3,0)*VLOOKUP('Données projet'!$B$14,Paramètres!$A$1:$I$89,5,0)</f>
        <v>22.227058285714286</v>
      </c>
      <c r="DQ9" s="13">
        <f t="shared" si="43"/>
        <v>7.1393223235836674</v>
      </c>
      <c r="DR9" s="20">
        <f t="shared" si="16"/>
        <v>51.146446227860601</v>
      </c>
      <c r="DS9" s="59">
        <f t="shared" si="17"/>
        <v>315.14644622786062</v>
      </c>
      <c r="DT9" s="59">
        <f ca="1">AVERAGE(OFFSET($DS$3,0,0,'Données projet'!$E$14+1,1))-AVERAGE(OFFSET($H$3,0,0,'Données projet'!$E$14+1,1))</f>
        <v>635.71275911100679</v>
      </c>
      <c r="DU9" s="59">
        <f t="shared" si="44"/>
        <v>281.7776857269169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4.0942857142857143</v>
      </c>
      <c r="EJ9" s="12">
        <f>IF('Données projet'!$A$192&gt;35,EJ8+EI9-ER8,IF(A9&lt;'Données projet'!$A$192,$EG$205^A9,IF(A9='Données projet'!$A$192,'Données projet'!$B$192,EJ8+EI9-ER8)))</f>
        <v>24.565714285714286</v>
      </c>
      <c r="EK9" s="17">
        <f>EJ9*VLOOKUP('Données projet'!$B$15,Paramètres!$A$1:$I$89,3,0)*VLOOKUP('Données projet'!$B$15,Paramètres!$A$1:$I$89,5,0)</f>
        <v>16.478681142857145</v>
      </c>
      <c r="EL9" s="13">
        <f t="shared" si="45"/>
        <v>5.4805575434586729</v>
      </c>
      <c r="EM9" s="20">
        <f t="shared" si="19"/>
        <v>38.245674045333381</v>
      </c>
      <c r="EN9" s="59">
        <f t="shared" si="20"/>
        <v>302.24567404533337</v>
      </c>
      <c r="EO9" s="59">
        <f ca="1">AVERAGE(OFFSET($EN$3,0,0,'Données projet'!$E$15+1,1))-AVERAGE(OFFSET($H$3,0,0,'Données projet'!$E$15+1,1))</f>
        <v>482.99915419700773</v>
      </c>
      <c r="EP9" s="59">
        <f t="shared" si="46"/>
        <v>219.74157899604279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4.0942857142857143</v>
      </c>
      <c r="FE9" s="12">
        <f>IF('Données projet'!$A$218&gt;35,FE8+FD9-FM8,IF(A9&lt;'Données projet'!$A$218,$FB$205^A9,IF(A9='Données projet'!$A$218,'Données projet'!$B$218,FE8+FD9-FM8)))</f>
        <v>24.565714285714286</v>
      </c>
      <c r="FF9" s="17">
        <f>FE9*VLOOKUP('Données projet'!$B$16,Paramètres!$A$1:$I$89,3,0)*VLOOKUP('Données projet'!$B$16,Paramètres!$A$1:$I$89,5,0)</f>
        <v>23.376733714285717</v>
      </c>
      <c r="FG9" s="13">
        <f t="shared" si="47"/>
        <v>7.4646501270623844</v>
      </c>
      <c r="FH9" s="20">
        <f t="shared" si="22"/>
        <v>53.715410190347939</v>
      </c>
      <c r="FI9" s="59">
        <f t="shared" si="23"/>
        <v>317.71541019034794</v>
      </c>
      <c r="FJ9" s="59">
        <f ca="1">AVERAGE(OFFSET($FI$3,0,0,'Données projet'!$E$16+1,1))-AVERAGE(OFFSET($H$3,0,0,'Données projet'!$E$16+1,1))</f>
        <v>666.1523645983184</v>
      </c>
      <c r="FK9" s="59">
        <f t="shared" si="48"/>
        <v>294.13851344047526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4.333333333333333</v>
      </c>
      <c r="N10" s="13">
        <f>IF('Données projet'!$A$36&gt;35,N9+M10-V9,IF(A10&lt;'Données projet'!$A$36,$K$205^A10,IF(A10='Données projet'!$A$36,'Données projet'!$B$36,N9+M10-V9)))</f>
        <v>7.0149767036694106</v>
      </c>
      <c r="O10" s="13">
        <f>N10*VLOOKUP('Données projet'!$B$9,Paramètres!$A$1:$I$89,3,0)*VLOOKUP('Données projet'!$B$9,Paramètres!$A$1:$I$89,5,0)</f>
        <v>5.1433809191304123</v>
      </c>
      <c r="P10" s="13">
        <f t="shared" si="33"/>
        <v>1.9588961235533917</v>
      </c>
      <c r="Q10" s="20">
        <f t="shared" si="2"/>
        <v>12.369799182674292</v>
      </c>
      <c r="R10" s="59">
        <f t="shared" si="0"/>
        <v>277.59202140489651</v>
      </c>
      <c r="S10" s="59">
        <f ca="1">AVERAGE(OFFSET($R$3,0,0,'Données projet'!$E$9+1,1))-AVERAGE(OFFSET($H$3,0,0,'Données projet'!$E$9+1,1))</f>
        <v>328.55631138162721</v>
      </c>
      <c r="T10" s="59">
        <f t="shared" si="34"/>
        <v>321.81422611044985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4.333333333333333</v>
      </c>
      <c r="AI10" s="13">
        <f>IF('Données projet'!$A$62&gt;35,AI9+AH10-AQ9,IF(A10&lt;'Données projet'!$A$62,$AF$205^A10,IF(A10='Données projet'!$A$62,'Données projet'!$B$62,AI9+AH10-AQ9)))</f>
        <v>7.0149767036694106</v>
      </c>
      <c r="AJ10" s="13">
        <f>AI10*VLOOKUP('Données projet'!$B$10,Paramètres!$A$1:$I$89,3,0)*VLOOKUP('Données projet'!$B$10,Paramètres!$A$1:$I$89,5,0)</f>
        <v>5.5811154654393826</v>
      </c>
      <c r="AK10" s="13">
        <f t="shared" si="35"/>
        <v>2.1054975826771263</v>
      </c>
      <c r="AL10" s="20">
        <f t="shared" si="4"/>
        <v>13.387517725469587</v>
      </c>
      <c r="AM10" s="59">
        <f t="shared" si="5"/>
        <v>278.60973994769182</v>
      </c>
      <c r="AN10" s="59">
        <f ca="1">AVERAGE(OFFSET($AM$3,0,0,'Données projet'!$E$10+1,1))-AVERAGE(OFFSET($H$3,0,0,'Données projet'!$E$10+1,1))</f>
        <v>353.37479213497227</v>
      </c>
      <c r="AO10" s="59">
        <f t="shared" si="36"/>
        <v>345.4750813433123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4.333333333333333</v>
      </c>
      <c r="BD10" s="12">
        <f>IF('Données projet'!$A$88&gt;35,BD9+BC10-BL9,IF(A10&lt;'Données projet'!$A$88,$BA$205^A10,IF(A10='Données projet'!$A$88,'Données projet'!$B$88,BD9+BC10-BL9)))</f>
        <v>7.0149767036694106</v>
      </c>
      <c r="BE10" s="13">
        <f>BD10*VLOOKUP('Données projet'!$B$11,Paramètres!$A$1:$I$89,3,0)*VLOOKUP('Données projet'!$B$11,Paramètres!$A$1:$I$89,5,0)</f>
        <v>5.6905491020166261</v>
      </c>
      <c r="BF10" s="13">
        <f t="shared" si="37"/>
        <v>2.1419350323211908</v>
      </c>
      <c r="BG10" s="20">
        <f t="shared" si="7"/>
        <v>13.641576533971696</v>
      </c>
      <c r="BH10" s="59">
        <f t="shared" si="8"/>
        <v>278.86379875619394</v>
      </c>
      <c r="BI10" s="59">
        <f ca="1">AVERAGE(OFFSET($BH$3,0,0,'Données projet'!$E$11+1,1))-AVERAGE(OFFSET($H$3,0,0,'Données projet'!$E$11+1,1))</f>
        <v>359.57284550600366</v>
      </c>
      <c r="BJ10" s="59">
        <f t="shared" si="38"/>
        <v>351.38386928091433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1.3675213675213673</v>
      </c>
      <c r="BY10" s="12">
        <f>IF('Données projet'!$A$114&gt;35,BY9+BX10-CG9,IF(A10&lt;'Données projet'!$A$114,$BV$205^A10,IF(A10='Données projet'!$A$114,'Données projet'!$B$114,BY9+BX10-CG9)))</f>
        <v>4.0952320050274995</v>
      </c>
      <c r="BZ10" s="13">
        <f>BY10*VLOOKUP('Données projet'!$B$12,Paramètres!$A$1:$I$89,3,0)*VLOOKUP('Données projet'!$B$12,Paramètres!$A$1:$I$89,5,0)</f>
        <v>3.3220522024783077</v>
      </c>
      <c r="CA10" s="13">
        <f t="shared" si="39"/>
        <v>1.3312720264401436</v>
      </c>
      <c r="CB10" s="20">
        <f t="shared" si="10"/>
        <v>8.1045396986996359</v>
      </c>
      <c r="CC10" s="59">
        <f t="shared" si="11"/>
        <v>273.32676192092185</v>
      </c>
      <c r="CD10" s="59">
        <f ca="1">AVERAGE(OFFSET($CC$3,0,0,'Données projet'!$E$12+1,1))-AVERAGE(OFFSET($H$3,0,0,'Données projet'!$E$12+1,1))</f>
        <v>159.4660488566085</v>
      </c>
      <c r="CE10" s="59">
        <f t="shared" si="40"/>
        <v>135.33030558297088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4.333333333333333</v>
      </c>
      <c r="CT10" s="12">
        <f>IF('Données projet'!$A$140&gt;35,CT9+CS10-DB9,IF(A10&lt;'Données projet'!$A$140,$CQ$205^A10,IF(A10='Données projet'!$A$140,'Données projet'!$B$140,CT9+CS10-DB9)))</f>
        <v>7.0149767036694106</v>
      </c>
      <c r="CU10" s="17">
        <f>CT10*VLOOKUP('Données projet'!$B$13,Paramètres!$A$1:$I$89,3,0)*VLOOKUP('Données projet'!$B$13,Paramètres!$A$1:$I$89,5,0)</f>
        <v>5.5811154654393826</v>
      </c>
      <c r="CV10" s="13">
        <f t="shared" si="41"/>
        <v>2.1054975826771263</v>
      </c>
      <c r="CW10" s="20">
        <f t="shared" si="13"/>
        <v>13.387517725469587</v>
      </c>
      <c r="CX10" s="59">
        <f t="shared" si="14"/>
        <v>278.60973994769182</v>
      </c>
      <c r="CY10" s="59">
        <f ca="1">AVERAGE(OFFSET($CX$3,0,0,'Données projet'!$E$13+1,1))-AVERAGE(OFFSET($H$3,0,0,'Données projet'!$E$13+1,1))</f>
        <v>353.37479213497227</v>
      </c>
      <c r="CZ10" s="59">
        <f t="shared" si="42"/>
        <v>345.4750813433123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4.0942857142857143</v>
      </c>
      <c r="DO10" s="12">
        <f>IF('Données projet'!$A$166&gt;35,DO9+DN10-DW9,IF(A10&lt;'Données projet'!$A$166,$DL$205^A10,IF(A10='Données projet'!$A$166,'Données projet'!$B$166,DO9+DN10-DW9)))</f>
        <v>28.66</v>
      </c>
      <c r="DP10" s="17">
        <f>DO10*VLOOKUP('Données projet'!$B$14,Paramètres!$A$1:$I$89,3,0)*VLOOKUP('Données projet'!$B$14,Paramètres!$A$1:$I$89,5,0)</f>
        <v>25.931567999999999</v>
      </c>
      <c r="DQ10" s="13">
        <f t="shared" si="43"/>
        <v>8.1810900516051337</v>
      </c>
      <c r="DR10" s="20">
        <f t="shared" si="16"/>
        <v>59.412879439878935</v>
      </c>
      <c r="DS10" s="59">
        <f t="shared" si="17"/>
        <v>324.63510166210119</v>
      </c>
      <c r="DT10" s="59">
        <f ca="1">AVERAGE(OFFSET($DS$3,0,0,'Données projet'!$E$14+1,1))-AVERAGE(OFFSET($H$3,0,0,'Données projet'!$E$14+1,1))</f>
        <v>635.71275911100679</v>
      </c>
      <c r="DU10" s="59">
        <f t="shared" si="44"/>
        <v>281.7776857269169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4.0942857142857143</v>
      </c>
      <c r="EJ10" s="12">
        <f>IF('Données projet'!$A$192&gt;35,EJ9+EI10-ER9,IF(A10&lt;'Données projet'!$A$192,$EG$205^A10,IF(A10='Données projet'!$A$192,'Données projet'!$B$192,EJ9+EI10-ER9)))</f>
        <v>28.66</v>
      </c>
      <c r="EK10" s="17">
        <f>EJ10*VLOOKUP('Données projet'!$B$15,Paramètres!$A$1:$I$89,3,0)*VLOOKUP('Données projet'!$B$15,Paramètres!$A$1:$I$89,5,0)</f>
        <v>19.225128000000002</v>
      </c>
      <c r="EL10" s="13">
        <f t="shared" si="45"/>
        <v>6.2802788225329458</v>
      </c>
      <c r="EM10" s="20">
        <f t="shared" si="19"/>
        <v>44.421916882578216</v>
      </c>
      <c r="EN10" s="59">
        <f t="shared" si="20"/>
        <v>309.64413910480044</v>
      </c>
      <c r="EO10" s="59">
        <f ca="1">AVERAGE(OFFSET($EN$3,0,0,'Données projet'!$E$15+1,1))-AVERAGE(OFFSET($H$3,0,0,'Données projet'!$E$15+1,1))</f>
        <v>482.99915419700773</v>
      </c>
      <c r="EP10" s="59">
        <f t="shared" si="46"/>
        <v>219.74157899604279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4.0942857142857143</v>
      </c>
      <c r="FE10" s="12">
        <f>IF('Données projet'!$A$218&gt;35,FE9+FD10-FM9,IF(A10&lt;'Données projet'!$A$218,$FB$205^A10,IF(A10='Données projet'!$A$218,'Données projet'!$B$218,FE9+FD10-FM9)))</f>
        <v>28.66</v>
      </c>
      <c r="FF10" s="17">
        <f>FE10*VLOOKUP('Données projet'!$B$16,Paramètres!$A$1:$I$89,3,0)*VLOOKUP('Données projet'!$B$16,Paramètres!$A$1:$I$89,5,0)</f>
        <v>27.272856000000004</v>
      </c>
      <c r="FG10" s="13">
        <f t="shared" si="47"/>
        <v>8.5538895885805495</v>
      </c>
      <c r="FH10" s="20">
        <f t="shared" si="22"/>
        <v>62.398248566777788</v>
      </c>
      <c r="FI10" s="59">
        <f t="shared" si="23"/>
        <v>327.62047078900002</v>
      </c>
      <c r="FJ10" s="59">
        <f ca="1">AVERAGE(OFFSET($FI$3,0,0,'Données projet'!$E$16+1,1))-AVERAGE(OFFSET($H$3,0,0,'Données projet'!$E$16+1,1))</f>
        <v>666.1523645983184</v>
      </c>
      <c r="FK10" s="59">
        <f t="shared" si="48"/>
        <v>294.13851344047526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4.333333333333333</v>
      </c>
      <c r="N11" s="13">
        <f>IF('Données projet'!$A$36&gt;35,N10+M11-V10,IF(A11&lt;'Données projet'!$A$36,$K$205^A11,IF(A11='Données projet'!$A$36,'Données projet'!$B$36,N10+M11-V10)))</f>
        <v>9.2658896452214261</v>
      </c>
      <c r="O11" s="13">
        <f>N11*VLOOKUP('Données projet'!$B$9,Paramètres!$A$1:$I$89,3,0)*VLOOKUP('Données projet'!$B$9,Paramètres!$A$1:$I$89,5,0)</f>
        <v>6.7937502878763505</v>
      </c>
      <c r="P11" s="13">
        <f t="shared" si="33"/>
        <v>2.504979001234803</v>
      </c>
      <c r="Q11" s="20">
        <f t="shared" si="2"/>
        <v>16.195286845201924</v>
      </c>
      <c r="R11" s="59">
        <f t="shared" si="0"/>
        <v>282.63973128964636</v>
      </c>
      <c r="S11" s="59">
        <f ca="1">AVERAGE(OFFSET($R$3,0,0,'Données projet'!$E$9+1,1))-AVERAGE(OFFSET($H$3,0,0,'Données projet'!$E$9+1,1))</f>
        <v>328.55631138162721</v>
      </c>
      <c r="T11" s="59">
        <f t="shared" si="34"/>
        <v>321.81422611044985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4.333333333333333</v>
      </c>
      <c r="AI11" s="13">
        <f>IF('Données projet'!$A$62&gt;35,AI10+AH11-AQ10,IF(A11&lt;'Données projet'!$A$62,$AF$205^A11,IF(A11='Données projet'!$A$62,'Données projet'!$B$62,AI10+AH11-AQ10)))</f>
        <v>9.2658896452214261</v>
      </c>
      <c r="AJ11" s="13">
        <f>AI11*VLOOKUP('Données projet'!$B$10,Paramètres!$A$1:$I$89,3,0)*VLOOKUP('Données projet'!$B$10,Paramètres!$A$1:$I$89,5,0)</f>
        <v>7.3719418017381662</v>
      </c>
      <c r="AK11" s="13">
        <f t="shared" si="35"/>
        <v>2.6924486542908248</v>
      </c>
      <c r="AL11" s="20">
        <f t="shared" si="4"/>
        <v>17.528813377583827</v>
      </c>
      <c r="AM11" s="59">
        <f t="shared" si="5"/>
        <v>283.9732578220283</v>
      </c>
      <c r="AN11" s="59">
        <f ca="1">AVERAGE(OFFSET($AM$3,0,0,'Données projet'!$E$10+1,1))-AVERAGE(OFFSET($H$3,0,0,'Données projet'!$E$10+1,1))</f>
        <v>353.37479213497227</v>
      </c>
      <c r="AO11" s="59">
        <f t="shared" si="36"/>
        <v>345.4750813433123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4.333333333333333</v>
      </c>
      <c r="BD11" s="12">
        <f>IF('Données projet'!$A$88&gt;35,BD10+BC11-BL10,IF(A11&lt;'Données projet'!$A$88,$BA$205^A11,IF(A11='Données projet'!$A$88,'Données projet'!$B$88,BD10+BC11-BL10)))</f>
        <v>9.2658896452214261</v>
      </c>
      <c r="BE11" s="13">
        <f>BD11*VLOOKUP('Données projet'!$B$11,Paramètres!$A$1:$I$89,3,0)*VLOOKUP('Données projet'!$B$11,Paramètres!$A$1:$I$89,5,0)</f>
        <v>7.5164896802036214</v>
      </c>
      <c r="BF11" s="13">
        <f t="shared" si="37"/>
        <v>2.7390437979125086</v>
      </c>
      <c r="BG11" s="20">
        <f t="shared" si="7"/>
        <v>17.861720807718925</v>
      </c>
      <c r="BH11" s="59">
        <f t="shared" si="8"/>
        <v>284.3061652521634</v>
      </c>
      <c r="BI11" s="59">
        <f ca="1">AVERAGE(OFFSET($BH$3,0,0,'Données projet'!$E$11+1,1))-AVERAGE(OFFSET($H$3,0,0,'Données projet'!$E$11+1,1))</f>
        <v>359.57284550600366</v>
      </c>
      <c r="BJ11" s="59">
        <f t="shared" si="38"/>
        <v>351.38386928091433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1.3675213675213673</v>
      </c>
      <c r="BY11" s="12">
        <f>IF('Données projet'!$A$114&gt;35,BY10+BX11-CG10,IF(A11&lt;'Données projet'!$A$114,$BV$205^A11,IF(A11='Données projet'!$A$114,'Données projet'!$B$114,BY10+BX11-CG10)))</f>
        <v>5.0089519928634116</v>
      </c>
      <c r="BZ11" s="13">
        <f>BY11*VLOOKUP('Données projet'!$B$12,Paramètres!$A$1:$I$89,3,0)*VLOOKUP('Données projet'!$B$12,Paramètres!$A$1:$I$89,5,0)</f>
        <v>4.0632618566107999</v>
      </c>
      <c r="CA11" s="13">
        <f t="shared" si="39"/>
        <v>1.5905738867250216</v>
      </c>
      <c r="CB11" s="20">
        <f t="shared" si="10"/>
        <v>9.847097252976555</v>
      </c>
      <c r="CC11" s="59">
        <f t="shared" si="11"/>
        <v>276.291541697421</v>
      </c>
      <c r="CD11" s="59">
        <f ca="1">AVERAGE(OFFSET($CC$3,0,0,'Données projet'!$E$12+1,1))-AVERAGE(OFFSET($H$3,0,0,'Données projet'!$E$12+1,1))</f>
        <v>159.4660488566085</v>
      </c>
      <c r="CE11" s="59">
        <f t="shared" si="40"/>
        <v>135.33030558297088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4.333333333333333</v>
      </c>
      <c r="CT11" s="12">
        <f>IF('Données projet'!$A$140&gt;35,CT10+CS11-DB10,IF(A11&lt;'Données projet'!$A$140,$CQ$205^A11,IF(A11='Données projet'!$A$140,'Données projet'!$B$140,CT10+CS11-DB10)))</f>
        <v>9.2658896452214261</v>
      </c>
      <c r="CU11" s="17">
        <f>CT11*VLOOKUP('Données projet'!$B$13,Paramètres!$A$1:$I$89,3,0)*VLOOKUP('Données projet'!$B$13,Paramètres!$A$1:$I$89,5,0)</f>
        <v>7.3719418017381662</v>
      </c>
      <c r="CV11" s="13">
        <f t="shared" si="41"/>
        <v>2.6924486542908248</v>
      </c>
      <c r="CW11" s="20">
        <f t="shared" si="13"/>
        <v>17.528813377583827</v>
      </c>
      <c r="CX11" s="59">
        <f t="shared" si="14"/>
        <v>283.9732578220283</v>
      </c>
      <c r="CY11" s="59">
        <f ca="1">AVERAGE(OFFSET($CX$3,0,0,'Données projet'!$E$13+1,1))-AVERAGE(OFFSET($H$3,0,0,'Données projet'!$E$13+1,1))</f>
        <v>353.37479213497227</v>
      </c>
      <c r="CZ11" s="59">
        <f t="shared" si="42"/>
        <v>345.4750813433123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4.0942857142857143</v>
      </c>
      <c r="DO11" s="12">
        <f>IF('Données projet'!$A$166&gt;35,DO10+DN11-DW10,IF(A11&lt;'Données projet'!$A$166,$DL$205^A11,IF(A11='Données projet'!$A$166,'Données projet'!$B$166,DO10+DN11-DW10)))</f>
        <v>32.754285714285714</v>
      </c>
      <c r="DP11" s="17">
        <f>DO11*VLOOKUP('Données projet'!$B$14,Paramètres!$A$1:$I$89,3,0)*VLOOKUP('Données projet'!$B$14,Paramètres!$A$1:$I$89,5,0)</f>
        <v>29.636077714285712</v>
      </c>
      <c r="DQ11" s="13">
        <f t="shared" si="43"/>
        <v>9.205616053429063</v>
      </c>
      <c r="DR11" s="20">
        <f t="shared" si="16"/>
        <v>67.649283312103222</v>
      </c>
      <c r="DS11" s="59">
        <f t="shared" si="17"/>
        <v>334.09372775654765</v>
      </c>
      <c r="DT11" s="59">
        <f ca="1">AVERAGE(OFFSET($DS$3,0,0,'Données projet'!$E$14+1,1))-AVERAGE(OFFSET($H$3,0,0,'Données projet'!$E$14+1,1))</f>
        <v>635.71275911100679</v>
      </c>
      <c r="DU11" s="59">
        <f t="shared" si="44"/>
        <v>281.7776857269169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4.0942857142857143</v>
      </c>
      <c r="EJ11" s="12">
        <f>IF('Données projet'!$A$192&gt;35,EJ10+EI11-ER10,IF(A11&lt;'Données projet'!$A$192,$EG$205^A11,IF(A11='Données projet'!$A$192,'Données projet'!$B$192,EJ10+EI11-ER10)))</f>
        <v>32.754285714285714</v>
      </c>
      <c r="EK11" s="17">
        <f>EJ11*VLOOKUP('Données projet'!$B$15,Paramètres!$A$1:$I$89,3,0)*VLOOKUP('Données projet'!$B$15,Paramètres!$A$1:$I$89,5,0)</f>
        <v>21.971574857142858</v>
      </c>
      <c r="EL11" s="13">
        <f t="shared" si="45"/>
        <v>7.0667643534099449</v>
      </c>
      <c r="EM11" s="20">
        <f t="shared" si="19"/>
        <v>50.57510745837947</v>
      </c>
      <c r="EN11" s="59">
        <f t="shared" si="20"/>
        <v>317.01955190282393</v>
      </c>
      <c r="EO11" s="59">
        <f ca="1">AVERAGE(OFFSET($EN$3,0,0,'Données projet'!$E$15+1,1))-AVERAGE(OFFSET($H$3,0,0,'Données projet'!$E$15+1,1))</f>
        <v>482.99915419700773</v>
      </c>
      <c r="EP11" s="59">
        <f t="shared" si="46"/>
        <v>219.74157899604279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4.0942857142857143</v>
      </c>
      <c r="FE11" s="12">
        <f>IF('Données projet'!$A$218&gt;35,FE10+FD11-FM10,IF(A11&lt;'Données projet'!$A$218,$FB$205^A11,IF(A11='Données projet'!$A$218,'Données projet'!$B$218,FE10+FD11-FM10)))</f>
        <v>32.754285714285714</v>
      </c>
      <c r="FF11" s="17">
        <f>FE11*VLOOKUP('Données projet'!$B$16,Paramètres!$A$1:$I$89,3,0)*VLOOKUP('Données projet'!$B$16,Paramètres!$A$1:$I$89,5,0)</f>
        <v>31.168978285714289</v>
      </c>
      <c r="FG11" s="13">
        <f t="shared" si="47"/>
        <v>9.6251016452810383</v>
      </c>
      <c r="FH11" s="20">
        <f t="shared" si="22"/>
        <v>71.049689213150188</v>
      </c>
      <c r="FI11" s="59">
        <f t="shared" si="23"/>
        <v>337.49413365759466</v>
      </c>
      <c r="FJ11" s="59">
        <f ca="1">AVERAGE(OFFSET($FI$3,0,0,'Données projet'!$E$16+1,1))-AVERAGE(OFFSET($H$3,0,0,'Données projet'!$E$16+1,1))</f>
        <v>666.1523645983184</v>
      </c>
      <c r="FK11" s="59">
        <f t="shared" si="48"/>
        <v>294.13851344047526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4.333333333333333</v>
      </c>
      <c r="N12" s="13">
        <f>IF('Données projet'!$A$36&gt;35,N11+M12-V11,IF(A12&lt;'Données projet'!$A$36,$K$205^A12,IF(A12='Données projet'!$A$36,'Données projet'!$B$36,N11+M12-V11)))</f>
        <v>12.23905859480781</v>
      </c>
      <c r="O12" s="13">
        <f>N12*VLOOKUP('Données projet'!$B$9,Paramètres!$A$1:$I$89,3,0)*VLOOKUP('Données projet'!$B$9,Paramètres!$A$1:$I$89,5,0)</f>
        <v>8.9736777617130858</v>
      </c>
      <c r="P12" s="13">
        <f t="shared" si="33"/>
        <v>3.2032937944890896</v>
      </c>
      <c r="Q12" s="20">
        <f t="shared" si="2"/>
        <v>21.208225460385457</v>
      </c>
      <c r="R12" s="59">
        <f t="shared" si="0"/>
        <v>288.87489212705214</v>
      </c>
      <c r="S12" s="59">
        <f ca="1">AVERAGE(OFFSET($R$3,0,0,'Données projet'!$E$9+1,1))-AVERAGE(OFFSET($H$3,0,0,'Données projet'!$E$9+1,1))</f>
        <v>328.55631138162721</v>
      </c>
      <c r="T12" s="59">
        <f t="shared" si="34"/>
        <v>321.81422611044985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4.333333333333333</v>
      </c>
      <c r="AI12" s="13">
        <f>IF('Données projet'!$A$62&gt;35,AI11+AH12-AQ11,IF(A12&lt;'Données projet'!$A$62,$AF$205^A12,IF(A12='Données projet'!$A$62,'Données projet'!$B$62,AI11+AH12-AQ11)))</f>
        <v>12.23905859480781</v>
      </c>
      <c r="AJ12" s="13">
        <f>AI12*VLOOKUP('Données projet'!$B$10,Paramètres!$A$1:$I$89,3,0)*VLOOKUP('Données projet'!$B$10,Paramètres!$A$1:$I$89,5,0)</f>
        <v>9.737395018029094</v>
      </c>
      <c r="AK12" s="13">
        <f t="shared" si="35"/>
        <v>3.4430244972188757</v>
      </c>
      <c r="AL12" s="20">
        <f t="shared" si="4"/>
        <v>22.955897322390214</v>
      </c>
      <c r="AM12" s="59">
        <f t="shared" si="5"/>
        <v>290.62256398905691</v>
      </c>
      <c r="AN12" s="59">
        <f ca="1">AVERAGE(OFFSET($AM$3,0,0,'Données projet'!$E$10+1,1))-AVERAGE(OFFSET($H$3,0,0,'Données projet'!$E$10+1,1))</f>
        <v>353.37479213497227</v>
      </c>
      <c r="AO12" s="59">
        <f t="shared" si="36"/>
        <v>345.4750813433123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4.333333333333333</v>
      </c>
      <c r="BD12" s="12">
        <f>IF('Données projet'!$A$88&gt;35,BD11+BC12-BL11,IF(A12&lt;'Données projet'!$A$88,$BA$205^A12,IF(A12='Données projet'!$A$88,'Données projet'!$B$88,BD11+BC12-BL11)))</f>
        <v>12.23905859480781</v>
      </c>
      <c r="BE12" s="13">
        <f>BD12*VLOOKUP('Données projet'!$B$11,Paramètres!$A$1:$I$89,3,0)*VLOOKUP('Données projet'!$B$11,Paramètres!$A$1:$I$89,5,0)</f>
        <v>9.9283243321080956</v>
      </c>
      <c r="BF12" s="13">
        <f t="shared" si="37"/>
        <v>3.5026090024554843</v>
      </c>
      <c r="BG12" s="20">
        <f t="shared" si="7"/>
        <v>23.392208891031569</v>
      </c>
      <c r="BH12" s="59">
        <f t="shared" si="8"/>
        <v>291.05887555769823</v>
      </c>
      <c r="BI12" s="59">
        <f ca="1">AVERAGE(OFFSET($BH$3,0,0,'Données projet'!$E$11+1,1))-AVERAGE(OFFSET($H$3,0,0,'Données projet'!$E$11+1,1))</f>
        <v>359.57284550600366</v>
      </c>
      <c r="BJ12" s="59">
        <f t="shared" si="38"/>
        <v>351.38386928091433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1.3675213675213673</v>
      </c>
      <c r="BY12" s="12">
        <f>IF('Données projet'!$A$114&gt;35,BY11+BX12-CG11,IF(A12&lt;'Données projet'!$A$114,$BV$205^A12,IF(A12='Données projet'!$A$114,'Données projet'!$B$114,BY11+BX12-CG11)))</f>
        <v>6.1265393599212858</v>
      </c>
      <c r="BZ12" s="13">
        <f>BY12*VLOOKUP('Données projet'!$B$12,Paramètres!$A$1:$I$89,3,0)*VLOOKUP('Données projet'!$B$12,Paramètres!$A$1:$I$89,5,0)</f>
        <v>4.969848728768147</v>
      </c>
      <c r="CA12" s="13">
        <f t="shared" si="39"/>
        <v>1.9003819196115979</v>
      </c>
      <c r="CB12" s="20">
        <f t="shared" si="10"/>
        <v>11.965651712594722</v>
      </c>
      <c r="CC12" s="59">
        <f t="shared" si="11"/>
        <v>279.63231837926139</v>
      </c>
      <c r="CD12" s="59">
        <f ca="1">AVERAGE(OFFSET($CC$3,0,0,'Données projet'!$E$12+1,1))-AVERAGE(OFFSET($H$3,0,0,'Données projet'!$E$12+1,1))</f>
        <v>159.4660488566085</v>
      </c>
      <c r="CE12" s="59">
        <f t="shared" si="40"/>
        <v>135.33030558297088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4.333333333333333</v>
      </c>
      <c r="CT12" s="12">
        <f>IF('Données projet'!$A$140&gt;35,CT11+CS12-DB11,IF(A12&lt;'Données projet'!$A$140,$CQ$205^A12,IF(A12='Données projet'!$A$140,'Données projet'!$B$140,CT11+CS12-DB11)))</f>
        <v>12.23905859480781</v>
      </c>
      <c r="CU12" s="17">
        <f>CT12*VLOOKUP('Données projet'!$B$13,Paramètres!$A$1:$I$89,3,0)*VLOOKUP('Données projet'!$B$13,Paramètres!$A$1:$I$89,5,0)</f>
        <v>9.737395018029094</v>
      </c>
      <c r="CV12" s="13">
        <f t="shared" si="41"/>
        <v>3.4430244972188757</v>
      </c>
      <c r="CW12" s="20">
        <f t="shared" si="13"/>
        <v>22.955897322390214</v>
      </c>
      <c r="CX12" s="59">
        <f t="shared" si="14"/>
        <v>290.62256398905691</v>
      </c>
      <c r="CY12" s="59">
        <f ca="1">AVERAGE(OFFSET($CX$3,0,0,'Données projet'!$E$13+1,1))-AVERAGE(OFFSET($H$3,0,0,'Données projet'!$E$13+1,1))</f>
        <v>353.37479213497227</v>
      </c>
      <c r="CZ12" s="59">
        <f t="shared" si="42"/>
        <v>345.4750813433123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4.0942857142857143</v>
      </c>
      <c r="DO12" s="12">
        <f>IF('Données projet'!$A$166&gt;35,DO11+DN12-DW11,IF(A12&lt;'Données projet'!$A$166,$DL$205^A12,IF(A12='Données projet'!$A$166,'Données projet'!$B$166,DO11+DN12-DW11)))</f>
        <v>36.848571428571432</v>
      </c>
      <c r="DP12" s="17">
        <f>DO12*VLOOKUP('Données projet'!$B$14,Paramètres!$A$1:$I$89,3,0)*VLOOKUP('Données projet'!$B$14,Paramètres!$A$1:$I$89,5,0)</f>
        <v>33.340587428571432</v>
      </c>
      <c r="DQ12" s="13">
        <f t="shared" si="43"/>
        <v>10.215302372953809</v>
      </c>
      <c r="DR12" s="20">
        <f t="shared" si="16"/>
        <v>75.85984140432312</v>
      </c>
      <c r="DS12" s="59">
        <f t="shared" si="17"/>
        <v>343.52650807098979</v>
      </c>
      <c r="DT12" s="59">
        <f ca="1">AVERAGE(OFFSET($DS$3,0,0,'Données projet'!$E$14+1,1))-AVERAGE(OFFSET($H$3,0,0,'Données projet'!$E$14+1,1))</f>
        <v>635.71275911100679</v>
      </c>
      <c r="DU12" s="59">
        <f t="shared" si="44"/>
        <v>281.7776857269169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4.0942857142857143</v>
      </c>
      <c r="EJ12" s="12">
        <f>IF('Données projet'!$A$192&gt;35,EJ11+EI12-ER11,IF(A12&lt;'Données projet'!$A$192,$EG$205^A12,IF(A12='Données projet'!$A$192,'Données projet'!$B$192,EJ11+EI12-ER11)))</f>
        <v>36.848571428571432</v>
      </c>
      <c r="EK12" s="17">
        <f>EJ12*VLOOKUP('Données projet'!$B$15,Paramètres!$A$1:$I$89,3,0)*VLOOKUP('Données projet'!$B$15,Paramètres!$A$1:$I$89,5,0)</f>
        <v>24.718021714285719</v>
      </c>
      <c r="EL12" s="13">
        <f t="shared" si="45"/>
        <v>7.8418580841858754</v>
      </c>
      <c r="EM12" s="20">
        <f t="shared" si="19"/>
        <v>56.708457315671353</v>
      </c>
      <c r="EN12" s="59">
        <f t="shared" si="20"/>
        <v>324.37512398233804</v>
      </c>
      <c r="EO12" s="59">
        <f ca="1">AVERAGE(OFFSET($EN$3,0,0,'Données projet'!$E$15+1,1))-AVERAGE(OFFSET($H$3,0,0,'Données projet'!$E$15+1,1))</f>
        <v>482.99915419700773</v>
      </c>
      <c r="EP12" s="59">
        <f t="shared" si="46"/>
        <v>219.74157899604279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4.0942857142857143</v>
      </c>
      <c r="FE12" s="12">
        <f>IF('Données projet'!$A$218&gt;35,FE11+FD12-FM11,IF(A12&lt;'Données projet'!$A$218,$FB$205^A12,IF(A12='Données projet'!$A$218,'Données projet'!$B$218,FE11+FD12-FM11)))</f>
        <v>36.848571428571432</v>
      </c>
      <c r="FF12" s="17">
        <f>FE12*VLOOKUP('Données projet'!$B$16,Paramètres!$A$1:$I$89,3,0)*VLOOKUP('Données projet'!$B$16,Paramètres!$A$1:$I$89,5,0)</f>
        <v>35.06510057142858</v>
      </c>
      <c r="FG12" s="13">
        <f t="shared" si="47"/>
        <v>10.680797798463022</v>
      </c>
      <c r="FH12" s="20">
        <f t="shared" si="22"/>
        <v>79.674106327561205</v>
      </c>
      <c r="FI12" s="59">
        <f t="shared" si="23"/>
        <v>347.3407729942279</v>
      </c>
      <c r="FJ12" s="59">
        <f ca="1">AVERAGE(OFFSET($FI$3,0,0,'Données projet'!$E$16+1,1))-AVERAGE(OFFSET($H$3,0,0,'Données projet'!$E$16+1,1))</f>
        <v>666.1523645983184</v>
      </c>
      <c r="FK12" s="59">
        <f t="shared" si="48"/>
        <v>294.13851344047526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4.333333333333333</v>
      </c>
      <c r="N13" s="13">
        <f>IF('Données projet'!$A$36&gt;35,N12+M13-V12,IF(A13&lt;'Données projet'!$A$36,$K$205^A13,IF(A13='Données projet'!$A$36,'Données projet'!$B$36,N12+M13-V12)))</f>
        <v>16.166235625781542</v>
      </c>
      <c r="O13" s="13">
        <f>N13*VLOOKUP('Données projet'!$B$9,Paramètres!$A$1:$I$89,3,0)*VLOOKUP('Données projet'!$B$9,Paramètres!$A$1:$I$89,5,0)</f>
        <v>11.853083960823026</v>
      </c>
      <c r="P13" s="13">
        <f t="shared" si="33"/>
        <v>4.0962783036321726</v>
      </c>
      <c r="Q13" s="20">
        <f t="shared" si="2"/>
        <v>27.778472610592804</v>
      </c>
      <c r="R13" s="59">
        <f t="shared" si="0"/>
        <v>296.66736149948167</v>
      </c>
      <c r="S13" s="59">
        <f ca="1">AVERAGE(OFFSET($R$3,0,0,'Données projet'!$E$9+1,1))-AVERAGE(OFFSET($H$3,0,0,'Données projet'!$E$9+1,1))</f>
        <v>328.55631138162721</v>
      </c>
      <c r="T13" s="59">
        <f t="shared" si="34"/>
        <v>321.81422611044985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4.333333333333333</v>
      </c>
      <c r="AI13" s="13">
        <f>IF('Données projet'!$A$62&gt;35,AI12+AH13-AQ12,IF(A13&lt;'Données projet'!$A$62,$AF$205^A13,IF(A13='Données projet'!$A$62,'Données projet'!$B$62,AI12+AH13-AQ12)))</f>
        <v>16.166235625781542</v>
      </c>
      <c r="AJ13" s="13">
        <f>AI13*VLOOKUP('Données projet'!$B$10,Paramètres!$A$1:$I$89,3,0)*VLOOKUP('Données projet'!$B$10,Paramètres!$A$1:$I$89,5,0)</f>
        <v>12.861857063871796</v>
      </c>
      <c r="AK13" s="13">
        <f t="shared" si="35"/>
        <v>4.4028389063455258</v>
      </c>
      <c r="AL13" s="20">
        <f t="shared" si="4"/>
        <v>30.069345481461834</v>
      </c>
      <c r="AM13" s="59">
        <f t="shared" si="5"/>
        <v>298.95823437035068</v>
      </c>
      <c r="AN13" s="59">
        <f ca="1">AVERAGE(OFFSET($AM$3,0,0,'Données projet'!$E$10+1,1))-AVERAGE(OFFSET($H$3,0,0,'Données projet'!$E$10+1,1))</f>
        <v>353.37479213497227</v>
      </c>
      <c r="AO13" s="59">
        <f t="shared" si="36"/>
        <v>345.4750813433123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4.333333333333333</v>
      </c>
      <c r="BD13" s="12">
        <f>IF('Données projet'!$A$88&gt;35,BD12+BC13-BL12,IF(A13&lt;'Données projet'!$A$88,$BA$205^A13,IF(A13='Données projet'!$A$88,'Données projet'!$B$88,BD12+BC13-BL12)))</f>
        <v>16.166235625781542</v>
      </c>
      <c r="BE13" s="13">
        <f>BD13*VLOOKUP('Données projet'!$B$11,Paramètres!$A$1:$I$89,3,0)*VLOOKUP('Données projet'!$B$11,Paramètres!$A$1:$I$89,5,0)</f>
        <v>13.114050339633989</v>
      </c>
      <c r="BF13" s="13">
        <f t="shared" si="37"/>
        <v>4.479033826853061</v>
      </c>
      <c r="BG13" s="20">
        <f t="shared" si="7"/>
        <v>30.641288256631608</v>
      </c>
      <c r="BH13" s="59">
        <f t="shared" si="8"/>
        <v>299.53017714552044</v>
      </c>
      <c r="BI13" s="59">
        <f ca="1">AVERAGE(OFFSET($BH$3,0,0,'Données projet'!$E$11+1,1))-AVERAGE(OFFSET($H$3,0,0,'Données projet'!$E$11+1,1))</f>
        <v>359.57284550600366</v>
      </c>
      <c r="BJ13" s="59">
        <f t="shared" si="38"/>
        <v>351.38386928091433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1.3675213675213673</v>
      </c>
      <c r="BY13" s="12">
        <f>IF('Données projet'!$A$114&gt;35,BY12+BX13-CG12,IF(A13&lt;'Données projet'!$A$114,$BV$205^A13,IF(A13='Données projet'!$A$114,'Données projet'!$B$114,BY12+BX13-CG12)))</f>
        <v>7.4934805887823641</v>
      </c>
      <c r="BZ13" s="13">
        <f>BY13*VLOOKUP('Données projet'!$B$12,Paramètres!$A$1:$I$89,3,0)*VLOOKUP('Données projet'!$B$12,Paramètres!$A$1:$I$89,5,0)</f>
        <v>6.0787114536202536</v>
      </c>
      <c r="CA13" s="13">
        <f t="shared" si="39"/>
        <v>2.2705335920122574</v>
      </c>
      <c r="CB13" s="20">
        <f t="shared" si="10"/>
        <v>14.541601787809954</v>
      </c>
      <c r="CC13" s="59">
        <f t="shared" si="11"/>
        <v>283.43049067669881</v>
      </c>
      <c r="CD13" s="59">
        <f ca="1">AVERAGE(OFFSET($CC$3,0,0,'Données projet'!$E$12+1,1))-AVERAGE(OFFSET($H$3,0,0,'Données projet'!$E$12+1,1))</f>
        <v>159.4660488566085</v>
      </c>
      <c r="CE13" s="59">
        <f t="shared" si="40"/>
        <v>135.33030558297088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4.333333333333333</v>
      </c>
      <c r="CT13" s="12">
        <f>IF('Données projet'!$A$140&gt;35,CT12+CS13-DB12,IF(A13&lt;'Données projet'!$A$140,$CQ$205^A13,IF(A13='Données projet'!$A$140,'Données projet'!$B$140,CT12+CS13-DB12)))</f>
        <v>16.166235625781542</v>
      </c>
      <c r="CU13" s="17">
        <f>CT13*VLOOKUP('Données projet'!$B$13,Paramètres!$A$1:$I$89,3,0)*VLOOKUP('Données projet'!$B$13,Paramètres!$A$1:$I$89,5,0)</f>
        <v>12.861857063871796</v>
      </c>
      <c r="CV13" s="13">
        <f t="shared" si="41"/>
        <v>4.4028389063455258</v>
      </c>
      <c r="CW13" s="20">
        <f t="shared" si="13"/>
        <v>30.069345481461834</v>
      </c>
      <c r="CX13" s="59">
        <f t="shared" si="14"/>
        <v>298.95823437035068</v>
      </c>
      <c r="CY13" s="59">
        <f ca="1">AVERAGE(OFFSET($CX$3,0,0,'Données projet'!$E$13+1,1))-AVERAGE(OFFSET($H$3,0,0,'Données projet'!$E$13+1,1))</f>
        <v>353.37479213497227</v>
      </c>
      <c r="CZ13" s="59">
        <f t="shared" si="42"/>
        <v>345.4750813433123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4.0942857142857143</v>
      </c>
      <c r="DO13" s="12">
        <f>IF('Données projet'!$A$166&gt;35,DO12+DN13-DW12,IF(A13&lt;'Données projet'!$A$166,$DL$205^A13,IF(A13='Données projet'!$A$166,'Données projet'!$B$166,DO12+DN13-DW12)))</f>
        <v>40.94285714285715</v>
      </c>
      <c r="DP13" s="17">
        <f>DO13*VLOOKUP('Données projet'!$B$14,Paramètres!$A$1:$I$89,3,0)*VLOOKUP('Données projet'!$B$14,Paramètres!$A$1:$I$89,5,0)</f>
        <v>37.045097142857145</v>
      </c>
      <c r="DQ13" s="13">
        <f t="shared" si="43"/>
        <v>11.211985951829543</v>
      </c>
      <c r="DR13" s="20">
        <f t="shared" si="16"/>
        <v>84.04775305657931</v>
      </c>
      <c r="DS13" s="59">
        <f t="shared" si="17"/>
        <v>352.93664194546818</v>
      </c>
      <c r="DT13" s="59">
        <f ca="1">AVERAGE(OFFSET($DS$3,0,0,'Données projet'!$E$14+1,1))-AVERAGE(OFFSET($H$3,0,0,'Données projet'!$E$14+1,1))</f>
        <v>635.71275911100679</v>
      </c>
      <c r="DU13" s="59">
        <f t="shared" si="44"/>
        <v>281.7776857269169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4.0942857142857143</v>
      </c>
      <c r="EJ13" s="12">
        <f>IF('Données projet'!$A$192&gt;35,EJ12+EI13-ER12,IF(A13&lt;'Données projet'!$A$192,$EG$205^A13,IF(A13='Données projet'!$A$192,'Données projet'!$B$192,EJ12+EI13-ER12)))</f>
        <v>40.94285714285715</v>
      </c>
      <c r="EK13" s="17">
        <f>EJ13*VLOOKUP('Données projet'!$B$15,Paramètres!$A$1:$I$89,3,0)*VLOOKUP('Données projet'!$B$15,Paramètres!$A$1:$I$89,5,0)</f>
        <v>27.464468571428579</v>
      </c>
      <c r="EL13" s="13">
        <f t="shared" si="45"/>
        <v>8.6069701577232536</v>
      </c>
      <c r="EM13" s="20">
        <f t="shared" si="19"/>
        <v>62.824422453272774</v>
      </c>
      <c r="EN13" s="59">
        <f t="shared" si="20"/>
        <v>331.71331134216166</v>
      </c>
      <c r="EO13" s="59">
        <f ca="1">AVERAGE(OFFSET($EN$3,0,0,'Données projet'!$E$15+1,1))-AVERAGE(OFFSET($H$3,0,0,'Données projet'!$E$15+1,1))</f>
        <v>482.99915419700773</v>
      </c>
      <c r="EP13" s="59">
        <f t="shared" si="46"/>
        <v>219.74157899604279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4.0942857142857143</v>
      </c>
      <c r="FE13" s="12">
        <f>IF('Données projet'!$A$218&gt;35,FE12+FD13-FM12,IF(A13&lt;'Données projet'!$A$218,$FB$205^A13,IF(A13='Données projet'!$A$218,'Données projet'!$B$218,FE12+FD13-FM12)))</f>
        <v>40.94285714285715</v>
      </c>
      <c r="FF13" s="17">
        <f>FE13*VLOOKUP('Données projet'!$B$16,Paramètres!$A$1:$I$89,3,0)*VLOOKUP('Données projet'!$B$16,Paramètres!$A$1:$I$89,5,0)</f>
        <v>38.961222857142864</v>
      </c>
      <c r="FG13" s="13">
        <f t="shared" si="47"/>
        <v>11.722898696347846</v>
      </c>
      <c r="FH13" s="20">
        <f t="shared" si="22"/>
        <v>88.274845038996318</v>
      </c>
      <c r="FI13" s="59">
        <f t="shared" si="23"/>
        <v>357.16373392788518</v>
      </c>
      <c r="FJ13" s="59">
        <f ca="1">AVERAGE(OFFSET($FI$3,0,0,'Données projet'!$E$16+1,1))-AVERAGE(OFFSET($H$3,0,0,'Données projet'!$E$16+1,1))</f>
        <v>666.1523645983184</v>
      </c>
      <c r="FK13" s="59">
        <f t="shared" si="48"/>
        <v>294.13851344047526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4.333333333333333</v>
      </c>
      <c r="N14" s="13">
        <f>IF('Données projet'!$A$36&gt;35,N13+M14-V13,IF(A14&lt;'Données projet'!$A$36,$K$205^A14,IF(A14='Données projet'!$A$36,'Données projet'!$B$36,N13+M14-V13)))</f>
        <v>21.353535673010011</v>
      </c>
      <c r="O14" s="13">
        <f>N14*VLOOKUP('Données projet'!$B$9,Paramètres!$A$1:$I$89,3,0)*VLOOKUP('Données projet'!$B$9,Paramètres!$A$1:$I$89,5,0)</f>
        <v>15.656412355450939</v>
      </c>
      <c r="P14" s="13">
        <f t="shared" si="33"/>
        <v>5.2382007450190571</v>
      </c>
      <c r="Q14" s="20">
        <f t="shared" si="2"/>
        <v>36.391451149985244</v>
      </c>
      <c r="R14" s="59">
        <f t="shared" si="0"/>
        <v>306.50256226109639</v>
      </c>
      <c r="S14" s="59">
        <f ca="1">AVERAGE(OFFSET($R$3,0,0,'Données projet'!$E$9+1,1))-AVERAGE(OFFSET($H$3,0,0,'Données projet'!$E$9+1,1))</f>
        <v>328.55631138162721</v>
      </c>
      <c r="T14" s="59">
        <f t="shared" si="34"/>
        <v>321.81422611044985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4.333333333333333</v>
      </c>
      <c r="AI14" s="13">
        <f>IF('Données projet'!$A$62&gt;35,AI13+AH14-AQ13,IF(A14&lt;'Données projet'!$A$62,$AF$205^A14,IF(A14='Données projet'!$A$62,'Données projet'!$B$62,AI13+AH14-AQ13)))</f>
        <v>21.353535673010011</v>
      </c>
      <c r="AJ14" s="13">
        <f>AI14*VLOOKUP('Données projet'!$B$10,Paramètres!$A$1:$I$89,3,0)*VLOOKUP('Données projet'!$B$10,Paramètres!$A$1:$I$89,5,0)</f>
        <v>16.988872981446764</v>
      </c>
      <c r="AK14" s="13">
        <f t="shared" si="35"/>
        <v>5.6302214668783828</v>
      </c>
      <c r="AL14" s="20">
        <f t="shared" si="4"/>
        <v>39.394922830832961</v>
      </c>
      <c r="AM14" s="59">
        <f t="shared" si="5"/>
        <v>309.50603394194411</v>
      </c>
      <c r="AN14" s="59">
        <f ca="1">AVERAGE(OFFSET($AM$3,0,0,'Données projet'!$E$10+1,1))-AVERAGE(OFFSET($H$3,0,0,'Données projet'!$E$10+1,1))</f>
        <v>353.37479213497227</v>
      </c>
      <c r="AO14" s="59">
        <f t="shared" si="36"/>
        <v>345.4750813433123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4.333333333333333</v>
      </c>
      <c r="BD14" s="12">
        <f>IF('Données projet'!$A$88&gt;35,BD13+BC14-BL13,IF(A14&lt;'Données projet'!$A$88,$BA$205^A14,IF(A14='Données projet'!$A$88,'Données projet'!$B$88,BD13+BC14-BL13)))</f>
        <v>21.353535673010011</v>
      </c>
      <c r="BE14" s="13">
        <f>BD14*VLOOKUP('Données projet'!$B$11,Paramètres!$A$1:$I$89,3,0)*VLOOKUP('Données projet'!$B$11,Paramètres!$A$1:$I$89,5,0)</f>
        <v>17.32198813794572</v>
      </c>
      <c r="BF14" s="13">
        <f t="shared" si="37"/>
        <v>5.7276573000382847</v>
      </c>
      <c r="BG14" s="20">
        <f t="shared" si="7"/>
        <v>40.14479913782214</v>
      </c>
      <c r="BH14" s="59">
        <f t="shared" si="8"/>
        <v>310.25591024893328</v>
      </c>
      <c r="BI14" s="59">
        <f ca="1">AVERAGE(OFFSET($BH$3,0,0,'Données projet'!$E$11+1,1))-AVERAGE(OFFSET($H$3,0,0,'Données projet'!$E$11+1,1))</f>
        <v>359.57284550600366</v>
      </c>
      <c r="BJ14" s="59">
        <f t="shared" si="38"/>
        <v>351.38386928091433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1.3675213675213673</v>
      </c>
      <c r="BY14" s="12">
        <f>IF('Données projet'!$A$114&gt;35,BY13+BX14-CG13,IF(A14&lt;'Données projet'!$A$114,$BV$205^A14,IF(A14='Données projet'!$A$114,'Données projet'!$B$114,BY13+BX14-CG13)))</f>
        <v>9.165411015196602</v>
      </c>
      <c r="BZ14" s="13">
        <f>BY14*VLOOKUP('Données projet'!$B$12,Paramètres!$A$1:$I$89,3,0)*VLOOKUP('Données projet'!$B$12,Paramètres!$A$1:$I$89,5,0)</f>
        <v>7.4349814155274832</v>
      </c>
      <c r="CA14" s="13">
        <f t="shared" si="39"/>
        <v>2.7127824882220177</v>
      </c>
      <c r="CB14" s="20">
        <f t="shared" si="10"/>
        <v>17.674022132363714</v>
      </c>
      <c r="CC14" s="59">
        <f t="shared" si="11"/>
        <v>287.78513324347483</v>
      </c>
      <c r="CD14" s="59">
        <f ca="1">AVERAGE(OFFSET($CC$3,0,0,'Données projet'!$E$12+1,1))-AVERAGE(OFFSET($H$3,0,0,'Données projet'!$E$12+1,1))</f>
        <v>159.4660488566085</v>
      </c>
      <c r="CE14" s="59">
        <f t="shared" si="40"/>
        <v>135.33030558297088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4.333333333333333</v>
      </c>
      <c r="CT14" s="12">
        <f>IF('Données projet'!$A$140&gt;35,CT13+CS14-DB13,IF(A14&lt;'Données projet'!$A$140,$CQ$205^A14,IF(A14='Données projet'!$A$140,'Données projet'!$B$140,CT13+CS14-DB13)))</f>
        <v>21.353535673010011</v>
      </c>
      <c r="CU14" s="17">
        <f>CT14*VLOOKUP('Données projet'!$B$13,Paramètres!$A$1:$I$89,3,0)*VLOOKUP('Données projet'!$B$13,Paramètres!$A$1:$I$89,5,0)</f>
        <v>16.988872981446764</v>
      </c>
      <c r="CV14" s="13">
        <f t="shared" si="41"/>
        <v>5.6302214668783828</v>
      </c>
      <c r="CW14" s="20">
        <f t="shared" si="13"/>
        <v>39.394922830832961</v>
      </c>
      <c r="CX14" s="59">
        <f t="shared" si="14"/>
        <v>309.50603394194411</v>
      </c>
      <c r="CY14" s="59">
        <f ca="1">AVERAGE(OFFSET($CX$3,0,0,'Données projet'!$E$13+1,1))-AVERAGE(OFFSET($H$3,0,0,'Données projet'!$E$13+1,1))</f>
        <v>353.37479213497227</v>
      </c>
      <c r="CZ14" s="59">
        <f t="shared" si="42"/>
        <v>345.4750813433123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4.0942857142857143</v>
      </c>
      <c r="DO14" s="12">
        <f>IF('Données projet'!$A$166&gt;35,DO13+DN14-DW13,IF(A14&lt;'Données projet'!$A$166,$DL$205^A14,IF(A14='Données projet'!$A$166,'Données projet'!$B$166,DO13+DN14-DW13)))</f>
        <v>45.037142857142868</v>
      </c>
      <c r="DP14" s="17">
        <f>DO14*VLOOKUP('Données projet'!$B$14,Paramètres!$A$1:$I$89,3,0)*VLOOKUP('Données projet'!$B$14,Paramètres!$A$1:$I$89,5,0)</f>
        <v>40.749606857142865</v>
      </c>
      <c r="DQ14" s="13">
        <f t="shared" si="43"/>
        <v>12.197115083595657</v>
      </c>
      <c r="DR14" s="20">
        <f t="shared" si="16"/>
        <v>92.215540713452924</v>
      </c>
      <c r="DS14" s="59">
        <f t="shared" si="17"/>
        <v>362.32665182456407</v>
      </c>
      <c r="DT14" s="59">
        <f ca="1">AVERAGE(OFFSET($DS$3,0,0,'Données projet'!$E$14+1,1))-AVERAGE(OFFSET($H$3,0,0,'Données projet'!$E$14+1,1))</f>
        <v>635.71275911100679</v>
      </c>
      <c r="DU14" s="59">
        <f t="shared" si="44"/>
        <v>281.7776857269169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4.0942857142857143</v>
      </c>
      <c r="EJ14" s="12">
        <f>IF('Données projet'!$A$192&gt;35,EJ13+EI14-ER13,IF(A14&lt;'Données projet'!$A$192,$EG$205^A14,IF(A14='Données projet'!$A$192,'Données projet'!$B$192,EJ13+EI14-ER13)))</f>
        <v>45.037142857142868</v>
      </c>
      <c r="EK14" s="17">
        <f>EJ14*VLOOKUP('Données projet'!$B$15,Paramètres!$A$1:$I$89,3,0)*VLOOKUP('Données projet'!$B$15,Paramètres!$A$1:$I$89,5,0)</f>
        <v>30.21091542857144</v>
      </c>
      <c r="EL14" s="13">
        <f t="shared" si="45"/>
        <v>9.3632123680723645</v>
      </c>
      <c r="EM14" s="20">
        <f t="shared" si="19"/>
        <v>68.924939245821307</v>
      </c>
      <c r="EN14" s="59">
        <f t="shared" si="20"/>
        <v>339.03605035693244</v>
      </c>
      <c r="EO14" s="59">
        <f ca="1">AVERAGE(OFFSET($EN$3,0,0,'Données projet'!$E$15+1,1))-AVERAGE(OFFSET($H$3,0,0,'Données projet'!$E$15+1,1))</f>
        <v>482.99915419700773</v>
      </c>
      <c r="EP14" s="59">
        <f t="shared" si="46"/>
        <v>219.74157899604279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4.0942857142857143</v>
      </c>
      <c r="FE14" s="12">
        <f>IF('Données projet'!$A$218&gt;35,FE13+FD14-FM13,IF(A14&lt;'Données projet'!$A$218,$FB$205^A14,IF(A14='Données projet'!$A$218,'Données projet'!$B$218,FE13+FD14-FM13)))</f>
        <v>45.037142857142868</v>
      </c>
      <c r="FF14" s="17">
        <f>FE14*VLOOKUP('Données projet'!$B$16,Paramètres!$A$1:$I$89,3,0)*VLOOKUP('Données projet'!$B$16,Paramètres!$A$1:$I$89,5,0)</f>
        <v>42.857345142857156</v>
      </c>
      <c r="FG14" s="13">
        <f t="shared" si="47"/>
        <v>12.752918628956738</v>
      </c>
      <c r="FH14" s="20">
        <f t="shared" si="22"/>
        <v>96.854542735909192</v>
      </c>
      <c r="FI14" s="59">
        <f t="shared" si="23"/>
        <v>366.96565384702035</v>
      </c>
      <c r="FJ14" s="59">
        <f ca="1">AVERAGE(OFFSET($FI$3,0,0,'Données projet'!$E$16+1,1))-AVERAGE(OFFSET($H$3,0,0,'Données projet'!$E$16+1,1))</f>
        <v>666.1523645983184</v>
      </c>
      <c r="FK14" s="59">
        <f t="shared" si="48"/>
        <v>294.13851344047526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4.333333333333333</v>
      </c>
      <c r="N15" s="13">
        <f>IF('Données projet'!$A$36&gt;35,N14+M15-V14,IF(A15&lt;'Données projet'!$A$36,$K$205^A15,IF(A15='Données projet'!$A$36,'Données projet'!$B$36,N14+M15-V14)))</f>
        <v>28.205297528345746</v>
      </c>
      <c r="O15" s="13">
        <f>N15*VLOOKUP('Données projet'!$B$9,Paramètres!$A$1:$I$89,3,0)*VLOOKUP('Données projet'!$B$9,Paramètres!$A$1:$I$89,5,0)</f>
        <v>20.680124147783101</v>
      </c>
      <c r="P15" s="13">
        <f t="shared" si="33"/>
        <v>6.6984577246102246</v>
      </c>
      <c r="Q15" s="20">
        <f t="shared" si="2"/>
        <v>47.684363427751713</v>
      </c>
      <c r="R15" s="59">
        <f t="shared" si="0"/>
        <v>319.01769676108501</v>
      </c>
      <c r="S15" s="59">
        <f ca="1">AVERAGE(OFFSET($R$3,0,0,'Données projet'!$E$9+1,1))-AVERAGE(OFFSET($H$3,0,0,'Données projet'!$E$9+1,1))</f>
        <v>328.55631138162721</v>
      </c>
      <c r="T15" s="59">
        <f t="shared" si="34"/>
        <v>321.81422611044985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4.333333333333333</v>
      </c>
      <c r="AI15" s="13">
        <f>IF('Données projet'!$A$62&gt;35,AI14+AH15-AQ14,IF(A15&lt;'Données projet'!$A$62,$AF$205^A15,IF(A15='Données projet'!$A$62,'Données projet'!$B$62,AI14+AH15-AQ14)))</f>
        <v>28.205297528345746</v>
      </c>
      <c r="AJ15" s="13">
        <f>AI15*VLOOKUP('Données projet'!$B$10,Paramètres!$A$1:$I$89,3,0)*VLOOKUP('Données projet'!$B$10,Paramètres!$A$1:$I$89,5,0)</f>
        <v>22.440134713551878</v>
      </c>
      <c r="AK15" s="13">
        <f t="shared" si="35"/>
        <v>7.1997623443392129</v>
      </c>
      <c r="AL15" s="20">
        <f t="shared" si="4"/>
        <v>51.622820709160315</v>
      </c>
      <c r="AM15" s="59">
        <f t="shared" si="5"/>
        <v>322.95615404249361</v>
      </c>
      <c r="AN15" s="59">
        <f ca="1">AVERAGE(OFFSET($AM$3,0,0,'Données projet'!$E$10+1,1))-AVERAGE(OFFSET($H$3,0,0,'Données projet'!$E$10+1,1))</f>
        <v>353.37479213497227</v>
      </c>
      <c r="AO15" s="59">
        <f t="shared" si="36"/>
        <v>345.4750813433123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4.333333333333333</v>
      </c>
      <c r="BD15" s="12">
        <f>IF('Données projet'!$A$88&gt;35,BD14+BC15-BL14,IF(A15&lt;'Données projet'!$A$88,$BA$205^A15,IF(A15='Données projet'!$A$88,'Données projet'!$B$88,BD14+BC15-BL14)))</f>
        <v>28.205297528345746</v>
      </c>
      <c r="BE15" s="13">
        <f>BD15*VLOOKUP('Données projet'!$B$11,Paramètres!$A$1:$I$89,3,0)*VLOOKUP('Données projet'!$B$11,Paramètres!$A$1:$I$89,5,0)</f>
        <v>22.880137354994069</v>
      </c>
      <c r="BF15" s="13">
        <f t="shared" si="37"/>
        <v>7.3243604346098863</v>
      </c>
      <c r="BG15" s="20">
        <f t="shared" si="7"/>
        <v>52.606166983560222</v>
      </c>
      <c r="BH15" s="59">
        <f t="shared" si="8"/>
        <v>323.93950031689354</v>
      </c>
      <c r="BI15" s="59">
        <f ca="1">AVERAGE(OFFSET($BH$3,0,0,'Données projet'!$E$11+1,1))-AVERAGE(OFFSET($H$3,0,0,'Données projet'!$E$11+1,1))</f>
        <v>359.57284550600366</v>
      </c>
      <c r="BJ15" s="59">
        <f t="shared" si="38"/>
        <v>351.38386928091433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1.3675213675213673</v>
      </c>
      <c r="BY15" s="12">
        <f>IF('Données projet'!$A$114&gt;35,BY14+BX15-CG14,IF(A15&lt;'Données projet'!$A$114,$BV$205^A15,IF(A15='Données projet'!$A$114,'Données projet'!$B$114,BY14+BX15-CG14)))</f>
        <v>11.210379219937016</v>
      </c>
      <c r="BZ15" s="13">
        <f>BY15*VLOOKUP('Données projet'!$B$12,Paramètres!$A$1:$I$89,3,0)*VLOOKUP('Données projet'!$B$12,Paramètres!$A$1:$I$89,5,0)</f>
        <v>9.093859623212909</v>
      </c>
      <c r="CA15" s="13">
        <f t="shared" si="39"/>
        <v>3.2411715265053496</v>
      </c>
      <c r="CB15" s="20">
        <f t="shared" si="10"/>
        <v>21.483512585759296</v>
      </c>
      <c r="CC15" s="59">
        <f t="shared" si="11"/>
        <v>292.8168459190926</v>
      </c>
      <c r="CD15" s="59">
        <f ca="1">AVERAGE(OFFSET($CC$3,0,0,'Données projet'!$E$12+1,1))-AVERAGE(OFFSET($H$3,0,0,'Données projet'!$E$12+1,1))</f>
        <v>159.4660488566085</v>
      </c>
      <c r="CE15" s="59">
        <f t="shared" si="40"/>
        <v>135.33030558297088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4.333333333333333</v>
      </c>
      <c r="CT15" s="12">
        <f>IF('Données projet'!$A$140&gt;35,CT14+CS15-DB14,IF(A15&lt;'Données projet'!$A$140,$CQ$205^A15,IF(A15='Données projet'!$A$140,'Données projet'!$B$140,CT14+CS15-DB14)))</f>
        <v>28.205297528345746</v>
      </c>
      <c r="CU15" s="17">
        <f>CT15*VLOOKUP('Données projet'!$B$13,Paramètres!$A$1:$I$89,3,0)*VLOOKUP('Données projet'!$B$13,Paramètres!$A$1:$I$89,5,0)</f>
        <v>22.440134713551878</v>
      </c>
      <c r="CV15" s="13">
        <f t="shared" si="41"/>
        <v>7.1997623443392129</v>
      </c>
      <c r="CW15" s="20">
        <f t="shared" si="13"/>
        <v>51.622820709160315</v>
      </c>
      <c r="CX15" s="59">
        <f t="shared" si="14"/>
        <v>322.95615404249361</v>
      </c>
      <c r="CY15" s="59">
        <f ca="1">AVERAGE(OFFSET($CX$3,0,0,'Données projet'!$E$13+1,1))-AVERAGE(OFFSET($H$3,0,0,'Données projet'!$E$13+1,1))</f>
        <v>353.37479213497227</v>
      </c>
      <c r="CZ15" s="59">
        <f t="shared" si="42"/>
        <v>345.4750813433123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4.0942857142857143</v>
      </c>
      <c r="DO15" s="12">
        <f>IF('Données projet'!$A$166&gt;35,DO14+DN15-DW14,IF(A15&lt;'Données projet'!$A$166,$DL$205^A15,IF(A15='Données projet'!$A$166,'Données projet'!$B$166,DO14+DN15-DW14)))</f>
        <v>49.131428571428586</v>
      </c>
      <c r="DP15" s="17">
        <f>DO15*VLOOKUP('Données projet'!$B$14,Paramètres!$A$1:$I$89,3,0)*VLOOKUP('Données projet'!$B$14,Paramètres!$A$1:$I$89,5,0)</f>
        <v>44.454116571428585</v>
      </c>
      <c r="DQ15" s="13">
        <f t="shared" si="43"/>
        <v>13.17185963217473</v>
      </c>
      <c r="DR15" s="20">
        <f t="shared" si="16"/>
        <v>100.36524188794243</v>
      </c>
      <c r="DS15" s="59">
        <f t="shared" si="17"/>
        <v>371.69857522127575</v>
      </c>
      <c r="DT15" s="59">
        <f ca="1">AVERAGE(OFFSET($DS$3,0,0,'Données projet'!$E$14+1,1))-AVERAGE(OFFSET($H$3,0,0,'Données projet'!$E$14+1,1))</f>
        <v>635.71275911100679</v>
      </c>
      <c r="DU15" s="59">
        <f t="shared" si="44"/>
        <v>281.7776857269169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4.0942857142857143</v>
      </c>
      <c r="EJ15" s="12">
        <f>IF('Données projet'!$A$192&gt;35,EJ14+EI15-ER14,IF(A15&lt;'Données projet'!$A$192,$EG$205^A15,IF(A15='Données projet'!$A$192,'Données projet'!$B$192,EJ14+EI15-ER14)))</f>
        <v>49.131428571428586</v>
      </c>
      <c r="EK15" s="17">
        <f>EJ15*VLOOKUP('Données projet'!$B$15,Paramètres!$A$1:$I$89,3,0)*VLOOKUP('Données projet'!$B$15,Paramètres!$A$1:$I$89,5,0)</f>
        <v>32.957362285714296</v>
      </c>
      <c r="EL15" s="13">
        <f t="shared" si="45"/>
        <v>10.111482770574472</v>
      </c>
      <c r="EM15" s="20">
        <f t="shared" si="19"/>
        <v>75.011571806369588</v>
      </c>
      <c r="EN15" s="59">
        <f t="shared" si="20"/>
        <v>346.34490513970292</v>
      </c>
      <c r="EO15" s="59">
        <f ca="1">AVERAGE(OFFSET($EN$3,0,0,'Données projet'!$E$15+1,1))-AVERAGE(OFFSET($H$3,0,0,'Données projet'!$E$15+1,1))</f>
        <v>482.99915419700773</v>
      </c>
      <c r="EP15" s="59">
        <f t="shared" si="46"/>
        <v>219.74157899604279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4.0942857142857143</v>
      </c>
      <c r="FE15" s="12">
        <f>IF('Données projet'!$A$218&gt;35,FE14+FD15-FM14,IF(A15&lt;'Données projet'!$A$218,$FB$205^A15,IF(A15='Données projet'!$A$218,'Données projet'!$B$218,FE14+FD15-FM14)))</f>
        <v>49.131428571428586</v>
      </c>
      <c r="FF15" s="17">
        <f>FE15*VLOOKUP('Données projet'!$B$16,Paramètres!$A$1:$I$89,3,0)*VLOOKUP('Données projet'!$B$16,Paramètres!$A$1:$I$89,5,0)</f>
        <v>46.75346742857144</v>
      </c>
      <c r="FG15" s="13">
        <f t="shared" si="47"/>
        <v>13.772080769089918</v>
      </c>
      <c r="FH15" s="20">
        <f t="shared" si="22"/>
        <v>105.41532977759353</v>
      </c>
      <c r="FI15" s="59">
        <f t="shared" si="23"/>
        <v>376.74866311092683</v>
      </c>
      <c r="FJ15" s="59">
        <f ca="1">AVERAGE(OFFSET($FI$3,0,0,'Données projet'!$E$16+1,1))-AVERAGE(OFFSET($H$3,0,0,'Données projet'!$E$16+1,1))</f>
        <v>666.1523645983184</v>
      </c>
      <c r="FK15" s="59">
        <f t="shared" si="48"/>
        <v>294.13851344047526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4.333333333333333</v>
      </c>
      <c r="N16" s="13">
        <f>IF('Données projet'!$A$36&gt;35,N15+M16-V15,IF(A16&lt;'Données projet'!$A$36,$K$205^A16,IF(A16='Données projet'!$A$36,'Données projet'!$B$36,N15+M16-V15)))</f>
        <v>37.255601172785397</v>
      </c>
      <c r="O16" s="13">
        <f>N16*VLOOKUP('Données projet'!$B$9,Paramètres!$A$1:$I$89,3,0)*VLOOKUP('Données projet'!$B$9,Paramètres!$A$1:$I$89,5,0)</f>
        <v>27.315806779886252</v>
      </c>
      <c r="P16" s="13">
        <f t="shared" si="33"/>
        <v>8.5657915899951185</v>
      </c>
      <c r="Q16" s="20">
        <f t="shared" si="2"/>
        <v>62.493783827543389</v>
      </c>
      <c r="R16" s="59">
        <f t="shared" si="0"/>
        <v>335.04933938309892</v>
      </c>
      <c r="S16" s="59">
        <f ca="1">AVERAGE(OFFSET($R$3,0,0,'Données projet'!$E$9+1,1))-AVERAGE(OFFSET($H$3,0,0,'Données projet'!$E$9+1,1))</f>
        <v>328.55631138162721</v>
      </c>
      <c r="T16" s="59">
        <f t="shared" si="34"/>
        <v>321.81422611044985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4.333333333333333</v>
      </c>
      <c r="AI16" s="13">
        <f>IF('Données projet'!$A$62&gt;35,AI15+AH16-AQ15,IF(A16&lt;'Données projet'!$A$62,$AF$205^A16,IF(A16='Données projet'!$A$62,'Données projet'!$B$62,AI15+AH16-AQ15)))</f>
        <v>37.255601172785397</v>
      </c>
      <c r="AJ16" s="13">
        <f>AI16*VLOOKUP('Données projet'!$B$10,Paramètres!$A$1:$I$89,3,0)*VLOOKUP('Données projet'!$B$10,Paramètres!$A$1:$I$89,5,0)</f>
        <v>29.640556293068066</v>
      </c>
      <c r="AK16" s="13">
        <f t="shared" si="35"/>
        <v>9.2068452582035114</v>
      </c>
      <c r="AL16" s="20">
        <f t="shared" si="4"/>
        <v>67.659224368464649</v>
      </c>
      <c r="AM16" s="59">
        <f t="shared" si="5"/>
        <v>340.21477992402021</v>
      </c>
      <c r="AN16" s="59">
        <f ca="1">AVERAGE(OFFSET($AM$3,0,0,'Données projet'!$E$10+1,1))-AVERAGE(OFFSET($H$3,0,0,'Données projet'!$E$10+1,1))</f>
        <v>353.37479213497227</v>
      </c>
      <c r="AO16" s="59">
        <f t="shared" si="36"/>
        <v>345.4750813433123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4.333333333333333</v>
      </c>
      <c r="BD16" s="12">
        <f>IF('Données projet'!$A$88&gt;35,BD15+BC16-BL15,IF(A16&lt;'Données projet'!$A$88,$BA$205^A16,IF(A16='Données projet'!$A$88,'Données projet'!$B$88,BD15+BC16-BL15)))</f>
        <v>37.255601172785397</v>
      </c>
      <c r="BE16" s="13">
        <f>BD16*VLOOKUP('Données projet'!$B$11,Paramètres!$A$1:$I$89,3,0)*VLOOKUP('Données projet'!$B$11,Paramètres!$A$1:$I$89,5,0)</f>
        <v>30.221743671363516</v>
      </c>
      <c r="BF16" s="13">
        <f t="shared" si="37"/>
        <v>9.3661776474860101</v>
      </c>
      <c r="BG16" s="20">
        <f t="shared" si="7"/>
        <v>68.948962963662908</v>
      </c>
      <c r="BH16" s="59">
        <f t="shared" si="8"/>
        <v>341.50451851921844</v>
      </c>
      <c r="BI16" s="59">
        <f ca="1">AVERAGE(OFFSET($BH$3,0,0,'Données projet'!$E$11+1,1))-AVERAGE(OFFSET($H$3,0,0,'Données projet'!$E$11+1,1))</f>
        <v>359.57284550600366</v>
      </c>
      <c r="BJ16" s="59">
        <f t="shared" si="38"/>
        <v>351.38386928091433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1.3675213675213673</v>
      </c>
      <c r="BY16" s="12">
        <f>IF('Données projet'!$A$114&gt;35,BY15+BX16-CG15,IF(A16&lt;'Données projet'!$A$114,$BV$205^A16,IF(A16='Données projet'!$A$114,'Données projet'!$B$114,BY15+BX16-CG15)))</f>
        <v>13.711616647243169</v>
      </c>
      <c r="BZ16" s="13">
        <f>BY16*VLOOKUP('Données projet'!$B$12,Paramètres!$A$1:$I$89,3,0)*VLOOKUP('Données projet'!$B$12,Paramètres!$A$1:$I$89,5,0)</f>
        <v>11.122863424243659</v>
      </c>
      <c r="CA16" s="13">
        <f t="shared" si="39"/>
        <v>3.8724788698832282</v>
      </c>
      <c r="CB16" s="20">
        <f t="shared" si="10"/>
        <v>26.116887828937664</v>
      </c>
      <c r="CC16" s="59">
        <f t="shared" si="11"/>
        <v>298.67244338449319</v>
      </c>
      <c r="CD16" s="59">
        <f ca="1">AVERAGE(OFFSET($CC$3,0,0,'Données projet'!$E$12+1,1))-AVERAGE(OFFSET($H$3,0,0,'Données projet'!$E$12+1,1))</f>
        <v>159.4660488566085</v>
      </c>
      <c r="CE16" s="59">
        <f t="shared" si="40"/>
        <v>135.33030558297088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4.333333333333333</v>
      </c>
      <c r="CT16" s="12">
        <f>IF('Données projet'!$A$140&gt;35,CT15+CS16-DB15,IF(A16&lt;'Données projet'!$A$140,$CQ$205^A16,IF(A16='Données projet'!$A$140,'Données projet'!$B$140,CT15+CS16-DB15)))</f>
        <v>37.255601172785397</v>
      </c>
      <c r="CU16" s="17">
        <f>CT16*VLOOKUP('Données projet'!$B$13,Paramètres!$A$1:$I$89,3,0)*VLOOKUP('Données projet'!$B$13,Paramètres!$A$1:$I$89,5,0)</f>
        <v>29.640556293068066</v>
      </c>
      <c r="CV16" s="13">
        <f t="shared" si="41"/>
        <v>9.2068452582035114</v>
      </c>
      <c r="CW16" s="20">
        <f t="shared" si="13"/>
        <v>67.659224368464649</v>
      </c>
      <c r="CX16" s="59">
        <f t="shared" si="14"/>
        <v>340.21477992402021</v>
      </c>
      <c r="CY16" s="59">
        <f ca="1">AVERAGE(OFFSET($CX$3,0,0,'Données projet'!$E$13+1,1))-AVERAGE(OFFSET($H$3,0,0,'Données projet'!$E$13+1,1))</f>
        <v>353.37479213497227</v>
      </c>
      <c r="CZ16" s="59">
        <f t="shared" si="42"/>
        <v>345.4750813433123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4.0942857142857143</v>
      </c>
      <c r="DO16" s="12">
        <f>IF('Données projet'!$A$166&gt;35,DO15+DN16-DW15,IF(A16&lt;'Données projet'!$A$166,$DL$205^A16,IF(A16='Données projet'!$A$166,'Données projet'!$B$166,DO15+DN16-DW15)))</f>
        <v>53.225714285714304</v>
      </c>
      <c r="DP16" s="17">
        <f>DO16*VLOOKUP('Données projet'!$B$14,Paramètres!$A$1:$I$89,3,0)*VLOOKUP('Données projet'!$B$14,Paramètres!$A$1:$I$89,5,0)</f>
        <v>48.158626285714305</v>
      </c>
      <c r="DQ16" s="13">
        <f t="shared" si="43"/>
        <v>14.137183365739432</v>
      </c>
      <c r="DR16" s="20">
        <f t="shared" si="16"/>
        <v>108.4985351429486</v>
      </c>
      <c r="DS16" s="59">
        <f t="shared" si="17"/>
        <v>381.05409069850413</v>
      </c>
      <c r="DT16" s="59">
        <f ca="1">AVERAGE(OFFSET($DS$3,0,0,'Données projet'!$E$14+1,1))-AVERAGE(OFFSET($H$3,0,0,'Données projet'!$E$14+1,1))</f>
        <v>635.71275911100679</v>
      </c>
      <c r="DU16" s="59">
        <f t="shared" si="44"/>
        <v>281.7776857269169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4.0942857142857143</v>
      </c>
      <c r="EJ16" s="12">
        <f>IF('Données projet'!$A$192&gt;35,EJ15+EI16-ER15,IF(A16&lt;'Données projet'!$A$192,$EG$205^A16,IF(A16='Données projet'!$A$192,'Données projet'!$B$192,EJ15+EI16-ER15)))</f>
        <v>53.225714285714304</v>
      </c>
      <c r="EK16" s="17">
        <f>EJ16*VLOOKUP('Données projet'!$B$15,Paramètres!$A$1:$I$89,3,0)*VLOOKUP('Données projet'!$B$15,Paramètres!$A$1:$I$89,5,0)</f>
        <v>35.703809142857153</v>
      </c>
      <c r="EL16" s="13">
        <f t="shared" si="45"/>
        <v>10.852521209529849</v>
      </c>
      <c r="EM16" s="20">
        <f t="shared" si="19"/>
        <v>81.085608697074022</v>
      </c>
      <c r="EN16" s="59">
        <f t="shared" si="20"/>
        <v>353.64116425262955</v>
      </c>
      <c r="EO16" s="59">
        <f ca="1">AVERAGE(OFFSET($EN$3,0,0,'Données projet'!$E$15+1,1))-AVERAGE(OFFSET($H$3,0,0,'Données projet'!$E$15+1,1))</f>
        <v>482.99915419700773</v>
      </c>
      <c r="EP16" s="59">
        <f t="shared" si="46"/>
        <v>219.74157899604279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4.0942857142857143</v>
      </c>
      <c r="FE16" s="12">
        <f>IF('Données projet'!$A$218&gt;35,FE15+FD16-FM15,IF(A16&lt;'Données projet'!$A$218,$FB$205^A16,IF(A16='Données projet'!$A$218,'Données projet'!$B$218,FE15+FD16-FM15)))</f>
        <v>53.225714285714304</v>
      </c>
      <c r="FF16" s="17">
        <f>FE16*VLOOKUP('Données projet'!$B$16,Paramètres!$A$1:$I$89,3,0)*VLOOKUP('Données projet'!$B$16,Paramètres!$A$1:$I$89,5,0)</f>
        <v>50.649589714285725</v>
      </c>
      <c r="FG16" s="13">
        <f t="shared" si="47"/>
        <v>14.781392802335258</v>
      </c>
      <c r="FH16" s="20">
        <f t="shared" si="22"/>
        <v>113.9589612164482</v>
      </c>
      <c r="FI16" s="59">
        <f t="shared" si="23"/>
        <v>386.51451677200373</v>
      </c>
      <c r="FJ16" s="59">
        <f ca="1">AVERAGE(OFFSET($FI$3,0,0,'Données projet'!$E$16+1,1))-AVERAGE(OFFSET($H$3,0,0,'Données projet'!$E$16+1,1))</f>
        <v>666.1523645983184</v>
      </c>
      <c r="FK16" s="59">
        <f t="shared" si="48"/>
        <v>294.13851344047526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4.333333333333333</v>
      </c>
      <c r="N17" s="13">
        <f>IF('Données projet'!$A$36&gt;35,N16+M17-V16,IF(A17&lt;'Données projet'!$A$36,$K$205^A17,IF(A17='Données projet'!$A$36,'Données projet'!$B$36,N16+M17-V16)))</f>
        <v>49.209898153024547</v>
      </c>
      <c r="O17" s="13">
        <f>N17*VLOOKUP('Données projet'!$B$9,Paramètres!$A$1:$I$89,3,0)*VLOOKUP('Données projet'!$B$9,Paramètres!$A$1:$I$89,5,0)</f>
        <v>36.080697325797594</v>
      </c>
      <c r="P17" s="13">
        <f t="shared" si="33"/>
        <v>10.953683456664727</v>
      </c>
      <c r="Q17" s="20">
        <f t="shared" si="2"/>
        <v>81.918213196121869</v>
      </c>
      <c r="R17" s="59">
        <f t="shared" si="0"/>
        <v>355.69599097389965</v>
      </c>
      <c r="S17" s="59">
        <f ca="1">AVERAGE(OFFSET($R$3,0,0,'Données projet'!$E$9+1,1))-AVERAGE(OFFSET($H$3,0,0,'Données projet'!$E$9+1,1))</f>
        <v>328.55631138162721</v>
      </c>
      <c r="T17" s="59">
        <f t="shared" si="34"/>
        <v>321.81422611044985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4.333333333333333</v>
      </c>
      <c r="AI17" s="13">
        <f>IF('Données projet'!$A$62&gt;35,AI16+AH17-AQ16,IF(A17&lt;'Données projet'!$A$62,$AF$205^A17,IF(A17='Données projet'!$A$62,'Données projet'!$B$62,AI16+AH17-AQ16)))</f>
        <v>49.209898153024547</v>
      </c>
      <c r="AJ17" s="13">
        <f>AI17*VLOOKUP('Données projet'!$B$10,Paramètres!$A$1:$I$89,3,0)*VLOOKUP('Données projet'!$B$10,Paramètres!$A$1:$I$89,5,0)</f>
        <v>39.151394970546335</v>
      </c>
      <c r="AK17" s="13">
        <f t="shared" si="35"/>
        <v>11.773444115853561</v>
      </c>
      <c r="AL17" s="20">
        <f t="shared" si="4"/>
        <v>88.69409474214649</v>
      </c>
      <c r="AM17" s="59">
        <f t="shared" si="5"/>
        <v>362.47187251992426</v>
      </c>
      <c r="AN17" s="59">
        <f ca="1">AVERAGE(OFFSET($AM$3,0,0,'Données projet'!$E$10+1,1))-AVERAGE(OFFSET($H$3,0,0,'Données projet'!$E$10+1,1))</f>
        <v>353.37479213497227</v>
      </c>
      <c r="AO17" s="59">
        <f t="shared" si="36"/>
        <v>345.4750813433123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4.333333333333333</v>
      </c>
      <c r="BD17" s="12">
        <f>IF('Données projet'!$A$88&gt;35,BD16+BC17-BL16,IF(A17&lt;'Données projet'!$A$88,$BA$205^A17,IF(A17='Données projet'!$A$88,'Données projet'!$B$88,BD16+BC17-BL16)))</f>
        <v>49.209898153024547</v>
      </c>
      <c r="BE17" s="13">
        <f>BD17*VLOOKUP('Données projet'!$B$11,Paramètres!$A$1:$I$89,3,0)*VLOOKUP('Données projet'!$B$11,Paramètres!$A$1:$I$89,5,0)</f>
        <v>39.919069381733514</v>
      </c>
      <c r="BF17" s="13">
        <f t="shared" si="37"/>
        <v>11.977193709601915</v>
      </c>
      <c r="BG17" s="20">
        <f t="shared" si="7"/>
        <v>90.385991550742531</v>
      </c>
      <c r="BH17" s="59">
        <f t="shared" si="8"/>
        <v>364.16376932852029</v>
      </c>
      <c r="BI17" s="59">
        <f ca="1">AVERAGE(OFFSET($BH$3,0,0,'Données projet'!$E$11+1,1))-AVERAGE(OFFSET($H$3,0,0,'Données projet'!$E$11+1,1))</f>
        <v>359.57284550600366</v>
      </c>
      <c r="BJ17" s="59">
        <f t="shared" si="38"/>
        <v>351.38386928091433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1.3675213675213673</v>
      </c>
      <c r="BY17" s="12">
        <f>IF('Données projet'!$A$114&gt;35,BY16+BX17-CG16,IF(A17&lt;'Données projet'!$A$114,$BV$205^A17,IF(A17='Données projet'!$A$114,'Données projet'!$B$114,BY16+BX17-CG16)))</f>
        <v>16.770925175001558</v>
      </c>
      <c r="BZ17" s="13">
        <f>BY17*VLOOKUP('Données projet'!$B$12,Paramètres!$A$1:$I$89,3,0)*VLOOKUP('Données projet'!$B$12,Paramètres!$A$1:$I$89,5,0)</f>
        <v>13.604574501961265</v>
      </c>
      <c r="CA17" s="13">
        <f t="shared" si="39"/>
        <v>4.6267506903162801</v>
      </c>
      <c r="CB17" s="20">
        <f t="shared" si="10"/>
        <v>31.752891376550057</v>
      </c>
      <c r="CC17" s="59">
        <f t="shared" si="11"/>
        <v>305.53066915432782</v>
      </c>
      <c r="CD17" s="59">
        <f ca="1">AVERAGE(OFFSET($CC$3,0,0,'Données projet'!$E$12+1,1))-AVERAGE(OFFSET($H$3,0,0,'Données projet'!$E$12+1,1))</f>
        <v>159.4660488566085</v>
      </c>
      <c r="CE17" s="59">
        <f t="shared" si="40"/>
        <v>135.33030558297088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4.333333333333333</v>
      </c>
      <c r="CT17" s="12">
        <f>IF('Données projet'!$A$140&gt;35,CT16+CS17-DB16,IF(A17&lt;'Données projet'!$A$140,$CQ$205^A17,IF(A17='Données projet'!$A$140,'Données projet'!$B$140,CT16+CS17-DB16)))</f>
        <v>49.209898153024547</v>
      </c>
      <c r="CU17" s="17">
        <f>CT17*VLOOKUP('Données projet'!$B$13,Paramètres!$A$1:$I$89,3,0)*VLOOKUP('Données projet'!$B$13,Paramètres!$A$1:$I$89,5,0)</f>
        <v>39.151394970546335</v>
      </c>
      <c r="CV17" s="13">
        <f t="shared" si="41"/>
        <v>11.773444115853561</v>
      </c>
      <c r="CW17" s="20">
        <f t="shared" si="13"/>
        <v>88.69409474214649</v>
      </c>
      <c r="CX17" s="59">
        <f t="shared" si="14"/>
        <v>362.47187251992426</v>
      </c>
      <c r="CY17" s="59">
        <f ca="1">AVERAGE(OFFSET($CX$3,0,0,'Données projet'!$E$13+1,1))-AVERAGE(OFFSET($H$3,0,0,'Données projet'!$E$13+1,1))</f>
        <v>353.37479213497227</v>
      </c>
      <c r="CZ17" s="59">
        <f t="shared" si="42"/>
        <v>345.4750813433123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4.0942857142857143</v>
      </c>
      <c r="DO17" s="12">
        <f>IF('Données projet'!$A$166&gt;35,DO16+DN17-DW16,IF(A17&lt;'Données projet'!$A$166,$DL$205^A17,IF(A17='Données projet'!$A$166,'Données projet'!$B$166,DO16+DN17-DW16)))</f>
        <v>57.320000000000022</v>
      </c>
      <c r="DP17" s="17">
        <f>DO17*VLOOKUP('Données projet'!$B$14,Paramètres!$A$1:$I$89,3,0)*VLOOKUP('Données projet'!$B$14,Paramètres!$A$1:$I$89,5,0)</f>
        <v>51.863136000000019</v>
      </c>
      <c r="DQ17" s="13">
        <f t="shared" si="43"/>
        <v>15.093893357630675</v>
      </c>
      <c r="DR17" s="20">
        <f t="shared" si="16"/>
        <v>116.61682613120678</v>
      </c>
      <c r="DS17" s="59">
        <f t="shared" si="17"/>
        <v>390.39460390898455</v>
      </c>
      <c r="DT17" s="59">
        <f ca="1">AVERAGE(OFFSET($DS$3,0,0,'Données projet'!$E$14+1,1))-AVERAGE(OFFSET($H$3,0,0,'Données projet'!$E$14+1,1))</f>
        <v>635.71275911100679</v>
      </c>
      <c r="DU17" s="59">
        <f t="shared" si="44"/>
        <v>281.7776857269169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4.0942857142857143</v>
      </c>
      <c r="EJ17" s="12">
        <f>IF('Données projet'!$A$192&gt;35,EJ16+EI17-ER16,IF(A17&lt;'Données projet'!$A$192,$EG$205^A17,IF(A17='Données projet'!$A$192,'Données projet'!$B$192,EJ16+EI17-ER16)))</f>
        <v>57.320000000000022</v>
      </c>
      <c r="EK17" s="17">
        <f>EJ17*VLOOKUP('Données projet'!$B$15,Paramètres!$A$1:$I$89,3,0)*VLOOKUP('Données projet'!$B$15,Paramètres!$A$1:$I$89,5,0)</f>
        <v>38.45025600000001</v>
      </c>
      <c r="EL17" s="13">
        <f t="shared" si="45"/>
        <v>11.586947241205351</v>
      </c>
      <c r="EM17" s="20">
        <f t="shared" si="19"/>
        <v>87.148128978432666</v>
      </c>
      <c r="EN17" s="59">
        <f t="shared" si="20"/>
        <v>360.92590675621045</v>
      </c>
      <c r="EO17" s="59">
        <f ca="1">AVERAGE(OFFSET($EN$3,0,0,'Données projet'!$E$15+1,1))-AVERAGE(OFFSET($H$3,0,0,'Données projet'!$E$15+1,1))</f>
        <v>482.99915419700773</v>
      </c>
      <c r="EP17" s="59">
        <f t="shared" si="46"/>
        <v>219.74157899604279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4.0942857142857143</v>
      </c>
      <c r="FE17" s="12">
        <f>IF('Données projet'!$A$218&gt;35,FE16+FD17-FM16,IF(A17&lt;'Données projet'!$A$218,$FB$205^A17,IF(A17='Données projet'!$A$218,'Données projet'!$B$218,FE16+FD17-FM16)))</f>
        <v>57.320000000000022</v>
      </c>
      <c r="FF17" s="17">
        <f>FE17*VLOOKUP('Données projet'!$B$16,Paramètres!$A$1:$I$89,3,0)*VLOOKUP('Données projet'!$B$16,Paramètres!$A$1:$I$89,5,0)</f>
        <v>54.545712000000016</v>
      </c>
      <c r="FG17" s="13">
        <f t="shared" si="47"/>
        <v>15.781698579109328</v>
      </c>
      <c r="FH17" s="20">
        <f t="shared" si="22"/>
        <v>122.48690675861542</v>
      </c>
      <c r="FI17" s="59">
        <f t="shared" si="23"/>
        <v>396.26468453639319</v>
      </c>
      <c r="FJ17" s="59">
        <f ca="1">AVERAGE(OFFSET($FI$3,0,0,'Données projet'!$E$16+1,1))-AVERAGE(OFFSET($H$3,0,0,'Données projet'!$E$16+1,1))</f>
        <v>666.1523645983184</v>
      </c>
      <c r="FK17" s="59">
        <f t="shared" si="48"/>
        <v>294.13851344047526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65</v>
      </c>
      <c r="L18" s="12">
        <f>VLOOKUP(A18,'Données projet'!$A$35:$I$55,9,0)</f>
        <v>4.333333333333333</v>
      </c>
      <c r="M18" s="12">
        <f t="array" ref="M18">INDEX(L:L,MIN(IF(ISNUMBER(L18:L214),ROW(L18:L214),"")))</f>
        <v>4.333333333333333</v>
      </c>
      <c r="N18" s="13">
        <f>IF('Données projet'!$A$36&gt;35,N17+M18-V17,IF(A18&lt;'Données projet'!$A$36,$K$205^A18,IF(A18='Données projet'!$A$36,'Données projet'!$B$36,N17+M18-V17)))</f>
        <v>65</v>
      </c>
      <c r="O18" s="13">
        <f>N18*VLOOKUP('Données projet'!$B$9,Paramètres!$A$1:$I$89,3,0)*VLOOKUP('Données projet'!$B$9,Paramètres!$A$1:$I$89,5,0)</f>
        <v>47.657999999999994</v>
      </c>
      <c r="P18" s="13">
        <f t="shared" si="33"/>
        <v>14.007249652087213</v>
      </c>
      <c r="Q18" s="20">
        <f t="shared" si="2"/>
        <v>107.40030981071855</v>
      </c>
      <c r="R18" s="59">
        <f t="shared" si="0"/>
        <v>382.40030981071857</v>
      </c>
      <c r="S18" s="59">
        <f ca="1">AVERAGE(OFFSET($R$3,0,0,'Données projet'!$E$9+1,1))-AVERAGE(OFFSET($H$3,0,0,'Données projet'!$E$9+1,1))</f>
        <v>328.55631138162721</v>
      </c>
      <c r="T18" s="59">
        <f t="shared" si="34"/>
        <v>321.81422611044985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32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0.1075</v>
      </c>
      <c r="Y18" s="16">
        <f>IF(ISNA(VLOOKUP(A18,'Données projet'!$A$35:$I$55,7,0)),0%,VLOOKUP(A18,'Données projet'!$A$35:$I$55,7,0))</f>
        <v>0.25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2.7772479259362783</v>
      </c>
      <c r="AB18" s="21">
        <f>EXP(-LN(2)/2)*AB17+(1-EXP(-LN(2)/2))/(LN(2)/2)*V18*Y18*VLOOKUP('Données projet'!$B$9,Paramètres!$A$1:$I$89,3,0)*0.475*44/12</f>
        <v>5.5343514703093648</v>
      </c>
      <c r="AC18" s="22">
        <f t="shared" si="3"/>
        <v>8.3115993962456436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65</v>
      </c>
      <c r="AG18" s="12">
        <f>VLOOKUP(A18,'Données projet'!$A$61:$I$81,9,0)</f>
        <v>4.333333333333333</v>
      </c>
      <c r="AH18" s="12">
        <f t="array" ref="AH18">INDEX(AG:AG,MIN(IF(ISNUMBER(AG18:AG214),ROW(AG18:AG214),"")))</f>
        <v>4.333333333333333</v>
      </c>
      <c r="AI18" s="13">
        <f>IF('Données projet'!$A$62&gt;35,AI17+AH18-AQ17,IF(A18&lt;'Données projet'!$A$62,$AF$205^A18,IF(A18='Données projet'!$A$62,'Données projet'!$B$62,AI17+AH18-AQ17)))</f>
        <v>65</v>
      </c>
      <c r="AJ18" s="13">
        <f>AI18*VLOOKUP('Données projet'!$B$10,Paramètres!$A$1:$I$89,3,0)*VLOOKUP('Données projet'!$B$10,Paramètres!$A$1:$I$89,5,0)</f>
        <v>51.713999999999999</v>
      </c>
      <c r="AK18" s="13">
        <f t="shared" si="35"/>
        <v>15.055535578337075</v>
      </c>
      <c r="AL18" s="20">
        <f t="shared" si="4"/>
        <v>116.29027446560372</v>
      </c>
      <c r="AM18" s="59">
        <f t="shared" si="5"/>
        <v>391.29027446560372</v>
      </c>
      <c r="AN18" s="59">
        <f ca="1">AVERAGE(OFFSET($AM$3,0,0,'Données projet'!$E$10+1,1))-AVERAGE(OFFSET($H$3,0,0,'Données projet'!$E$10+1,1))</f>
        <v>353.37479213497227</v>
      </c>
      <c r="AO18" s="59">
        <f t="shared" si="36"/>
        <v>345.4750813433123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32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0.13250000000000001</v>
      </c>
      <c r="AT18" s="16">
        <f>IF(ISNA(VLOOKUP(A18,'Données projet'!$A$61:$I$81,7,0)),0%,VLOOKUP(A18,'Données projet'!$A$61:$I$81,7,0))</f>
        <v>0.25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3.7144488588845932</v>
      </c>
      <c r="AW18" s="21">
        <f>EXP(-LN(2)/2)*AW17+(1-EXP(-LN(2)/2))/(LN(2)/2)*AQ18*AT18*VLOOKUP('Données projet'!$B$10,Paramètres!$A$1:$I$89,3,0)*0.475*44/12</f>
        <v>6.0053601060803743</v>
      </c>
      <c r="AX18" s="21">
        <f t="shared" si="6"/>
        <v>9.719808964964967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65</v>
      </c>
      <c r="BB18" s="12">
        <f>VLOOKUP(A18,'Données projet'!$A$87:$I$107,9,0)</f>
        <v>4.333333333333333</v>
      </c>
      <c r="BC18" s="12">
        <f t="array" ref="BC18">INDEX(BB:BB,MIN(IF(ISNUMBER(BB18:BB214),ROW(BB18:BB214),"")))</f>
        <v>4.333333333333333</v>
      </c>
      <c r="BD18" s="12">
        <f>IF('Données projet'!$A$88&gt;35,BD17+BC18-BL17,IF(A18&lt;'Données projet'!$A$88,$BA$205^A18,IF(A18='Données projet'!$A$88,'Données projet'!$B$88,BD17+BC18-BL17)))</f>
        <v>65</v>
      </c>
      <c r="BE18" s="13">
        <f>BD18*VLOOKUP('Données projet'!$B$11,Paramètres!$A$1:$I$89,3,0)*VLOOKUP('Données projet'!$B$11,Paramètres!$A$1:$I$89,5,0)</f>
        <v>52.728000000000009</v>
      </c>
      <c r="BF18" s="13">
        <f t="shared" si="37"/>
        <v>15.316084592505286</v>
      </c>
      <c r="BG18" s="20">
        <f t="shared" si="7"/>
        <v>118.51011399861339</v>
      </c>
      <c r="BH18" s="59">
        <f t="shared" si="8"/>
        <v>393.51011399861341</v>
      </c>
      <c r="BI18" s="59">
        <f ca="1">AVERAGE(OFFSET($BH$3,0,0,'Données projet'!$E$11+1,1))-AVERAGE(OFFSET($H$3,0,0,'Données projet'!$E$11+1,1))</f>
        <v>359.57284550600366</v>
      </c>
      <c r="BJ18" s="59">
        <f t="shared" si="38"/>
        <v>351.38386928091433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0.13250000000000001</v>
      </c>
      <c r="BO18" s="16">
        <f>IF(ISNA(VLOOKUP(A18,'Données projet'!$A$87:$I$107,7,0)),0%,VLOOKUP(A18,'Données projet'!$A$87:$I$107,7,0))</f>
        <v>0.25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3.7872811894509582</v>
      </c>
      <c r="BR18" s="21">
        <f>EXP(-LN(2)/2)*BR17+(1-EXP(-LN(2)/2))/(LN(2)/2)*BL18*BO18*VLOOKUP('Données projet'!$B$11,Paramètres!$A$1:$I$89,3,0)*0.475*44/12</f>
        <v>6.1231122650231278</v>
      </c>
      <c r="BS18" s="22">
        <f t="shared" si="9"/>
        <v>9.9103934544740859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20.512820512820511</v>
      </c>
      <c r="BW18" s="12">
        <f>VLOOKUP(A18,'Données projet'!$A$113:$I$133,9,0)</f>
        <v>1.3675213675213673</v>
      </c>
      <c r="BX18" s="12">
        <f t="array" ref="BX18">INDEX(BW:BW,MIN(IF(ISNUMBER(BW18:BW214),ROW(BW18:BW214),"")))</f>
        <v>1.3675213675213673</v>
      </c>
      <c r="BY18" s="12">
        <f>IF('Données projet'!$A$114&gt;35,BY17+BX18-CG17,IF(A18&lt;'Données projet'!$A$114,$BV$205^A18,IF(A18='Données projet'!$A$114,'Données projet'!$B$114,BY17+BX18-CG17)))</f>
        <v>20.512820512820511</v>
      </c>
      <c r="BZ18" s="13">
        <f>BY18*VLOOKUP('Données projet'!$B$12,Paramètres!$A$1:$I$89,3,0)*VLOOKUP('Données projet'!$B$12,Paramètres!$A$1:$I$89,5,0)</f>
        <v>16.64</v>
      </c>
      <c r="CA18" s="13">
        <f t="shared" si="39"/>
        <v>5.5279377033728423</v>
      </c>
      <c r="CB18" s="20">
        <f t="shared" si="10"/>
        <v>38.609158166707701</v>
      </c>
      <c r="CC18" s="59">
        <f t="shared" si="11"/>
        <v>313.60915816670769</v>
      </c>
      <c r="CD18" s="59">
        <f ca="1">AVERAGE(OFFSET($CC$3,0,0,'Données projet'!$E$12+1,1))-AVERAGE(OFFSET($H$3,0,0,'Données projet'!$E$12+1,1))</f>
        <v>159.4660488566085</v>
      </c>
      <c r="CE18" s="59">
        <f t="shared" si="40"/>
        <v>135.33030558297088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0.1075</v>
      </c>
      <c r="CJ18" s="16">
        <f>IF(ISNA(VLOOKUP(A18,'Données projet'!$A$113:$I$133,7,0)),0%,VLOOKUP(A18,'Données projet'!$A$113:$I$133,7,0))</f>
        <v>0.25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65</v>
      </c>
      <c r="CR18" s="12">
        <f>VLOOKUP(A18,'Données projet'!$A$139:$I$159,9,0)</f>
        <v>4.333333333333333</v>
      </c>
      <c r="CS18" s="12">
        <f t="array" ref="CS18">INDEX(CR:CR,MIN(IF(ISNUMBER(CR18:CR214),ROW(CR18:CR214),"")))</f>
        <v>4.333333333333333</v>
      </c>
      <c r="CT18" s="12">
        <f>IF('Données projet'!$A$140&gt;35,CT17+CS18-DB17,IF(A18&lt;'Données projet'!$A$140,$CQ$205^A18,IF(A18='Données projet'!$A$140,'Données projet'!$B$140,CT17+CS18-DB17)))</f>
        <v>65</v>
      </c>
      <c r="CU18" s="17">
        <f>CT18*VLOOKUP('Données projet'!$B$13,Paramètres!$A$1:$I$89,3,0)*VLOOKUP('Données projet'!$B$13,Paramètres!$A$1:$I$89,5,0)</f>
        <v>51.713999999999999</v>
      </c>
      <c r="CV18" s="13">
        <f t="shared" si="41"/>
        <v>15.055535578337075</v>
      </c>
      <c r="CW18" s="20">
        <f t="shared" si="13"/>
        <v>116.29027446560372</v>
      </c>
      <c r="CX18" s="59">
        <f t="shared" si="14"/>
        <v>391.29027446560372</v>
      </c>
      <c r="CY18" s="59">
        <f ca="1">AVERAGE(OFFSET($CX$3,0,0,'Données projet'!$E$13+1,1))-AVERAGE(OFFSET($H$3,0,0,'Données projet'!$E$13+1,1))</f>
        <v>353.37479213497227</v>
      </c>
      <c r="CZ18" s="59">
        <f t="shared" si="42"/>
        <v>345.4750813433123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32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0.13250000000000001</v>
      </c>
      <c r="DE18" s="16">
        <f>IF(ISNA(VLOOKUP(A18,'Données projet'!$A$139:$I$159,7,0)),0%,VLOOKUP(A18,'Données projet'!$A$139:$I$159,7,0))</f>
        <v>0.25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3.7144488588845932</v>
      </c>
      <c r="DH18" s="21">
        <f>EXP(-LN(2)/2)*DH17+(1-EXP(-LN(2)/2))/(LN(2)/2)*DB18*DE18*VLOOKUP('Données projet'!$B$13,Paramètres!$A$1:$I$89,3,0)*0.475*44/12</f>
        <v>6.0053601060803743</v>
      </c>
      <c r="DI18" s="22">
        <f t="shared" si="15"/>
        <v>9.719808964964967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4.0942857142857143</v>
      </c>
      <c r="DO18" s="12">
        <f>IF('Données projet'!$A$166&gt;35,DO17+DN18-DW17,IF(A18&lt;'Données projet'!$A$166,$DL$205^A18,IF(A18='Données projet'!$A$166,'Données projet'!$B$166,DO17+DN18-DW17)))</f>
        <v>61.414285714285739</v>
      </c>
      <c r="DP18" s="17">
        <f>DO18*VLOOKUP('Données projet'!$B$14,Paramètres!$A$1:$I$89,3,0)*VLOOKUP('Données projet'!$B$14,Paramètres!$A$1:$I$89,5,0)</f>
        <v>55.567645714285739</v>
      </c>
      <c r="DQ18" s="13">
        <f t="shared" si="43"/>
        <v>16.042674851771864</v>
      </c>
      <c r="DR18" s="20">
        <f t="shared" si="16"/>
        <v>124.72130831921697</v>
      </c>
      <c r="DS18" s="59">
        <f t="shared" si="17"/>
        <v>399.72130831921697</v>
      </c>
      <c r="DT18" s="59">
        <f ca="1">AVERAGE(OFFSET($DS$3,0,0,'Données projet'!$E$14+1,1))-AVERAGE(OFFSET($H$3,0,0,'Données projet'!$E$14+1,1))</f>
        <v>635.71275911100679</v>
      </c>
      <c r="DU18" s="59">
        <f t="shared" si="44"/>
        <v>281.7776857269169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4.0942857142857143</v>
      </c>
      <c r="EJ18" s="12">
        <f>IF('Données projet'!$A$192&gt;35,EJ17+EI18-ER17,IF(A18&lt;'Données projet'!$A$192,$EG$205^A18,IF(A18='Données projet'!$A$192,'Données projet'!$B$192,EJ17+EI18-ER17)))</f>
        <v>61.414285714285739</v>
      </c>
      <c r="EK18" s="17">
        <f>EJ18*VLOOKUP('Données projet'!$B$15,Paramètres!$A$1:$I$89,3,0)*VLOOKUP('Données projet'!$B$15,Paramètres!$A$1:$I$89,5,0)</f>
        <v>41.196702857142874</v>
      </c>
      <c r="EL18" s="13">
        <f t="shared" si="45"/>
        <v>12.31528689854685</v>
      </c>
      <c r="EM18" s="20">
        <f t="shared" si="19"/>
        <v>93.200048824492924</v>
      </c>
      <c r="EN18" s="59">
        <f t="shared" si="20"/>
        <v>368.20004882449291</v>
      </c>
      <c r="EO18" s="59">
        <f ca="1">AVERAGE(OFFSET($EN$3,0,0,'Données projet'!$E$15+1,1))-AVERAGE(OFFSET($H$3,0,0,'Données projet'!$E$15+1,1))</f>
        <v>482.99915419700773</v>
      </c>
      <c r="EP18" s="59">
        <f t="shared" si="46"/>
        <v>219.74157899604279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4.0942857142857143</v>
      </c>
      <c r="FE18" s="12">
        <f>IF('Données projet'!$A$218&gt;35,FE17+FD18-FM17,IF(A18&lt;'Données projet'!$A$218,$FB$205^A18,IF(A18='Données projet'!$A$218,'Données projet'!$B$218,FE17+FD18-FM17)))</f>
        <v>61.414285714285739</v>
      </c>
      <c r="FF18" s="17">
        <f>FE18*VLOOKUP('Données projet'!$B$16,Paramètres!$A$1:$I$89,3,0)*VLOOKUP('Données projet'!$B$16,Paramètres!$A$1:$I$89,5,0)</f>
        <v>58.441834285714307</v>
      </c>
      <c r="FG18" s="13">
        <f t="shared" si="47"/>
        <v>16.773714568834297</v>
      </c>
      <c r="FH18" s="20">
        <f t="shared" si="22"/>
        <v>131.0004142550055</v>
      </c>
      <c r="FI18" s="59">
        <f t="shared" si="23"/>
        <v>406.00041425500547</v>
      </c>
      <c r="FJ18" s="59">
        <f ca="1">AVERAGE(OFFSET($FI$3,0,0,'Données projet'!$E$16+1,1))-AVERAGE(OFFSET($H$3,0,0,'Données projet'!$E$16+1,1))</f>
        <v>666.1523645983184</v>
      </c>
      <c r="FK18" s="59">
        <f t="shared" si="48"/>
        <v>294.13851344047526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13.8</v>
      </c>
      <c r="N19" s="13">
        <f>IF('Données projet'!$A$36&gt;35,N18+M19-V18,IF(A19&lt;'Données projet'!$A$36,$K$205^A19,IF(A19='Données projet'!$A$36,'Données projet'!$B$36,N18+M19-V18)))</f>
        <v>46.8</v>
      </c>
      <c r="O19" s="13">
        <f>N19*VLOOKUP('Données projet'!$B$9,Paramètres!$A$1:$I$89,3,0)*VLOOKUP('Données projet'!$B$9,Paramètres!$A$1:$I$89,5,0)</f>
        <v>34.313760000000002</v>
      </c>
      <c r="P19" s="13">
        <f t="shared" si="33"/>
        <v>10.478324962562111</v>
      </c>
      <c r="Q19" s="20">
        <f t="shared" si="2"/>
        <v>78.012881309795674</v>
      </c>
      <c r="R19" s="59">
        <f t="shared" si="0"/>
        <v>354.23510353201789</v>
      </c>
      <c r="S19" s="59">
        <f ca="1">AVERAGE(OFFSET($R$3,0,0,'Données projet'!$E$9+1,1))-AVERAGE(OFFSET($H$3,0,0,'Données projet'!$E$9+1,1))</f>
        <v>328.55631138162721</v>
      </c>
      <c r="T19" s="59">
        <f t="shared" si="34"/>
        <v>321.81422611044985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2.70130393535243</v>
      </c>
      <c r="AB19" s="21">
        <f>EXP(-LN(2)/2)*AB18+(1-EXP(-LN(2)/2))/(LN(2)/2)*V19*Y19*VLOOKUP('Données projet'!$B$9,Paramètres!$A$1:$I$89,3,0)*0.475*44/12</f>
        <v>3.913377454125492</v>
      </c>
      <c r="AC19" s="22">
        <f t="shared" si="3"/>
        <v>6.6146813894779219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13.8</v>
      </c>
      <c r="AI19" s="13">
        <f>IF('Données projet'!$A$62&gt;35,AI18+AH19-AQ18,IF(A19&lt;'Données projet'!$A$62,$AF$205^A19,IF(A19='Données projet'!$A$62,'Données projet'!$B$62,AI18+AH19-AQ18)))</f>
        <v>46.8</v>
      </c>
      <c r="AJ19" s="13">
        <f>AI19*VLOOKUP('Données projet'!$B$10,Paramètres!$A$1:$I$89,3,0)*VLOOKUP('Données projet'!$B$10,Paramètres!$A$1:$I$89,5,0)</f>
        <v>37.234079999999999</v>
      </c>
      <c r="AK19" s="13">
        <f t="shared" si="35"/>
        <v>11.262510356679771</v>
      </c>
      <c r="AL19" s="20">
        <f t="shared" si="4"/>
        <v>84.464894871217254</v>
      </c>
      <c r="AM19" s="59">
        <f t="shared" si="5"/>
        <v>360.6871170934395</v>
      </c>
      <c r="AN19" s="59">
        <f ca="1">AVERAGE(OFFSET($AM$3,0,0,'Données projet'!$E$10+1,1))-AVERAGE(OFFSET($H$3,0,0,'Données projet'!$E$10+1,1))</f>
        <v>353.37479213497227</v>
      </c>
      <c r="AO19" s="59">
        <f t="shared" si="36"/>
        <v>345.4750813433123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3.6128770595040178</v>
      </c>
      <c r="AW19" s="21">
        <f>EXP(-LN(2)/2)*AW18+(1-EXP(-LN(2)/2))/(LN(2)/2)*AQ19*AT19*VLOOKUP('Données projet'!$B$10,Paramètres!$A$1:$I$89,3,0)*0.475*44/12</f>
        <v>4.2464308544765972</v>
      </c>
      <c r="AX19" s="21">
        <f t="shared" si="6"/>
        <v>7.859307913980615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13.8</v>
      </c>
      <c r="BD19" s="12">
        <f>IF('Données projet'!$A$88&gt;35,BD18+BC19-BL18,IF(A19&lt;'Données projet'!$A$88,$BA$205^A19,IF(A19='Données projet'!$A$88,'Données projet'!$B$88,BD18+BC19-BL18)))</f>
        <v>46.8</v>
      </c>
      <c r="BE19" s="13">
        <f>BD19*VLOOKUP('Données projet'!$B$11,Paramètres!$A$1:$I$89,3,0)*VLOOKUP('Données projet'!$B$11,Paramètres!$A$1:$I$89,5,0)</f>
        <v>37.96416</v>
      </c>
      <c r="BF19" s="13">
        <f t="shared" si="37"/>
        <v>11.457417801534429</v>
      </c>
      <c r="BG19" s="20">
        <f t="shared" si="7"/>
        <v>86.075914671005776</v>
      </c>
      <c r="BH19" s="59">
        <f t="shared" si="8"/>
        <v>362.29813689322799</v>
      </c>
      <c r="BI19" s="59">
        <f ca="1">AVERAGE(OFFSET($BH$3,0,0,'Données projet'!$E$11+1,1))-AVERAGE(OFFSET($H$3,0,0,'Données projet'!$E$11+1,1))</f>
        <v>359.57284550600366</v>
      </c>
      <c r="BJ19" s="59">
        <f t="shared" si="38"/>
        <v>351.38386928091433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3.68371778616096</v>
      </c>
      <c r="BR19" s="21">
        <f>EXP(-LN(2)/2)*BR18+(1-EXP(-LN(2)/2))/(LN(2)/2)*BL19*BO19*VLOOKUP('Données projet'!$B$11,Paramètres!$A$1:$I$89,3,0)*0.475*44/12</f>
        <v>4.3296942045643743</v>
      </c>
      <c r="BS19" s="22">
        <f t="shared" si="9"/>
        <v>8.0134119907253343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2.8205128205128203</v>
      </c>
      <c r="BY19" s="12">
        <f>IF('Données projet'!$A$114&gt;35,BY18+BX19-CG18,IF(A19&lt;'Données projet'!$A$114,$BV$205^A19,IF(A19='Données projet'!$A$114,'Données projet'!$B$114,BY18+BX19-CG18)))</f>
        <v>23.333333333333332</v>
      </c>
      <c r="BZ19" s="13">
        <f>BY19*VLOOKUP('Données projet'!$B$12,Paramètres!$A$1:$I$89,3,0)*VLOOKUP('Données projet'!$B$12,Paramètres!$A$1:$I$89,5,0)</f>
        <v>18.928000000000001</v>
      </c>
      <c r="CA19" s="13">
        <f t="shared" si="39"/>
        <v>6.1944364515705423</v>
      </c>
      <c r="CB19" s="20">
        <f t="shared" si="10"/>
        <v>43.754910153152025</v>
      </c>
      <c r="CC19" s="59">
        <f t="shared" si="11"/>
        <v>319.97713237537425</v>
      </c>
      <c r="CD19" s="59">
        <f ca="1">AVERAGE(OFFSET($CC$3,0,0,'Données projet'!$E$12+1,1))-AVERAGE(OFFSET($H$3,0,0,'Données projet'!$E$12+1,1))</f>
        <v>159.4660488566085</v>
      </c>
      <c r="CE19" s="59">
        <f t="shared" si="40"/>
        <v>135.33030558297088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13.8</v>
      </c>
      <c r="CT19" s="12">
        <f>IF('Données projet'!$A$140&gt;35,CT18+CS19-DB18,IF(A19&lt;'Données projet'!$A$140,$CQ$205^A19,IF(A19='Données projet'!$A$140,'Données projet'!$B$140,CT18+CS19-DB18)))</f>
        <v>46.8</v>
      </c>
      <c r="CU19" s="17">
        <f>CT19*VLOOKUP('Données projet'!$B$13,Paramètres!$A$1:$I$89,3,0)*VLOOKUP('Données projet'!$B$13,Paramètres!$A$1:$I$89,5,0)</f>
        <v>37.234079999999999</v>
      </c>
      <c r="CV19" s="13">
        <f t="shared" si="41"/>
        <v>11.262510356679771</v>
      </c>
      <c r="CW19" s="20">
        <f t="shared" si="13"/>
        <v>84.464894871217254</v>
      </c>
      <c r="CX19" s="59">
        <f t="shared" si="14"/>
        <v>360.6871170934395</v>
      </c>
      <c r="CY19" s="59">
        <f ca="1">AVERAGE(OFFSET($CX$3,0,0,'Données projet'!$E$13+1,1))-AVERAGE(OFFSET($H$3,0,0,'Données projet'!$E$13+1,1))</f>
        <v>353.37479213497227</v>
      </c>
      <c r="CZ19" s="59">
        <f t="shared" si="42"/>
        <v>345.4750813433123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3.6128770595040178</v>
      </c>
      <c r="DH19" s="21">
        <f>EXP(-LN(2)/2)*DH18+(1-EXP(-LN(2)/2))/(LN(2)/2)*DB19*DE19*VLOOKUP('Données projet'!$B$13,Paramètres!$A$1:$I$89,3,0)*0.475*44/12</f>
        <v>4.2464308544765972</v>
      </c>
      <c r="DI19" s="22">
        <f t="shared" si="15"/>
        <v>7.859307913980615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4.0942857142857143</v>
      </c>
      <c r="DO19" s="12">
        <f>IF('Données projet'!$A$166&gt;35,DO18+DN19-DW18,IF(A19&lt;'Données projet'!$A$166,$DL$205^A19,IF(A19='Données projet'!$A$166,'Données projet'!$B$166,DO18+DN19-DW18)))</f>
        <v>65.508571428571457</v>
      </c>
      <c r="DP19" s="17">
        <f>DO19*VLOOKUP('Données projet'!$B$14,Paramètres!$A$1:$I$89,3,0)*VLOOKUP('Données projet'!$B$14,Paramètres!$A$1:$I$89,5,0)</f>
        <v>59.272155428571445</v>
      </c>
      <c r="DQ19" s="13">
        <f t="shared" si="43"/>
        <v>16.984116557241595</v>
      </c>
      <c r="DR19" s="20">
        <f t="shared" si="16"/>
        <v>132.81300704195772</v>
      </c>
      <c r="DS19" s="59">
        <f t="shared" si="17"/>
        <v>409.03522926417997</v>
      </c>
      <c r="DT19" s="59">
        <f ca="1">AVERAGE(OFFSET($DS$3,0,0,'Données projet'!$E$14+1,1))-AVERAGE(OFFSET($H$3,0,0,'Données projet'!$E$14+1,1))</f>
        <v>635.71275911100679</v>
      </c>
      <c r="DU19" s="59">
        <f t="shared" si="44"/>
        <v>281.7776857269169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4.0942857142857143</v>
      </c>
      <c r="EJ19" s="12">
        <f>IF('Données projet'!$A$192&gt;35,EJ18+EI19-ER18,IF(A19&lt;'Données projet'!$A$192,$EG$205^A19,IF(A19='Données projet'!$A$192,'Données projet'!$B$192,EJ18+EI19-ER18)))</f>
        <v>65.508571428571457</v>
      </c>
      <c r="EK19" s="17">
        <f>EJ19*VLOOKUP('Données projet'!$B$15,Paramètres!$A$1:$I$89,3,0)*VLOOKUP('Données projet'!$B$15,Paramètres!$A$1:$I$89,5,0)</f>
        <v>43.943149714285731</v>
      </c>
      <c r="EL19" s="13">
        <f t="shared" si="45"/>
        <v>13.037992108759138</v>
      </c>
      <c r="EM19" s="20">
        <f t="shared" si="19"/>
        <v>99.242155341803141</v>
      </c>
      <c r="EN19" s="59">
        <f t="shared" si="20"/>
        <v>375.46437756402537</v>
      </c>
      <c r="EO19" s="59">
        <f ca="1">AVERAGE(OFFSET($EN$3,0,0,'Données projet'!$E$15+1,1))-AVERAGE(OFFSET($H$3,0,0,'Données projet'!$E$15+1,1))</f>
        <v>482.99915419700773</v>
      </c>
      <c r="EP19" s="59">
        <f t="shared" si="46"/>
        <v>219.74157899604279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4.0942857142857143</v>
      </c>
      <c r="FE19" s="12">
        <f>IF('Données projet'!$A$218&gt;35,FE18+FD19-FM18,IF(A19&lt;'Données projet'!$A$218,$FB$205^A19,IF(A19='Données projet'!$A$218,'Données projet'!$B$218,FE18+FD19-FM18)))</f>
        <v>65.508571428571457</v>
      </c>
      <c r="FF19" s="17">
        <f>FE19*VLOOKUP('Données projet'!$B$16,Paramètres!$A$1:$I$89,3,0)*VLOOKUP('Données projet'!$B$16,Paramètres!$A$1:$I$89,5,0)</f>
        <v>62.337956571428599</v>
      </c>
      <c r="FG19" s="13">
        <f t="shared" si="47"/>
        <v>17.758056307144972</v>
      </c>
      <c r="FH19" s="20">
        <f t="shared" si="22"/>
        <v>139.50055576351562</v>
      </c>
      <c r="FI19" s="59">
        <f t="shared" si="23"/>
        <v>415.72277798573782</v>
      </c>
      <c r="FJ19" s="59">
        <f ca="1">AVERAGE(OFFSET($FI$3,0,0,'Données projet'!$E$16+1,1))-AVERAGE(OFFSET($H$3,0,0,'Données projet'!$E$16+1,1))</f>
        <v>666.1523645983184</v>
      </c>
      <c r="FK19" s="59">
        <f t="shared" si="48"/>
        <v>294.13851344047526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13.8</v>
      </c>
      <c r="N20" s="13">
        <f>IF('Données projet'!$A$36&gt;35,N19+M20-V19,IF(A20&lt;'Données projet'!$A$36,$K$205^A20,IF(A20='Données projet'!$A$36,'Données projet'!$B$36,N19+M20-V19)))</f>
        <v>60.599999999999994</v>
      </c>
      <c r="O20" s="13">
        <f>N20*VLOOKUP('Données projet'!$B$9,Paramètres!$A$1:$I$89,3,0)*VLOOKUP('Données projet'!$B$9,Paramètres!$A$1:$I$89,5,0)</f>
        <v>44.431919999999998</v>
      </c>
      <c r="P20" s="13">
        <f t="shared" si="33"/>
        <v>13.166048117528</v>
      </c>
      <c r="Q20" s="20">
        <f t="shared" si="2"/>
        <v>100.31646113802792</v>
      </c>
      <c r="R20" s="59">
        <f t="shared" si="0"/>
        <v>377.76090558247239</v>
      </c>
      <c r="S20" s="59">
        <f ca="1">AVERAGE(OFFSET($R$3,0,0,'Données projet'!$E$9+1,1))-AVERAGE(OFFSET($H$3,0,0,'Données projet'!$E$9+1,1))</f>
        <v>328.55631138162721</v>
      </c>
      <c r="T20" s="59">
        <f t="shared" si="34"/>
        <v>321.81422611044985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2.6274366371848177</v>
      </c>
      <c r="AB20" s="21">
        <f>EXP(-LN(2)/2)*AB19+(1-EXP(-LN(2)/2))/(LN(2)/2)*V20*Y20*VLOOKUP('Données projet'!$B$9,Paramètres!$A$1:$I$89,3,0)*0.475*44/12</f>
        <v>2.7671757351546828</v>
      </c>
      <c r="AC20" s="22">
        <f t="shared" si="3"/>
        <v>5.3946123723395001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13.8</v>
      </c>
      <c r="AI20" s="13">
        <f>IF('Données projet'!$A$62&gt;35,AI19+AH20-AQ19,IF(A20&lt;'Données projet'!$A$62,$AF$205^A20,IF(A20='Données projet'!$A$62,'Données projet'!$B$62,AI19+AH20-AQ19)))</f>
        <v>60.599999999999994</v>
      </c>
      <c r="AJ20" s="13">
        <f>AI20*VLOOKUP('Données projet'!$B$10,Paramètres!$A$1:$I$89,3,0)*VLOOKUP('Données projet'!$B$10,Paramètres!$A$1:$I$89,5,0)</f>
        <v>48.213360000000002</v>
      </c>
      <c r="AK20" s="13">
        <f t="shared" si="35"/>
        <v>14.151379520104694</v>
      </c>
      <c r="AL20" s="20">
        <f t="shared" si="4"/>
        <v>108.61858799751566</v>
      </c>
      <c r="AM20" s="59">
        <f t="shared" si="5"/>
        <v>386.0630324419601</v>
      </c>
      <c r="AN20" s="59">
        <f ca="1">AVERAGE(OFFSET($AM$3,0,0,'Données projet'!$E$10+1,1))-AVERAGE(OFFSET($H$3,0,0,'Données projet'!$E$10+1,1))</f>
        <v>353.37479213497227</v>
      </c>
      <c r="AO20" s="59">
        <f t="shared" si="36"/>
        <v>345.4750813433123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3.514082746318933</v>
      </c>
      <c r="AW20" s="21">
        <f>EXP(-LN(2)/2)*AW19+(1-EXP(-LN(2)/2))/(LN(2)/2)*AQ20*AT20*VLOOKUP('Données projet'!$B$10,Paramètres!$A$1:$I$89,3,0)*0.475*44/12</f>
        <v>3.0026800530401876</v>
      </c>
      <c r="AX20" s="21">
        <f t="shared" si="6"/>
        <v>6.5167627993591211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13.8</v>
      </c>
      <c r="BD20" s="12">
        <f>IF('Données projet'!$A$88&gt;35,BD19+BC20-BL19,IF(A20&lt;'Données projet'!$A$88,$BA$205^A20,IF(A20='Données projet'!$A$88,'Données projet'!$B$88,BD19+BC20-BL19)))</f>
        <v>60.599999999999994</v>
      </c>
      <c r="BE20" s="13">
        <f>BD20*VLOOKUP('Données projet'!$B$11,Paramètres!$A$1:$I$89,3,0)*VLOOKUP('Données projet'!$B$11,Paramètres!$A$1:$I$89,5,0)</f>
        <v>49.158719999999995</v>
      </c>
      <c r="BF20" s="13">
        <f t="shared" si="37"/>
        <v>14.396281334716242</v>
      </c>
      <c r="BG20" s="20">
        <f t="shared" si="7"/>
        <v>110.69162732463077</v>
      </c>
      <c r="BH20" s="59">
        <f t="shared" si="8"/>
        <v>388.13607176907522</v>
      </c>
      <c r="BI20" s="59">
        <f ca="1">AVERAGE(OFFSET($BH$3,0,0,'Données projet'!$E$11+1,1))-AVERAGE(OFFSET($H$3,0,0,'Données projet'!$E$11+1,1))</f>
        <v>359.57284550600366</v>
      </c>
      <c r="BJ20" s="59">
        <f t="shared" si="38"/>
        <v>351.38386928091433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3.5829863295800894</v>
      </c>
      <c r="BR20" s="21">
        <f>EXP(-LN(2)/2)*BR19+(1-EXP(-LN(2)/2))/(LN(2)/2)*BL20*BO20*VLOOKUP('Données projet'!$B$11,Paramètres!$A$1:$I$89,3,0)*0.475*44/12</f>
        <v>3.0615561325115643</v>
      </c>
      <c r="BS20" s="22">
        <f t="shared" si="9"/>
        <v>6.6445424620916533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2.8205128205128203</v>
      </c>
      <c r="BY20" s="12">
        <f>IF('Données projet'!$A$114&gt;35,BY19+BX20-CG19,IF(A20&lt;'Données projet'!$A$114,$BV$205^A20,IF(A20='Données projet'!$A$114,'Données projet'!$B$114,BY19+BX20-CG19)))</f>
        <v>26.153846153846153</v>
      </c>
      <c r="BZ20" s="13">
        <f>BY20*VLOOKUP('Données projet'!$B$12,Paramètres!$A$1:$I$89,3,0)*VLOOKUP('Données projet'!$B$12,Paramètres!$A$1:$I$89,5,0)</f>
        <v>21.216000000000001</v>
      </c>
      <c r="CA20" s="13">
        <f t="shared" si="39"/>
        <v>6.8515990331828363</v>
      </c>
      <c r="CB20" s="20">
        <f t="shared" si="10"/>
        <v>48.884401649460102</v>
      </c>
      <c r="CC20" s="59">
        <f t="shared" si="11"/>
        <v>326.32884609390453</v>
      </c>
      <c r="CD20" s="59">
        <f ca="1">AVERAGE(OFFSET($CC$3,0,0,'Données projet'!$E$12+1,1))-AVERAGE(OFFSET($H$3,0,0,'Données projet'!$E$12+1,1))</f>
        <v>159.4660488566085</v>
      </c>
      <c r="CE20" s="59">
        <f t="shared" si="40"/>
        <v>135.33030558297088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13.8</v>
      </c>
      <c r="CT20" s="12">
        <f>IF('Données projet'!$A$140&gt;35,CT19+CS20-DB19,IF(A20&lt;'Données projet'!$A$140,$CQ$205^A20,IF(A20='Données projet'!$A$140,'Données projet'!$B$140,CT19+CS20-DB19)))</f>
        <v>60.599999999999994</v>
      </c>
      <c r="CU20" s="17">
        <f>CT20*VLOOKUP('Données projet'!$B$13,Paramètres!$A$1:$I$89,3,0)*VLOOKUP('Données projet'!$B$13,Paramètres!$A$1:$I$89,5,0)</f>
        <v>48.213360000000002</v>
      </c>
      <c r="CV20" s="13">
        <f t="shared" si="41"/>
        <v>14.151379520104694</v>
      </c>
      <c r="CW20" s="20">
        <f t="shared" si="13"/>
        <v>108.61858799751566</v>
      </c>
      <c r="CX20" s="59">
        <f t="shared" si="14"/>
        <v>386.0630324419601</v>
      </c>
      <c r="CY20" s="59">
        <f ca="1">AVERAGE(OFFSET($CX$3,0,0,'Données projet'!$E$13+1,1))-AVERAGE(OFFSET($H$3,0,0,'Données projet'!$E$13+1,1))</f>
        <v>353.37479213497227</v>
      </c>
      <c r="CZ20" s="59">
        <f t="shared" si="42"/>
        <v>345.4750813433123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3.514082746318933</v>
      </c>
      <c r="DH20" s="21">
        <f>EXP(-LN(2)/2)*DH19+(1-EXP(-LN(2)/2))/(LN(2)/2)*DB20*DE20*VLOOKUP('Données projet'!$B$13,Paramètres!$A$1:$I$89,3,0)*0.475*44/12</f>
        <v>3.0026800530401876</v>
      </c>
      <c r="DI20" s="22">
        <f t="shared" si="15"/>
        <v>6.5167627993591211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4.0942857142857143</v>
      </c>
      <c r="DO20" s="12">
        <f>IF('Données projet'!$A$166&gt;35,DO19+DN20-DW19,IF(A20&lt;'Données projet'!$A$166,$DL$205^A20,IF(A20='Données projet'!$A$166,'Données projet'!$B$166,DO19+DN20-DW19)))</f>
        <v>69.602857142857175</v>
      </c>
      <c r="DP20" s="17">
        <f>DO20*VLOOKUP('Données projet'!$B$14,Paramètres!$A$1:$I$89,3,0)*VLOOKUP('Données projet'!$B$14,Paramètres!$A$1:$I$89,5,0)</f>
        <v>62.976665142857165</v>
      </c>
      <c r="DQ20" s="13">
        <f t="shared" si="43"/>
        <v>17.918729435240664</v>
      </c>
      <c r="DR20" s="20">
        <f t="shared" si="16"/>
        <v>140.89281222352039</v>
      </c>
      <c r="DS20" s="59">
        <f t="shared" si="17"/>
        <v>418.33725666796488</v>
      </c>
      <c r="DT20" s="59">
        <f ca="1">AVERAGE(OFFSET($DS$3,0,0,'Données projet'!$E$14+1,1))-AVERAGE(OFFSET($H$3,0,0,'Données projet'!$E$14+1,1))</f>
        <v>635.71275911100679</v>
      </c>
      <c r="DU20" s="59">
        <f t="shared" si="44"/>
        <v>281.7776857269169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4.0942857142857143</v>
      </c>
      <c r="EJ20" s="12">
        <f>IF('Données projet'!$A$192&gt;35,EJ19+EI20-ER19,IF(A20&lt;'Données projet'!$A$192,$EG$205^A20,IF(A20='Données projet'!$A$192,'Données projet'!$B$192,EJ19+EI20-ER19)))</f>
        <v>69.602857142857175</v>
      </c>
      <c r="EK20" s="17">
        <f>EJ20*VLOOKUP('Données projet'!$B$15,Paramètres!$A$1:$I$89,3,0)*VLOOKUP('Données projet'!$B$15,Paramètres!$A$1:$I$89,5,0)</f>
        <v>46.689596571428595</v>
      </c>
      <c r="EL20" s="13">
        <f t="shared" si="45"/>
        <v>13.75545511527041</v>
      </c>
      <c r="EM20" s="20">
        <f t="shared" si="19"/>
        <v>105.27513168766744</v>
      </c>
      <c r="EN20" s="59">
        <f t="shared" si="20"/>
        <v>382.71957613211191</v>
      </c>
      <c r="EO20" s="59">
        <f ca="1">AVERAGE(OFFSET($EN$3,0,0,'Données projet'!$E$15+1,1))-AVERAGE(OFFSET($H$3,0,0,'Données projet'!$E$15+1,1))</f>
        <v>482.99915419700773</v>
      </c>
      <c r="EP20" s="59">
        <f t="shared" si="46"/>
        <v>219.74157899604279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4.0942857142857143</v>
      </c>
      <c r="FE20" s="12">
        <f>IF('Données projet'!$A$218&gt;35,FE19+FD20-FM19,IF(A20&lt;'Données projet'!$A$218,$FB$205^A20,IF(A20='Données projet'!$A$218,'Données projet'!$B$218,FE19+FD20-FM19)))</f>
        <v>69.602857142857175</v>
      </c>
      <c r="FF20" s="17">
        <f>FE20*VLOOKUP('Données projet'!$B$16,Paramètres!$A$1:$I$89,3,0)*VLOOKUP('Données projet'!$B$16,Paramètres!$A$1:$I$89,5,0)</f>
        <v>66.23407885714289</v>
      </c>
      <c r="FG20" s="13">
        <f t="shared" si="47"/>
        <v>18.735258038948551</v>
      </c>
      <c r="FH20" s="20">
        <f t="shared" si="22"/>
        <v>147.98826176069258</v>
      </c>
      <c r="FI20" s="59">
        <f t="shared" si="23"/>
        <v>425.43270620513704</v>
      </c>
      <c r="FJ20" s="59">
        <f ca="1">AVERAGE(OFFSET($FI$3,0,0,'Données projet'!$E$16+1,1))-AVERAGE(OFFSET($H$3,0,0,'Données projet'!$E$16+1,1))</f>
        <v>666.1523645983184</v>
      </c>
      <c r="FK20" s="59">
        <f t="shared" si="48"/>
        <v>294.13851344047526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13.8</v>
      </c>
      <c r="N21" s="13">
        <f>IF('Données projet'!$A$36&gt;35,N20+M21-V20,IF(A21&lt;'Données projet'!$A$36,$K$205^A21,IF(A21='Données projet'!$A$36,'Données projet'!$B$36,N20+M21-V20)))</f>
        <v>74.399999999999991</v>
      </c>
      <c r="O21" s="13">
        <f>N21*VLOOKUP('Données projet'!$B$9,Paramètres!$A$1:$I$89,3,0)*VLOOKUP('Données projet'!$B$9,Paramètres!$A$1:$I$89,5,0)</f>
        <v>54.550079999999994</v>
      </c>
      <c r="P21" s="13">
        <f t="shared" si="33"/>
        <v>15.782815260920117</v>
      </c>
      <c r="Q21" s="20">
        <f t="shared" si="2"/>
        <v>122.49645924610253</v>
      </c>
      <c r="R21" s="59">
        <f t="shared" si="0"/>
        <v>401.1631259127692</v>
      </c>
      <c r="S21" s="59">
        <f ca="1">AVERAGE(OFFSET($R$3,0,0,'Données projet'!$E$9+1,1))-AVERAGE(OFFSET($H$3,0,0,'Données projet'!$E$9+1,1))</f>
        <v>328.55631138162721</v>
      </c>
      <c r="T21" s="59">
        <f t="shared" si="34"/>
        <v>321.81422611044985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2.5555892441701111</v>
      </c>
      <c r="AB21" s="21">
        <f>EXP(-LN(2)/2)*AB20+(1-EXP(-LN(2)/2))/(LN(2)/2)*V21*Y21*VLOOKUP('Données projet'!$B$9,Paramètres!$A$1:$I$89,3,0)*0.475*44/12</f>
        <v>1.9566887270627462</v>
      </c>
      <c r="AC21" s="22">
        <f t="shared" si="3"/>
        <v>4.5122779712328569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13.8</v>
      </c>
      <c r="AI21" s="13">
        <f>IF('Données projet'!$A$62&gt;35,AI20+AH21-AQ20,IF(A21&lt;'Données projet'!$A$62,$AF$205^A21,IF(A21='Données projet'!$A$62,'Données projet'!$B$62,AI20+AH21-AQ20)))</f>
        <v>74.399999999999991</v>
      </c>
      <c r="AJ21" s="13">
        <f>AI21*VLOOKUP('Données projet'!$B$10,Paramètres!$A$1:$I$89,3,0)*VLOOKUP('Données projet'!$B$10,Paramètres!$A$1:$I$89,5,0)</f>
        <v>59.192639999999997</v>
      </c>
      <c r="AK21" s="13">
        <f t="shared" si="35"/>
        <v>16.963982408330725</v>
      </c>
      <c r="AL21" s="20">
        <f t="shared" si="4"/>
        <v>132.63945069450935</v>
      </c>
      <c r="AM21" s="59">
        <f t="shared" si="5"/>
        <v>411.30611736117601</v>
      </c>
      <c r="AN21" s="59">
        <f ca="1">AVERAGE(OFFSET($AM$3,0,0,'Données projet'!$E$10+1,1))-AVERAGE(OFFSET($H$3,0,0,'Données projet'!$E$10+1,1))</f>
        <v>353.37479213497227</v>
      </c>
      <c r="AO21" s="59">
        <f t="shared" si="36"/>
        <v>345.4750813433123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3.4179899688232616</v>
      </c>
      <c r="AW21" s="21">
        <f>EXP(-LN(2)/2)*AW20+(1-EXP(-LN(2)/2))/(LN(2)/2)*AQ21*AT21*VLOOKUP('Données projet'!$B$10,Paramètres!$A$1:$I$89,3,0)*0.475*44/12</f>
        <v>2.123215427238299</v>
      </c>
      <c r="AX21" s="21">
        <f t="shared" si="6"/>
        <v>5.5412053960615602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13.8</v>
      </c>
      <c r="BD21" s="12">
        <f>IF('Données projet'!$A$88&gt;35,BD20+BC21-BL20,IF(A21&lt;'Données projet'!$A$88,$BA$205^A21,IF(A21='Données projet'!$A$88,'Données projet'!$B$88,BD20+BC21-BL20)))</f>
        <v>74.399999999999991</v>
      </c>
      <c r="BE21" s="13">
        <f>BD21*VLOOKUP('Données projet'!$B$11,Paramètres!$A$1:$I$89,3,0)*VLOOKUP('Données projet'!$B$11,Paramètres!$A$1:$I$89,5,0)</f>
        <v>60.353279999999998</v>
      </c>
      <c r="BF21" s="13">
        <f t="shared" si="37"/>
        <v>17.257558739100197</v>
      </c>
      <c r="BG21" s="20">
        <f t="shared" si="7"/>
        <v>135.17221080393281</v>
      </c>
      <c r="BH21" s="59">
        <f t="shared" si="8"/>
        <v>413.83887747059953</v>
      </c>
      <c r="BI21" s="59">
        <f ca="1">AVERAGE(OFFSET($BH$3,0,0,'Données projet'!$E$11+1,1))-AVERAGE(OFFSET($H$3,0,0,'Données projet'!$E$11+1,1))</f>
        <v>359.57284550600366</v>
      </c>
      <c r="BJ21" s="59">
        <f t="shared" si="38"/>
        <v>351.38386928091433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3.4850093799766597</v>
      </c>
      <c r="BR21" s="21">
        <f>EXP(-LN(2)/2)*BR20+(1-EXP(-LN(2)/2))/(LN(2)/2)*BL21*BO21*VLOOKUP('Données projet'!$B$11,Paramètres!$A$1:$I$89,3,0)*0.475*44/12</f>
        <v>2.1648471022821876</v>
      </c>
      <c r="BS21" s="22">
        <f t="shared" si="9"/>
        <v>5.6498564822588477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2.8205128205128203</v>
      </c>
      <c r="BY21" s="12">
        <f>IF('Données projet'!$A$114&gt;35,BY20+BX21-CG20,IF(A21&lt;'Données projet'!$A$114,$BV$205^A21,IF(A21='Données projet'!$A$114,'Données projet'!$B$114,BY20+BX21-CG20)))</f>
        <v>28.974358974358974</v>
      </c>
      <c r="BZ21" s="13">
        <f>BY21*VLOOKUP('Données projet'!$B$12,Paramètres!$A$1:$I$89,3,0)*VLOOKUP('Données projet'!$B$12,Paramètres!$A$1:$I$89,5,0)</f>
        <v>23.504000000000001</v>
      </c>
      <c r="CA21" s="13">
        <f t="shared" si="39"/>
        <v>7.5005470608564417</v>
      </c>
      <c r="CB21" s="20">
        <f t="shared" si="10"/>
        <v>53.999586130991638</v>
      </c>
      <c r="CC21" s="59">
        <f t="shared" si="11"/>
        <v>332.66625279765833</v>
      </c>
      <c r="CD21" s="59">
        <f ca="1">AVERAGE(OFFSET($CC$3,0,0,'Données projet'!$E$12+1,1))-AVERAGE(OFFSET($H$3,0,0,'Données projet'!$E$12+1,1))</f>
        <v>159.4660488566085</v>
      </c>
      <c r="CE21" s="59">
        <f t="shared" si="40"/>
        <v>135.33030558297088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13.8</v>
      </c>
      <c r="CT21" s="12">
        <f>IF('Données projet'!$A$140&gt;35,CT20+CS21-DB20,IF(A21&lt;'Données projet'!$A$140,$CQ$205^A21,IF(A21='Données projet'!$A$140,'Données projet'!$B$140,CT20+CS21-DB20)))</f>
        <v>74.399999999999991</v>
      </c>
      <c r="CU21" s="17">
        <f>CT21*VLOOKUP('Données projet'!$B$13,Paramètres!$A$1:$I$89,3,0)*VLOOKUP('Données projet'!$B$13,Paramètres!$A$1:$I$89,5,0)</f>
        <v>59.192639999999997</v>
      </c>
      <c r="CV21" s="13">
        <f t="shared" si="41"/>
        <v>16.963982408330725</v>
      </c>
      <c r="CW21" s="20">
        <f t="shared" si="13"/>
        <v>132.63945069450935</v>
      </c>
      <c r="CX21" s="59">
        <f t="shared" si="14"/>
        <v>411.30611736117601</v>
      </c>
      <c r="CY21" s="59">
        <f ca="1">AVERAGE(OFFSET($CX$3,0,0,'Données projet'!$E$13+1,1))-AVERAGE(OFFSET($H$3,0,0,'Données projet'!$E$13+1,1))</f>
        <v>353.37479213497227</v>
      </c>
      <c r="CZ21" s="59">
        <f t="shared" si="42"/>
        <v>345.4750813433123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3.4179899688232616</v>
      </c>
      <c r="DH21" s="21">
        <f>EXP(-LN(2)/2)*DH20+(1-EXP(-LN(2)/2))/(LN(2)/2)*DB21*DE21*VLOOKUP('Données projet'!$B$13,Paramètres!$A$1:$I$89,3,0)*0.475*44/12</f>
        <v>2.123215427238299</v>
      </c>
      <c r="DI21" s="22">
        <f t="shared" si="15"/>
        <v>5.5412053960615602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4.0942857142857143</v>
      </c>
      <c r="DO21" s="12">
        <f>IF('Données projet'!$A$166&gt;35,DO20+DN21-DW20,IF(A21&lt;'Données projet'!$A$166,$DL$205^A21,IF(A21='Données projet'!$A$166,'Données projet'!$B$166,DO20+DN21-DW20)))</f>
        <v>73.697142857142893</v>
      </c>
      <c r="DP21" s="17">
        <f>DO21*VLOOKUP('Données projet'!$B$14,Paramètres!$A$1:$I$89,3,0)*VLOOKUP('Données projet'!$B$14,Paramètres!$A$1:$I$89,5,0)</f>
        <v>66.681174857142892</v>
      </c>
      <c r="DQ21" s="13">
        <f t="shared" si="43"/>
        <v>18.846960938055496</v>
      </c>
      <c r="DR21" s="20">
        <f t="shared" si="16"/>
        <v>148.96150317663719</v>
      </c>
      <c r="DS21" s="59">
        <f t="shared" si="17"/>
        <v>427.62816984330391</v>
      </c>
      <c r="DT21" s="59">
        <f ca="1">AVERAGE(OFFSET($DS$3,0,0,'Données projet'!$E$14+1,1))-AVERAGE(OFFSET($H$3,0,0,'Données projet'!$E$14+1,1))</f>
        <v>635.71275911100679</v>
      </c>
      <c r="DU21" s="59">
        <f t="shared" si="44"/>
        <v>281.7776857269169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4.0942857142857143</v>
      </c>
      <c r="EJ21" s="12">
        <f>IF('Données projet'!$A$192&gt;35,EJ20+EI21-ER20,IF(A21&lt;'Données projet'!$A$192,$EG$205^A21,IF(A21='Données projet'!$A$192,'Données projet'!$B$192,EJ20+EI21-ER20)))</f>
        <v>73.697142857142893</v>
      </c>
      <c r="EK21" s="17">
        <f>EJ21*VLOOKUP('Données projet'!$B$15,Paramètres!$A$1:$I$89,3,0)*VLOOKUP('Données projet'!$B$15,Paramètres!$A$1:$I$89,5,0)</f>
        <v>49.436043428571452</v>
      </c>
      <c r="EL21" s="13">
        <f t="shared" si="45"/>
        <v>14.468019408385866</v>
      </c>
      <c r="EM21" s="20">
        <f t="shared" si="19"/>
        <v>111.29957610770066</v>
      </c>
      <c r="EN21" s="59">
        <f t="shared" si="20"/>
        <v>389.96624277436734</v>
      </c>
      <c r="EO21" s="59">
        <f ca="1">AVERAGE(OFFSET($EN$3,0,0,'Données projet'!$E$15+1,1))-AVERAGE(OFFSET($H$3,0,0,'Données projet'!$E$15+1,1))</f>
        <v>482.99915419700773</v>
      </c>
      <c r="EP21" s="59">
        <f t="shared" si="46"/>
        <v>219.74157899604279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4.0942857142857143</v>
      </c>
      <c r="FE21" s="12">
        <f>IF('Données projet'!$A$218&gt;35,FE20+FD21-FM20,IF(A21&lt;'Données projet'!$A$218,$FB$205^A21,IF(A21='Données projet'!$A$218,'Données projet'!$B$218,FE20+FD21-FM20)))</f>
        <v>73.697142857142893</v>
      </c>
      <c r="FF21" s="17">
        <f>FE21*VLOOKUP('Données projet'!$B$16,Paramètres!$A$1:$I$89,3,0)*VLOOKUP('Données projet'!$B$16,Paramètres!$A$1:$I$89,5,0)</f>
        <v>70.130201142857175</v>
      </c>
      <c r="FG21" s="13">
        <f t="shared" si="47"/>
        <v>19.705787606235543</v>
      </c>
      <c r="FH21" s="20">
        <f t="shared" si="22"/>
        <v>156.46434707133648</v>
      </c>
      <c r="FI21" s="59">
        <f t="shared" si="23"/>
        <v>435.13101373800316</v>
      </c>
      <c r="FJ21" s="59">
        <f ca="1">AVERAGE(OFFSET($FI$3,0,0,'Données projet'!$E$16+1,1))-AVERAGE(OFFSET($H$3,0,0,'Données projet'!$E$16+1,1))</f>
        <v>666.1523645983184</v>
      </c>
      <c r="FK21" s="59">
        <f t="shared" si="48"/>
        <v>294.13851344047526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13.8</v>
      </c>
      <c r="N22" s="13">
        <f>IF('Données projet'!$A$36&gt;35,N21+M22-V21,IF(A22&lt;'Données projet'!$A$36,$K$205^A22,IF(A22='Données projet'!$A$36,'Données projet'!$B$36,N21+M22-V21)))</f>
        <v>88.199999999999989</v>
      </c>
      <c r="O22" s="13">
        <f>N22*VLOOKUP('Données projet'!$B$9,Paramètres!$A$1:$I$89,3,0)*VLOOKUP('Données projet'!$B$9,Paramètres!$A$1:$I$89,5,0)</f>
        <v>64.668239999999997</v>
      </c>
      <c r="P22" s="13">
        <f t="shared" si="33"/>
        <v>18.34335069187722</v>
      </c>
      <c r="Q22" s="20">
        <f t="shared" si="2"/>
        <v>144.57852045501949</v>
      </c>
      <c r="R22" s="59">
        <f t="shared" si="0"/>
        <v>424.46740934390834</v>
      </c>
      <c r="S22" s="59">
        <f ca="1">AVERAGE(OFFSET($R$3,0,0,'Données projet'!$E$9+1,1))-AVERAGE(OFFSET($H$3,0,0,'Données projet'!$E$9+1,1))</f>
        <v>328.55631138162721</v>
      </c>
      <c r="T22" s="59">
        <f t="shared" si="34"/>
        <v>321.81422611044985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2.4857065218956818</v>
      </c>
      <c r="AB22" s="21">
        <f>EXP(-LN(2)/2)*AB21+(1-EXP(-LN(2)/2))/(LN(2)/2)*V22*Y22*VLOOKUP('Données projet'!$B$9,Paramètres!$A$1:$I$89,3,0)*0.475*44/12</f>
        <v>1.3835878675773416</v>
      </c>
      <c r="AC22" s="22">
        <f t="shared" si="3"/>
        <v>3.8692943894730236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13.8</v>
      </c>
      <c r="AI22" s="13">
        <f>IF('Données projet'!$A$62&gt;35,AI21+AH22-AQ21,IF(A22&lt;'Données projet'!$A$62,$AF$205^A22,IF(A22='Données projet'!$A$62,'Données projet'!$B$62,AI21+AH22-AQ21)))</f>
        <v>88.199999999999989</v>
      </c>
      <c r="AJ22" s="13">
        <f>AI22*VLOOKUP('Données projet'!$B$10,Paramètres!$A$1:$I$89,3,0)*VLOOKUP('Données projet'!$B$10,Paramètres!$A$1:$I$89,5,0)</f>
        <v>70.171919999999986</v>
      </c>
      <c r="AK22" s="13">
        <f t="shared" si="35"/>
        <v>19.716145269554726</v>
      </c>
      <c r="AL22" s="20">
        <f t="shared" si="4"/>
        <v>156.55504701114111</v>
      </c>
      <c r="AM22" s="59">
        <f t="shared" si="5"/>
        <v>436.44393590002994</v>
      </c>
      <c r="AN22" s="59">
        <f ca="1">AVERAGE(OFFSET($AM$3,0,0,'Données projet'!$E$10+1,1))-AVERAGE(OFFSET($H$3,0,0,'Données projet'!$E$10+1,1))</f>
        <v>353.37479213497227</v>
      </c>
      <c r="AO22" s="59">
        <f t="shared" si="36"/>
        <v>345.4750813433123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3.3245248533815088</v>
      </c>
      <c r="AW22" s="21">
        <f>EXP(-LN(2)/2)*AW21+(1-EXP(-LN(2)/2))/(LN(2)/2)*AQ22*AT22*VLOOKUP('Données projet'!$B$10,Paramètres!$A$1:$I$89,3,0)*0.475*44/12</f>
        <v>1.501340026520094</v>
      </c>
      <c r="AX22" s="21">
        <f t="shared" si="6"/>
        <v>4.8258648799016033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13.8</v>
      </c>
      <c r="BD22" s="12">
        <f>IF('Données projet'!$A$88&gt;35,BD21+BC22-BL21,IF(A22&lt;'Données projet'!$A$88,$BA$205^A22,IF(A22='Données projet'!$A$88,'Données projet'!$B$88,BD21+BC22-BL21)))</f>
        <v>88.199999999999989</v>
      </c>
      <c r="BE22" s="13">
        <f>BD22*VLOOKUP('Données projet'!$B$11,Paramètres!$A$1:$I$89,3,0)*VLOOKUP('Données projet'!$B$11,Paramètres!$A$1:$I$89,5,0)</f>
        <v>71.547839999999994</v>
      </c>
      <c r="BF22" s="13">
        <f t="shared" si="37"/>
        <v>20.05735014974319</v>
      </c>
      <c r="BG22" s="20">
        <f t="shared" si="7"/>
        <v>159.54570617746938</v>
      </c>
      <c r="BH22" s="59">
        <f t="shared" si="8"/>
        <v>439.43459506635827</v>
      </c>
      <c r="BI22" s="59">
        <f ca="1">AVERAGE(OFFSET($BH$3,0,0,'Données projet'!$E$11+1,1))-AVERAGE(OFFSET($H$3,0,0,'Données projet'!$E$11+1,1))</f>
        <v>359.57284550600366</v>
      </c>
      <c r="BJ22" s="59">
        <f t="shared" si="38"/>
        <v>351.38386928091433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3.3897116152125197</v>
      </c>
      <c r="BR22" s="21">
        <f>EXP(-LN(2)/2)*BR21+(1-EXP(-LN(2)/2))/(LN(2)/2)*BL22*BO22*VLOOKUP('Données projet'!$B$11,Paramètres!$A$1:$I$89,3,0)*0.475*44/12</f>
        <v>1.5307780662557824</v>
      </c>
      <c r="BS22" s="22">
        <f t="shared" si="9"/>
        <v>4.9204896814683021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2.8205128205128203</v>
      </c>
      <c r="BY22" s="12">
        <f>IF('Données projet'!$A$114&gt;35,BY21+BX22-CG21,IF(A22&lt;'Données projet'!$A$114,$BV$205^A22,IF(A22='Données projet'!$A$114,'Données projet'!$B$114,BY21+BX22-CG21)))</f>
        <v>31.794871794871796</v>
      </c>
      <c r="BZ22" s="13">
        <f>BY22*VLOOKUP('Données projet'!$B$12,Paramètres!$A$1:$I$89,3,0)*VLOOKUP('Données projet'!$B$12,Paramètres!$A$1:$I$89,5,0)</f>
        <v>25.792000000000005</v>
      </c>
      <c r="CA22" s="13">
        <f t="shared" si="39"/>
        <v>8.1421711792342339</v>
      </c>
      <c r="CB22" s="20">
        <f t="shared" si="10"/>
        <v>59.102014803832958</v>
      </c>
      <c r="CC22" s="59">
        <f t="shared" si="11"/>
        <v>338.99090369272182</v>
      </c>
      <c r="CD22" s="59">
        <f ca="1">AVERAGE(OFFSET($CC$3,0,0,'Données projet'!$E$12+1,1))-AVERAGE(OFFSET($H$3,0,0,'Données projet'!$E$12+1,1))</f>
        <v>159.4660488566085</v>
      </c>
      <c r="CE22" s="59">
        <f t="shared" si="40"/>
        <v>135.33030558297088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13.8</v>
      </c>
      <c r="CT22" s="12">
        <f>IF('Données projet'!$A$140&gt;35,CT21+CS22-DB21,IF(A22&lt;'Données projet'!$A$140,$CQ$205^A22,IF(A22='Données projet'!$A$140,'Données projet'!$B$140,CT21+CS22-DB21)))</f>
        <v>88.199999999999989</v>
      </c>
      <c r="CU22" s="17">
        <f>CT22*VLOOKUP('Données projet'!$B$13,Paramètres!$A$1:$I$89,3,0)*VLOOKUP('Données projet'!$B$13,Paramètres!$A$1:$I$89,5,0)</f>
        <v>70.171919999999986</v>
      </c>
      <c r="CV22" s="13">
        <f t="shared" si="41"/>
        <v>19.716145269554726</v>
      </c>
      <c r="CW22" s="20">
        <f t="shared" si="13"/>
        <v>156.55504701114111</v>
      </c>
      <c r="CX22" s="59">
        <f t="shared" si="14"/>
        <v>436.44393590002994</v>
      </c>
      <c r="CY22" s="59">
        <f ca="1">AVERAGE(OFFSET($CX$3,0,0,'Données projet'!$E$13+1,1))-AVERAGE(OFFSET($H$3,0,0,'Données projet'!$E$13+1,1))</f>
        <v>353.37479213497227</v>
      </c>
      <c r="CZ22" s="59">
        <f t="shared" si="42"/>
        <v>345.4750813433123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3.3245248533815088</v>
      </c>
      <c r="DH22" s="21">
        <f>EXP(-LN(2)/2)*DH21+(1-EXP(-LN(2)/2))/(LN(2)/2)*DB22*DE22*VLOOKUP('Données projet'!$B$13,Paramètres!$A$1:$I$89,3,0)*0.475*44/12</f>
        <v>1.501340026520094</v>
      </c>
      <c r="DI22" s="22">
        <f t="shared" si="15"/>
        <v>4.8258648799016033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4.0942857142857143</v>
      </c>
      <c r="DO22" s="12">
        <f>IF('Données projet'!$A$166&gt;35,DO21+DN22-DW21,IF(A22&lt;'Données projet'!$A$166,$DL$205^A22,IF(A22='Données projet'!$A$166,'Données projet'!$B$166,DO21+DN22-DW21)))</f>
        <v>77.791428571428611</v>
      </c>
      <c r="DP22" s="17">
        <f>DO22*VLOOKUP('Données projet'!$B$14,Paramètres!$A$1:$I$89,3,0)*VLOOKUP('Données projet'!$B$14,Paramètres!$A$1:$I$89,5,0)</f>
        <v>70.385684571428612</v>
      </c>
      <c r="DQ22" s="13">
        <f t="shared" si="43"/>
        <v>19.769205993092573</v>
      </c>
      <c r="DR22" s="20">
        <f t="shared" si="16"/>
        <v>157.01976773320771</v>
      </c>
      <c r="DS22" s="59">
        <f t="shared" si="17"/>
        <v>436.9086566220966</v>
      </c>
      <c r="DT22" s="59">
        <f ca="1">AVERAGE(OFFSET($DS$3,0,0,'Données projet'!$E$14+1,1))-AVERAGE(OFFSET($H$3,0,0,'Données projet'!$E$14+1,1))</f>
        <v>635.71275911100679</v>
      </c>
      <c r="DU22" s="59">
        <f t="shared" si="44"/>
        <v>281.7776857269169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4.0942857142857143</v>
      </c>
      <c r="EJ22" s="12">
        <f>IF('Données projet'!$A$192&gt;35,EJ21+EI22-ER21,IF(A22&lt;'Données projet'!$A$192,$EG$205^A22,IF(A22='Données projet'!$A$192,'Données projet'!$B$192,EJ21+EI22-ER21)))</f>
        <v>77.791428571428611</v>
      </c>
      <c r="EK22" s="17">
        <f>EJ22*VLOOKUP('Données projet'!$B$15,Paramètres!$A$1:$I$89,3,0)*VLOOKUP('Données projet'!$B$15,Paramètres!$A$1:$I$89,5,0)</f>
        <v>52.182490285714309</v>
      </c>
      <c r="EL22" s="13">
        <f t="shared" si="45"/>
        <v>15.175988157268993</v>
      </c>
      <c r="EM22" s="20">
        <f t="shared" si="19"/>
        <v>117.31601662152924</v>
      </c>
      <c r="EN22" s="59">
        <f t="shared" si="20"/>
        <v>397.20490551041809</v>
      </c>
      <c r="EO22" s="59">
        <f ca="1">AVERAGE(OFFSET($EN$3,0,0,'Données projet'!$E$15+1,1))-AVERAGE(OFFSET($H$3,0,0,'Données projet'!$E$15+1,1))</f>
        <v>482.99915419700773</v>
      </c>
      <c r="EP22" s="59">
        <f t="shared" si="46"/>
        <v>219.74157899604279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4.0942857142857143</v>
      </c>
      <c r="FE22" s="12">
        <f>IF('Données projet'!$A$218&gt;35,FE21+FD22-FM21,IF(A22&lt;'Données projet'!$A$218,$FB$205^A22,IF(A22='Données projet'!$A$218,'Données projet'!$B$218,FE21+FD22-FM21)))</f>
        <v>77.791428571428611</v>
      </c>
      <c r="FF22" s="17">
        <f>FE22*VLOOKUP('Données projet'!$B$16,Paramètres!$A$1:$I$89,3,0)*VLOOKUP('Données projet'!$B$16,Paramètres!$A$1:$I$89,5,0)</f>
        <v>74.026323428571473</v>
      </c>
      <c r="FG22" s="13">
        <f t="shared" si="47"/>
        <v>20.670057932639512</v>
      </c>
      <c r="FH22" s="20">
        <f t="shared" si="22"/>
        <v>164.92953087077578</v>
      </c>
      <c r="FI22" s="59">
        <f t="shared" si="23"/>
        <v>444.81841975966461</v>
      </c>
      <c r="FJ22" s="59">
        <f ca="1">AVERAGE(OFFSET($FI$3,0,0,'Données projet'!$E$16+1,1))-AVERAGE(OFFSET($H$3,0,0,'Données projet'!$E$16+1,1))</f>
        <v>666.1523645983184</v>
      </c>
      <c r="FK22" s="59">
        <f t="shared" si="48"/>
        <v>294.13851344047526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102</v>
      </c>
      <c r="L23" s="12">
        <f>VLOOKUP(A23,'Données projet'!$A$35:$I$55,9,0)</f>
        <v>13.8</v>
      </c>
      <c r="M23" s="12">
        <f t="array" ref="M23">INDEX(L:L,MIN(IF(ISNUMBER(L23:L219),ROW(L23:L219),"")))</f>
        <v>13.8</v>
      </c>
      <c r="N23" s="13">
        <f>IF('Données projet'!$A$36&gt;35,N22+M23-V22,IF(A23&lt;'Données projet'!$A$36,$K$205^A23,IF(A23='Données projet'!$A$36,'Données projet'!$B$36,N22+M23-V22)))</f>
        <v>101.99999999999999</v>
      </c>
      <c r="O23" s="13">
        <f>N23*VLOOKUP('Données projet'!$B$9,Paramètres!$A$1:$I$89,3,0)*VLOOKUP('Données projet'!$B$9,Paramètres!$A$1:$I$89,5,0)</f>
        <v>74.786399999999986</v>
      </c>
      <c r="P23" s="13">
        <f t="shared" si="33"/>
        <v>20.857475351088951</v>
      </c>
      <c r="Q23" s="20">
        <f t="shared" si="2"/>
        <v>166.57974956981323</v>
      </c>
      <c r="R23" s="59">
        <f t="shared" si="0"/>
        <v>447.6908606809244</v>
      </c>
      <c r="S23" s="59">
        <f ca="1">AVERAGE(OFFSET($R$3,0,0,'Données projet'!$E$9+1,1))-AVERAGE(OFFSET($H$3,0,0,'Données projet'!$E$9+1,1))</f>
        <v>328.55631138162721</v>
      </c>
      <c r="T23" s="59">
        <f t="shared" si="34"/>
        <v>321.81422611044985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35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0.1075</v>
      </c>
      <c r="Y23" s="16">
        <f>IF(ISNA(VLOOKUP(A23,'Données projet'!$A$35:$I$55,7,0)),0%,VLOOKUP(A23,'Données projet'!$A$35:$I$55,7,0))</f>
        <v>0.25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5.4553496653296243</v>
      </c>
      <c r="AB23" s="21">
        <f>EXP(-LN(2)/2)*AB22+(1-EXP(-LN(2)/2))/(LN(2)/2)*V23*Y23*VLOOKUP('Données projet'!$B$9,Paramètres!$A$1:$I$89,3,0)*0.475*44/12</f>
        <v>7.0315412841822411</v>
      </c>
      <c r="AC23" s="22">
        <f t="shared" si="3"/>
        <v>12.486890949511865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102</v>
      </c>
      <c r="AG23" s="12">
        <f>VLOOKUP(A23,'Données projet'!$A$61:$I$81,9,0)</f>
        <v>13.8</v>
      </c>
      <c r="AH23" s="12">
        <f t="array" ref="AH23">INDEX(AG:AG,MIN(IF(ISNUMBER(AG23:AG219),ROW(AG23:AG219),"")))</f>
        <v>13.8</v>
      </c>
      <c r="AI23" s="13">
        <f>IF('Données projet'!$A$62&gt;35,AI22+AH23-AQ22,IF(A23&lt;'Données projet'!$A$62,$AF$205^A23,IF(A23='Données projet'!$A$62,'Données projet'!$B$62,AI22+AH23-AQ22)))</f>
        <v>101.99999999999999</v>
      </c>
      <c r="AJ23" s="13">
        <f>AI23*VLOOKUP('Données projet'!$B$10,Paramètres!$A$1:$I$89,3,0)*VLOOKUP('Données projet'!$B$10,Paramètres!$A$1:$I$89,5,0)</f>
        <v>81.151200000000003</v>
      </c>
      <c r="AK23" s="13">
        <f t="shared" si="35"/>
        <v>22.418424032002342</v>
      </c>
      <c r="AL23" s="20">
        <f t="shared" si="4"/>
        <v>180.38376185573739</v>
      </c>
      <c r="AM23" s="59">
        <f t="shared" si="5"/>
        <v>461.49487296684856</v>
      </c>
      <c r="AN23" s="59">
        <f ca="1">AVERAGE(OFFSET($AM$3,0,0,'Données projet'!$E$10+1,1))-AVERAGE(OFFSET($H$3,0,0,'Données projet'!$E$10+1,1))</f>
        <v>353.37479213497227</v>
      </c>
      <c r="AO23" s="59">
        <f t="shared" si="36"/>
        <v>345.4750813433123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35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0.13250000000000001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7.2962939858416513</v>
      </c>
      <c r="AW23" s="21">
        <f>EXP(-LN(2)/2)*AW22+(1-EXP(-LN(2)/2))/(LN(2)/2)*AQ23*AT23*VLOOKUP('Données projet'!$B$10,Paramètres!$A$1:$I$89,3,0)*0.475*44/12</f>
        <v>7.6299703296445607</v>
      </c>
      <c r="AX23" s="21">
        <f t="shared" si="6"/>
        <v>14.926264315486211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102</v>
      </c>
      <c r="BB23" s="12">
        <f>VLOOKUP(A23,'Données projet'!$A$87:$I$107,9,0)</f>
        <v>13.8</v>
      </c>
      <c r="BC23" s="12">
        <f t="array" ref="BC23">INDEX(BB:BB,MIN(IF(ISNUMBER(BB23:BB219),ROW(BB23:BB219),"")))</f>
        <v>13.8</v>
      </c>
      <c r="BD23" s="12">
        <f>IF('Données projet'!$A$88&gt;35,BD22+BC23-BL22,IF(A23&lt;'Données projet'!$A$88,$BA$205^A23,IF(A23='Données projet'!$A$88,'Données projet'!$B$88,BD22+BC23-BL22)))</f>
        <v>101.99999999999999</v>
      </c>
      <c r="BE23" s="13">
        <f>BD23*VLOOKUP('Données projet'!$B$11,Paramètres!$A$1:$I$89,3,0)*VLOOKUP('Données projet'!$B$11,Paramètres!$A$1:$I$89,5,0)</f>
        <v>82.742399999999989</v>
      </c>
      <c r="BF23" s="13">
        <f t="shared" si="37"/>
        <v>22.806394174303204</v>
      </c>
      <c r="BG23" s="20">
        <f t="shared" si="7"/>
        <v>183.83081652024472</v>
      </c>
      <c r="BH23" s="59">
        <f t="shared" si="8"/>
        <v>464.94192763135584</v>
      </c>
      <c r="BI23" s="59">
        <f ca="1">AVERAGE(OFFSET($BH$3,0,0,'Données projet'!$E$11+1,1))-AVERAGE(OFFSET($H$3,0,0,'Données projet'!$E$11+1,1))</f>
        <v>359.57284550600366</v>
      </c>
      <c r="BJ23" s="59">
        <f t="shared" si="38"/>
        <v>351.38386928091433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35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0.13250000000000001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7.439358573799332</v>
      </c>
      <c r="BR23" s="21">
        <f>EXP(-LN(2)/2)*BR22+(1-EXP(-LN(2)/2))/(LN(2)/2)*BL23*BO23*VLOOKUP('Données projet'!$B$11,Paramètres!$A$1:$I$89,3,0)*0.475*44/12</f>
        <v>7.7795775910101392</v>
      </c>
      <c r="BS23" s="22">
        <f t="shared" si="9"/>
        <v>15.21893616480947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34.615384615384613</v>
      </c>
      <c r="BW23" s="12">
        <f>VLOOKUP(A23,'Données projet'!$A$113:$I$133,9,0)</f>
        <v>2.8205128205128203</v>
      </c>
      <c r="BX23" s="12">
        <f t="array" ref="BX23">INDEX(BW:BW,MIN(IF(ISNUMBER(BW23:BW219),ROW(BW23:BW219),"")))</f>
        <v>2.8205128205128203</v>
      </c>
      <c r="BY23" s="12">
        <f>IF('Données projet'!$A$114&gt;35,BY22+BX23-CG22,IF(A23&lt;'Données projet'!$A$114,$BV$205^A23,IF(A23='Données projet'!$A$114,'Données projet'!$B$114,BY22+BX23-CG22)))</f>
        <v>34.615384615384613</v>
      </c>
      <c r="BZ23" s="13">
        <f>BY23*VLOOKUP('Données projet'!$B$12,Paramètres!$A$1:$I$89,3,0)*VLOOKUP('Données projet'!$B$12,Paramètres!$A$1:$I$89,5,0)</f>
        <v>28.080000000000002</v>
      </c>
      <c r="CA23" s="13">
        <f t="shared" si="39"/>
        <v>8.7771949685951878</v>
      </c>
      <c r="CB23" s="20">
        <f t="shared" si="10"/>
        <v>64.192947903636622</v>
      </c>
      <c r="CC23" s="59">
        <f t="shared" si="11"/>
        <v>345.30405901474774</v>
      </c>
      <c r="CD23" s="59">
        <f ca="1">AVERAGE(OFFSET($CC$3,0,0,'Données projet'!$E$12+1,1))-AVERAGE(OFFSET($H$3,0,0,'Données projet'!$E$12+1,1))</f>
        <v>159.4660488566085</v>
      </c>
      <c r="CE23" s="59">
        <f t="shared" si="40"/>
        <v>135.33030558297088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5.7692307692307692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0.1075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0.55397232565218346</v>
      </c>
      <c r="CM23" s="21">
        <f>EXP(-LN(2)/2)*CM22+(1-EXP(-LN(2)/2))/(LN(2)/2)*CG23*CJ23*VLOOKUP('Données projet'!$B$12,Paramètres!$A$1:$I$89,3,0)*0.475*44/12</f>
        <v>1.1039264900883043</v>
      </c>
      <c r="CN23" s="22">
        <f t="shared" si="12"/>
        <v>1.6578988157404879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102</v>
      </c>
      <c r="CR23" s="12">
        <f>VLOOKUP(A23,'Données projet'!$A$139:$I$159,9,0)</f>
        <v>13.8</v>
      </c>
      <c r="CS23" s="12">
        <f t="array" ref="CS23">INDEX(CR:CR,MIN(IF(ISNUMBER(CR23:CR219),ROW(CR23:CR219),"")))</f>
        <v>13.8</v>
      </c>
      <c r="CT23" s="12">
        <f>IF('Données projet'!$A$140&gt;35,CT22+CS23-DB22,IF(A23&lt;'Données projet'!$A$140,$CQ$205^A23,IF(A23='Données projet'!$A$140,'Données projet'!$B$140,CT22+CS23-DB22)))</f>
        <v>101.99999999999999</v>
      </c>
      <c r="CU23" s="17">
        <f>CT23*VLOOKUP('Données projet'!$B$13,Paramètres!$A$1:$I$89,3,0)*VLOOKUP('Données projet'!$B$13,Paramètres!$A$1:$I$89,5,0)</f>
        <v>81.151200000000003</v>
      </c>
      <c r="CV23" s="13">
        <f t="shared" si="41"/>
        <v>22.418424032002342</v>
      </c>
      <c r="CW23" s="20">
        <f t="shared" si="13"/>
        <v>180.38376185573739</v>
      </c>
      <c r="CX23" s="59">
        <f t="shared" si="14"/>
        <v>461.49487296684856</v>
      </c>
      <c r="CY23" s="59">
        <f ca="1">AVERAGE(OFFSET($CX$3,0,0,'Données projet'!$E$13+1,1))-AVERAGE(OFFSET($H$3,0,0,'Données projet'!$E$13+1,1))</f>
        <v>353.37479213497227</v>
      </c>
      <c r="CZ23" s="59">
        <f t="shared" si="42"/>
        <v>345.4750813433123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35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0.13250000000000001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7.2962939858416513</v>
      </c>
      <c r="DH23" s="21">
        <f>EXP(-LN(2)/2)*DH22+(1-EXP(-LN(2)/2))/(LN(2)/2)*DB23*DE23*VLOOKUP('Données projet'!$B$13,Paramètres!$A$1:$I$89,3,0)*0.475*44/12</f>
        <v>7.6299703296445607</v>
      </c>
      <c r="DI23" s="22">
        <f t="shared" si="15"/>
        <v>14.926264315486211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4.0942857142857143</v>
      </c>
      <c r="DO23" s="12">
        <f>IF('Données projet'!$A$166&gt;35,DO22+DN23-DW22,IF(A23&lt;'Données projet'!$A$166,$DL$205^A23,IF(A23='Données projet'!$A$166,'Données projet'!$B$166,DO22+DN23-DW22)))</f>
        <v>81.885714285714329</v>
      </c>
      <c r="DP23" s="17">
        <f>DO23*VLOOKUP('Données projet'!$B$14,Paramètres!$A$1:$I$89,3,0)*VLOOKUP('Données projet'!$B$14,Paramètres!$A$1:$I$89,5,0)</f>
        <v>74.090194285714318</v>
      </c>
      <c r="DQ23" s="13">
        <f t="shared" si="43"/>
        <v>20.685815608516002</v>
      </c>
      <c r="DR23" s="20">
        <f t="shared" si="16"/>
        <v>165.06821723245113</v>
      </c>
      <c r="DS23" s="59">
        <f t="shared" si="17"/>
        <v>446.17932834356225</v>
      </c>
      <c r="DT23" s="59">
        <f ca="1">AVERAGE(OFFSET($DS$3,0,0,'Données projet'!$E$14+1,1))-AVERAGE(OFFSET($H$3,0,0,'Données projet'!$E$14+1,1))</f>
        <v>635.71275911100679</v>
      </c>
      <c r="DU23" s="59">
        <f t="shared" si="44"/>
        <v>281.7776857269169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4.0942857142857143</v>
      </c>
      <c r="EJ23" s="12">
        <f>IF('Données projet'!$A$192&gt;35,EJ22+EI23-ER22,IF(A23&lt;'Données projet'!$A$192,$EG$205^A23,IF(A23='Données projet'!$A$192,'Données projet'!$B$192,EJ22+EI23-ER22)))</f>
        <v>81.885714285714329</v>
      </c>
      <c r="EK23" s="17">
        <f>EJ23*VLOOKUP('Données projet'!$B$15,Paramètres!$A$1:$I$89,3,0)*VLOOKUP('Données projet'!$B$15,Paramètres!$A$1:$I$89,5,0)</f>
        <v>54.928937142857166</v>
      </c>
      <c r="EL23" s="13">
        <f t="shared" si="45"/>
        <v>15.87963081612768</v>
      </c>
      <c r="EM23" s="20">
        <f t="shared" si="19"/>
        <v>123.32492252856525</v>
      </c>
      <c r="EN23" s="59">
        <f t="shared" si="20"/>
        <v>404.4360336396764</v>
      </c>
      <c r="EO23" s="59">
        <f ca="1">AVERAGE(OFFSET($EN$3,0,0,'Données projet'!$E$15+1,1))-AVERAGE(OFFSET($H$3,0,0,'Données projet'!$E$15+1,1))</f>
        <v>482.99915419700773</v>
      </c>
      <c r="EP23" s="59">
        <f t="shared" si="46"/>
        <v>219.74157899604279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4.0942857142857143</v>
      </c>
      <c r="FE23" s="12">
        <f>IF('Données projet'!$A$218&gt;35,FE22+FD23-FM22,IF(A23&lt;'Données projet'!$A$218,$FB$205^A23,IF(A23='Données projet'!$A$218,'Données projet'!$B$218,FE22+FD23-FM22)))</f>
        <v>81.885714285714329</v>
      </c>
      <c r="FF23" s="17">
        <f>FE23*VLOOKUP('Données projet'!$B$16,Paramètres!$A$1:$I$89,3,0)*VLOOKUP('Données projet'!$B$16,Paramètres!$A$1:$I$89,5,0)</f>
        <v>77.922445714285757</v>
      </c>
      <c r="FG23" s="13">
        <f t="shared" si="47"/>
        <v>21.628436021220121</v>
      </c>
      <c r="FH23" s="20">
        <f t="shared" si="22"/>
        <v>173.38445235600605</v>
      </c>
      <c r="FI23" s="59">
        <f t="shared" si="23"/>
        <v>454.49556346711722</v>
      </c>
      <c r="FJ23" s="59">
        <f ca="1">AVERAGE(OFFSET($FI$3,0,0,'Données projet'!$E$16+1,1))-AVERAGE(OFFSET($H$3,0,0,'Données projet'!$E$16+1,1))</f>
        <v>666.1523645983184</v>
      </c>
      <c r="FK23" s="59">
        <f t="shared" si="48"/>
        <v>294.13851344047526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14.8</v>
      </c>
      <c r="N24" s="13">
        <f>IF('Données projet'!$A$36&gt;35,N23+M24-V23,IF(A24&lt;'Données projet'!$A$36,$K$205^A24,IF(A24='Données projet'!$A$36,'Données projet'!$B$36,N23+M24-V23)))</f>
        <v>81.799999999999983</v>
      </c>
      <c r="O24" s="13">
        <f>N24*VLOOKUP('Données projet'!$B$9,Paramètres!$A$1:$I$89,3,0)*VLOOKUP('Données projet'!$B$9,Paramètres!$A$1:$I$89,5,0)</f>
        <v>59.975759999999987</v>
      </c>
      <c r="P24" s="13">
        <f t="shared" si="33"/>
        <v>17.162140235844557</v>
      </c>
      <c r="Q24" s="20">
        <f t="shared" si="2"/>
        <v>134.34850957742924</v>
      </c>
      <c r="R24" s="59">
        <f t="shared" si="0"/>
        <v>416.68184291076255</v>
      </c>
      <c r="S24" s="59">
        <f ca="1">AVERAGE(OFFSET($R$3,0,0,'Données projet'!$E$9+1,1))-AVERAGE(OFFSET($H$3,0,0,'Données projet'!$E$9+1,1))</f>
        <v>328.55631138162721</v>
      </c>
      <c r="T24" s="59">
        <f t="shared" si="34"/>
        <v>321.81422611044985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5.3061728418468155</v>
      </c>
      <c r="AB24" s="21">
        <f>EXP(-LN(2)/2)*AB23+(1-EXP(-LN(2)/2))/(LN(2)/2)*V24*Y24*VLOOKUP('Données projet'!$B$9,Paramètres!$A$1:$I$89,3,0)*0.475*44/12</f>
        <v>4.9720505242384281</v>
      </c>
      <c r="AC24" s="22">
        <f t="shared" si="3"/>
        <v>10.278223366085243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14.8</v>
      </c>
      <c r="AI24" s="13">
        <f>IF('Données projet'!$A$62&gt;35,AI23+AH24-AQ23,IF(A24&lt;'Données projet'!$A$62,$AF$205^A24,IF(A24='Données projet'!$A$62,'Données projet'!$B$62,AI23+AH24-AQ23)))</f>
        <v>81.799999999999983</v>
      </c>
      <c r="AJ24" s="13">
        <f>AI24*VLOOKUP('Données projet'!$B$10,Paramètres!$A$1:$I$89,3,0)*VLOOKUP('Données projet'!$B$10,Paramètres!$A$1:$I$89,5,0)</f>
        <v>65.080079999999981</v>
      </c>
      <c r="AK24" s="13">
        <f t="shared" si="35"/>
        <v>18.44653442602603</v>
      </c>
      <c r="AL24" s="20">
        <f t="shared" si="4"/>
        <v>145.47552012532864</v>
      </c>
      <c r="AM24" s="59">
        <f t="shared" si="5"/>
        <v>427.80885345866193</v>
      </c>
      <c r="AN24" s="59">
        <f ca="1">AVERAGE(OFFSET($AM$3,0,0,'Données projet'!$E$10+1,1))-AVERAGE(OFFSET($H$3,0,0,'Données projet'!$E$10+1,1))</f>
        <v>353.37479213497227</v>
      </c>
      <c r="AO24" s="59">
        <f t="shared" si="36"/>
        <v>345.4750813433123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7.0967764431033862</v>
      </c>
      <c r="AW24" s="21">
        <f>EXP(-LN(2)/2)*AW23+(1-EXP(-LN(2)/2))/(LN(2)/2)*AQ24*AT24*VLOOKUP('Données projet'!$B$10,Paramètres!$A$1:$I$89,3,0)*0.475*44/12</f>
        <v>5.3952037603438265</v>
      </c>
      <c r="AX24" s="21">
        <f t="shared" si="6"/>
        <v>12.491980203447213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14.8</v>
      </c>
      <c r="BD24" s="12">
        <f>IF('Données projet'!$A$88&gt;35,BD23+BC24-BL23,IF(A24&lt;'Données projet'!$A$88,$BA$205^A24,IF(A24='Données projet'!$A$88,'Données projet'!$B$88,BD23+BC24-BL23)))</f>
        <v>81.799999999999983</v>
      </c>
      <c r="BE24" s="13">
        <f>BD24*VLOOKUP('Données projet'!$B$11,Paramètres!$A$1:$I$89,3,0)*VLOOKUP('Données projet'!$B$11,Paramètres!$A$1:$I$89,5,0)</f>
        <v>66.356159999999988</v>
      </c>
      <c r="BF24" s="13">
        <f t="shared" si="37"/>
        <v>18.765767596743419</v>
      </c>
      <c r="BG24" s="20">
        <f t="shared" si="7"/>
        <v>148.25402389766143</v>
      </c>
      <c r="BH24" s="59">
        <f t="shared" si="8"/>
        <v>430.58735723099471</v>
      </c>
      <c r="BI24" s="59">
        <f ca="1">AVERAGE(OFFSET($BH$3,0,0,'Données projet'!$E$11+1,1))-AVERAGE(OFFSET($H$3,0,0,'Données projet'!$E$11+1,1))</f>
        <v>359.57284550600366</v>
      </c>
      <c r="BJ24" s="59">
        <f t="shared" si="38"/>
        <v>351.38386928091433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7.2359289223799248</v>
      </c>
      <c r="BR24" s="21">
        <f>EXP(-LN(2)/2)*BR23+(1-EXP(-LN(2)/2))/(LN(2)/2)*BL24*BO24*VLOOKUP('Données projet'!$B$11,Paramètres!$A$1:$I$89,3,0)*0.475*44/12</f>
        <v>5.5009920693701755</v>
      </c>
      <c r="BS24" s="22">
        <f t="shared" si="9"/>
        <v>12.7369209917501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2.9487179487179498</v>
      </c>
      <c r="BY24" s="12">
        <f>IF('Données projet'!$A$114&gt;35,BY23+BX24-CG23,IF(A24&lt;'Données projet'!$A$114,$BV$205^A24,IF(A24='Données projet'!$A$114,'Données projet'!$B$114,BY23+BX24-CG23)))</f>
        <v>31.794871794871792</v>
      </c>
      <c r="BZ24" s="13">
        <f>BY24*VLOOKUP('Données projet'!$B$12,Paramètres!$A$1:$I$89,3,0)*VLOOKUP('Données projet'!$B$12,Paramètres!$A$1:$I$89,5,0)</f>
        <v>25.791999999999998</v>
      </c>
      <c r="CA24" s="13">
        <f t="shared" si="39"/>
        <v>8.1421711792342304</v>
      </c>
      <c r="CB24" s="20">
        <f t="shared" si="10"/>
        <v>59.102014803832951</v>
      </c>
      <c r="CC24" s="59">
        <f t="shared" si="11"/>
        <v>341.43534813716627</v>
      </c>
      <c r="CD24" s="59">
        <f ca="1">AVERAGE(OFFSET($CC$3,0,0,'Données projet'!$E$12+1,1))-AVERAGE(OFFSET($H$3,0,0,'Données projet'!$E$12+1,1))</f>
        <v>159.4660488566085</v>
      </c>
      <c r="CE24" s="59">
        <f t="shared" si="40"/>
        <v>135.33030558297088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0.53882392327508599</v>
      </c>
      <c r="CM24" s="21">
        <f>EXP(-LN(2)/2)*CM23+(1-EXP(-LN(2)/2))/(LN(2)/2)*CG24*CJ24*VLOOKUP('Données projet'!$B$12,Paramètres!$A$1:$I$89,3,0)*0.475*44/12</f>
        <v>0.7805939070729041</v>
      </c>
      <c r="CN24" s="22">
        <f t="shared" si="12"/>
        <v>1.31941783034799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14.8</v>
      </c>
      <c r="CT24" s="12">
        <f>IF('Données projet'!$A$140&gt;35,CT23+CS24-DB23,IF(A24&lt;'Données projet'!$A$140,$CQ$205^A24,IF(A24='Données projet'!$A$140,'Données projet'!$B$140,CT23+CS24-DB23)))</f>
        <v>81.799999999999983</v>
      </c>
      <c r="CU24" s="17">
        <f>CT24*VLOOKUP('Données projet'!$B$13,Paramètres!$A$1:$I$89,3,0)*VLOOKUP('Données projet'!$B$13,Paramètres!$A$1:$I$89,5,0)</f>
        <v>65.080079999999981</v>
      </c>
      <c r="CV24" s="13">
        <f t="shared" si="41"/>
        <v>18.44653442602603</v>
      </c>
      <c r="CW24" s="20">
        <f t="shared" si="13"/>
        <v>145.47552012532864</v>
      </c>
      <c r="CX24" s="59">
        <f t="shared" si="14"/>
        <v>427.80885345866193</v>
      </c>
      <c r="CY24" s="59">
        <f ca="1">AVERAGE(OFFSET($CX$3,0,0,'Données projet'!$E$13+1,1))-AVERAGE(OFFSET($H$3,0,0,'Données projet'!$E$13+1,1))</f>
        <v>353.37479213497227</v>
      </c>
      <c r="CZ24" s="59">
        <f t="shared" si="42"/>
        <v>345.4750813433123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7.0967764431033862</v>
      </c>
      <c r="DH24" s="21">
        <f>EXP(-LN(2)/2)*DH23+(1-EXP(-LN(2)/2))/(LN(2)/2)*DB24*DE24*VLOOKUP('Données projet'!$B$13,Paramètres!$A$1:$I$89,3,0)*0.475*44/12</f>
        <v>5.3952037603438265</v>
      </c>
      <c r="DI24" s="22">
        <f t="shared" si="15"/>
        <v>12.491980203447213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4.0942857142857143</v>
      </c>
      <c r="DO24" s="12">
        <f>IF('Données projet'!$A$166&gt;35,DO23+DN24-DW23,IF(A24&lt;'Données projet'!$A$166,$DL$205^A24,IF(A24='Données projet'!$A$166,'Données projet'!$B$166,DO23+DN24-DW23)))</f>
        <v>85.980000000000047</v>
      </c>
      <c r="DP24" s="17">
        <f>DO24*VLOOKUP('Données projet'!$B$14,Paramètres!$A$1:$I$89,3,0)*VLOOKUP('Données projet'!$B$14,Paramètres!$A$1:$I$89,5,0)</f>
        <v>77.794704000000038</v>
      </c>
      <c r="DQ24" s="13">
        <f t="shared" si="43"/>
        <v>21.597103708846074</v>
      </c>
      <c r="DR24" s="20">
        <f t="shared" si="16"/>
        <v>173.10739842624028</v>
      </c>
      <c r="DS24" s="59">
        <f t="shared" si="17"/>
        <v>455.44073175957362</v>
      </c>
      <c r="DT24" s="59">
        <f ca="1">AVERAGE(OFFSET($DS$3,0,0,'Données projet'!$E$14+1,1))-AVERAGE(OFFSET($H$3,0,0,'Données projet'!$E$14+1,1))</f>
        <v>635.71275911100679</v>
      </c>
      <c r="DU24" s="59">
        <f t="shared" si="44"/>
        <v>281.7776857269169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4.0942857142857143</v>
      </c>
      <c r="EJ24" s="12">
        <f>IF('Données projet'!$A$192&gt;35,EJ23+EI24-ER23,IF(A24&lt;'Données projet'!$A$192,$EG$205^A24,IF(A24='Données projet'!$A$192,'Données projet'!$B$192,EJ23+EI24-ER23)))</f>
        <v>85.980000000000047</v>
      </c>
      <c r="EK24" s="17">
        <f>EJ24*VLOOKUP('Données projet'!$B$15,Paramètres!$A$1:$I$89,3,0)*VLOOKUP('Données projet'!$B$15,Paramètres!$A$1:$I$89,5,0)</f>
        <v>57.67538400000003</v>
      </c>
      <c r="EL24" s="13">
        <f t="shared" si="45"/>
        <v>16.579188371615821</v>
      </c>
      <c r="EM24" s="20">
        <f t="shared" si="19"/>
        <v>129.32671354723092</v>
      </c>
      <c r="EN24" s="59">
        <f t="shared" si="20"/>
        <v>411.66004688056421</v>
      </c>
      <c r="EO24" s="59">
        <f ca="1">AVERAGE(OFFSET($EN$3,0,0,'Données projet'!$E$15+1,1))-AVERAGE(OFFSET($H$3,0,0,'Données projet'!$E$15+1,1))</f>
        <v>482.99915419700773</v>
      </c>
      <c r="EP24" s="59">
        <f t="shared" si="46"/>
        <v>219.74157899604279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4.0942857142857143</v>
      </c>
      <c r="FE24" s="12">
        <f>IF('Données projet'!$A$218&gt;35,FE23+FD24-FM23,IF(A24&lt;'Données projet'!$A$218,$FB$205^A24,IF(A24='Données projet'!$A$218,'Données projet'!$B$218,FE23+FD24-FM23)))</f>
        <v>85.980000000000047</v>
      </c>
      <c r="FF24" s="17">
        <f>FE24*VLOOKUP('Données projet'!$B$16,Paramètres!$A$1:$I$89,3,0)*VLOOKUP('Données projet'!$B$16,Paramètres!$A$1:$I$89,5,0)</f>
        <v>81.818568000000042</v>
      </c>
      <c r="FG24" s="13">
        <f t="shared" si="47"/>
        <v>22.581250101549351</v>
      </c>
      <c r="FH24" s="20">
        <f t="shared" si="22"/>
        <v>181.82968319353185</v>
      </c>
      <c r="FI24" s="59">
        <f t="shared" si="23"/>
        <v>464.16301652686514</v>
      </c>
      <c r="FJ24" s="59">
        <f ca="1">AVERAGE(OFFSET($FI$3,0,0,'Données projet'!$E$16+1,1))-AVERAGE(OFFSET($H$3,0,0,'Données projet'!$E$16+1,1))</f>
        <v>666.1523645983184</v>
      </c>
      <c r="FK24" s="59">
        <f t="shared" si="48"/>
        <v>294.13851344047526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14.8</v>
      </c>
      <c r="N25" s="13">
        <f>IF('Données projet'!$A$36&gt;35,N24+M25-V24,IF(A25&lt;'Données projet'!$A$36,$K$205^A25,IF(A25='Données projet'!$A$36,'Données projet'!$B$36,N24+M25-V24)))</f>
        <v>96.59999999999998</v>
      </c>
      <c r="O25" s="13">
        <f>N25*VLOOKUP('Données projet'!$B$9,Paramètres!$A$1:$I$89,3,0)*VLOOKUP('Données projet'!$B$9,Paramètres!$A$1:$I$89,5,0)</f>
        <v>70.827119999999979</v>
      </c>
      <c r="P25" s="13">
        <f t="shared" si="33"/>
        <v>19.878719982140016</v>
      </c>
      <c r="Q25" s="20">
        <f t="shared" si="2"/>
        <v>157.97933796889382</v>
      </c>
      <c r="R25" s="59">
        <f t="shared" si="0"/>
        <v>441.53489352444933</v>
      </c>
      <c r="S25" s="59">
        <f ca="1">AVERAGE(OFFSET($R$3,0,0,'Données projet'!$E$9+1,1))-AVERAGE(OFFSET($H$3,0,0,'Données projet'!$E$9+1,1))</f>
        <v>328.55631138162721</v>
      </c>
      <c r="T25" s="59">
        <f t="shared" si="34"/>
        <v>321.81422611044985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5.1610752664470123</v>
      </c>
      <c r="AB25" s="21">
        <f>EXP(-LN(2)/2)*AB24+(1-EXP(-LN(2)/2))/(LN(2)/2)*V25*Y25*VLOOKUP('Données projet'!$B$9,Paramètres!$A$1:$I$89,3,0)*0.475*44/12</f>
        <v>3.5157706420911214</v>
      </c>
      <c r="AC25" s="22">
        <f t="shared" si="3"/>
        <v>8.6768459085381338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14.8</v>
      </c>
      <c r="AI25" s="13">
        <f>IF('Données projet'!$A$62&gt;35,AI24+AH25-AQ24,IF(A25&lt;'Données projet'!$A$62,$AF$205^A25,IF(A25='Données projet'!$A$62,'Données projet'!$B$62,AI24+AH25-AQ24)))</f>
        <v>96.59999999999998</v>
      </c>
      <c r="AJ25" s="13">
        <f>AI25*VLOOKUP('Données projet'!$B$10,Paramètres!$A$1:$I$89,3,0)*VLOOKUP('Données projet'!$B$10,Paramètres!$A$1:$I$89,5,0)</f>
        <v>76.854959999999991</v>
      </c>
      <c r="AK25" s="13">
        <f t="shared" si="35"/>
        <v>21.366419773799993</v>
      </c>
      <c r="AL25" s="20">
        <f t="shared" si="4"/>
        <v>171.06890310603498</v>
      </c>
      <c r="AM25" s="59">
        <f t="shared" si="5"/>
        <v>454.62445866159055</v>
      </c>
      <c r="AN25" s="59">
        <f ca="1">AVERAGE(OFFSET($AM$3,0,0,'Données projet'!$E$10+1,1))-AVERAGE(OFFSET($H$3,0,0,'Données projet'!$E$10+1,1))</f>
        <v>353.37479213497227</v>
      </c>
      <c r="AO25" s="59">
        <f t="shared" si="36"/>
        <v>345.4750813433123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6.9027147180634705</v>
      </c>
      <c r="AW25" s="21">
        <f>EXP(-LN(2)/2)*AW24+(1-EXP(-LN(2)/2))/(LN(2)/2)*AQ25*AT25*VLOOKUP('Données projet'!$B$10,Paramètres!$A$1:$I$89,3,0)*0.475*44/12</f>
        <v>3.8149851648222808</v>
      </c>
      <c r="AX25" s="21">
        <f t="shared" si="6"/>
        <v>10.717699882885752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14.8</v>
      </c>
      <c r="BD25" s="12">
        <f>IF('Données projet'!$A$88&gt;35,BD24+BC25-BL24,IF(A25&lt;'Données projet'!$A$88,$BA$205^A25,IF(A25='Données projet'!$A$88,'Données projet'!$B$88,BD24+BC25-BL24)))</f>
        <v>96.59999999999998</v>
      </c>
      <c r="BE25" s="13">
        <f>BD25*VLOOKUP('Données projet'!$B$11,Paramètres!$A$1:$I$89,3,0)*VLOOKUP('Données projet'!$B$11,Paramètres!$A$1:$I$89,5,0)</f>
        <v>78.361919999999984</v>
      </c>
      <c r="BF25" s="13">
        <f t="shared" si="37"/>
        <v>21.736184076066191</v>
      </c>
      <c r="BG25" s="20">
        <f t="shared" si="7"/>
        <v>174.33753126581527</v>
      </c>
      <c r="BH25" s="59">
        <f t="shared" si="8"/>
        <v>457.89308682137084</v>
      </c>
      <c r="BI25" s="59">
        <f ca="1">AVERAGE(OFFSET($BH$3,0,0,'Données projet'!$E$11+1,1))-AVERAGE(OFFSET($H$3,0,0,'Données projet'!$E$11+1,1))</f>
        <v>359.57284550600366</v>
      </c>
      <c r="BJ25" s="59">
        <f t="shared" si="38"/>
        <v>351.38386928091433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7.0380620654764821</v>
      </c>
      <c r="BR25" s="21">
        <f>EXP(-LN(2)/2)*BR24+(1-EXP(-LN(2)/2))/(LN(2)/2)*BL25*BO25*VLOOKUP('Données projet'!$B$11,Paramètres!$A$1:$I$89,3,0)*0.475*44/12</f>
        <v>3.8897887955050701</v>
      </c>
      <c r="BS25" s="22">
        <f t="shared" si="9"/>
        <v>10.927850860981552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2.9487179487179498</v>
      </c>
      <c r="BY25" s="12">
        <f>IF('Données projet'!$A$114&gt;35,BY24+BX25-CG24,IF(A25&lt;'Données projet'!$A$114,$BV$205^A25,IF(A25='Données projet'!$A$114,'Données projet'!$B$114,BY24+BX25-CG24)))</f>
        <v>34.743589743589745</v>
      </c>
      <c r="BZ25" s="13">
        <f>BY25*VLOOKUP('Données projet'!$B$12,Paramètres!$A$1:$I$89,3,0)*VLOOKUP('Données projet'!$B$12,Paramètres!$A$1:$I$89,5,0)</f>
        <v>28.184000000000001</v>
      </c>
      <c r="CA25" s="13">
        <f t="shared" si="39"/>
        <v>8.8059129686929793</v>
      </c>
      <c r="CB25" s="20">
        <f t="shared" si="10"/>
        <v>64.424098420473612</v>
      </c>
      <c r="CC25" s="59">
        <f t="shared" si="11"/>
        <v>347.97965397602917</v>
      </c>
      <c r="CD25" s="59">
        <f ca="1">AVERAGE(OFFSET($CC$3,0,0,'Données projet'!$E$12+1,1))-AVERAGE(OFFSET($H$3,0,0,'Données projet'!$E$12+1,1))</f>
        <v>159.4660488566085</v>
      </c>
      <c r="CE25" s="59">
        <f t="shared" si="40"/>
        <v>135.33030558297088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0.5240897547576101</v>
      </c>
      <c r="CM25" s="21">
        <f>EXP(-LN(2)/2)*CM24+(1-EXP(-LN(2)/2))/(LN(2)/2)*CG25*CJ25*VLOOKUP('Données projet'!$B$12,Paramètres!$A$1:$I$89,3,0)*0.475*44/12</f>
        <v>0.55196324504415228</v>
      </c>
      <c r="CN25" s="22">
        <f t="shared" si="12"/>
        <v>1.0760529998017625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14.8</v>
      </c>
      <c r="CT25" s="12">
        <f>IF('Données projet'!$A$140&gt;35,CT24+CS25-DB24,IF(A25&lt;'Données projet'!$A$140,$CQ$205^A25,IF(A25='Données projet'!$A$140,'Données projet'!$B$140,CT24+CS25-DB24)))</f>
        <v>96.59999999999998</v>
      </c>
      <c r="CU25" s="17">
        <f>CT25*VLOOKUP('Données projet'!$B$13,Paramètres!$A$1:$I$89,3,0)*VLOOKUP('Données projet'!$B$13,Paramètres!$A$1:$I$89,5,0)</f>
        <v>76.854959999999991</v>
      </c>
      <c r="CV25" s="13">
        <f t="shared" si="41"/>
        <v>21.366419773799993</v>
      </c>
      <c r="CW25" s="20">
        <f t="shared" si="13"/>
        <v>171.06890310603498</v>
      </c>
      <c r="CX25" s="59">
        <f t="shared" si="14"/>
        <v>454.62445866159055</v>
      </c>
      <c r="CY25" s="59">
        <f ca="1">AVERAGE(OFFSET($CX$3,0,0,'Données projet'!$E$13+1,1))-AVERAGE(OFFSET($H$3,0,0,'Données projet'!$E$13+1,1))</f>
        <v>353.37479213497227</v>
      </c>
      <c r="CZ25" s="59">
        <f t="shared" si="42"/>
        <v>345.4750813433123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6.9027147180634705</v>
      </c>
      <c r="DH25" s="21">
        <f>EXP(-LN(2)/2)*DH24+(1-EXP(-LN(2)/2))/(LN(2)/2)*DB25*DE25*VLOOKUP('Données projet'!$B$13,Paramètres!$A$1:$I$89,3,0)*0.475*44/12</f>
        <v>3.8149851648222808</v>
      </c>
      <c r="DI25" s="22">
        <f t="shared" si="15"/>
        <v>10.717699882885752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4.0942857142857143</v>
      </c>
      <c r="DO25" s="12">
        <f>IF('Données projet'!$A$166&gt;35,DO24+DN25-DW24,IF(A25&lt;'Données projet'!$A$166,$DL$205^A25,IF(A25='Données projet'!$A$166,'Données projet'!$B$166,DO24+DN25-DW24)))</f>
        <v>90.074285714285764</v>
      </c>
      <c r="DP25" s="17">
        <f>DO25*VLOOKUP('Données projet'!$B$14,Paramètres!$A$1:$I$89,3,0)*VLOOKUP('Données projet'!$B$14,Paramètres!$A$1:$I$89,5,0)</f>
        <v>81.499213714285759</v>
      </c>
      <c r="DQ25" s="13">
        <f t="shared" si="43"/>
        <v>22.503352631648468</v>
      </c>
      <c r="DR25" s="20">
        <f t="shared" si="16"/>
        <v>181.13780305250211</v>
      </c>
      <c r="DS25" s="59">
        <f t="shared" si="17"/>
        <v>464.69335860805768</v>
      </c>
      <c r="DT25" s="59">
        <f ca="1">AVERAGE(OFFSET($DS$3,0,0,'Données projet'!$E$14+1,1))-AVERAGE(OFFSET($H$3,0,0,'Données projet'!$E$14+1,1))</f>
        <v>635.71275911100679</v>
      </c>
      <c r="DU25" s="59">
        <f t="shared" si="44"/>
        <v>281.7776857269169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4.0942857142857143</v>
      </c>
      <c r="EJ25" s="12">
        <f>IF('Données projet'!$A$192&gt;35,EJ24+EI25-ER24,IF(A25&lt;'Données projet'!$A$192,$EG$205^A25,IF(A25='Données projet'!$A$192,'Données projet'!$B$192,EJ24+EI25-ER24)))</f>
        <v>90.074285714285764</v>
      </c>
      <c r="EK25" s="17">
        <f>EJ25*VLOOKUP('Données projet'!$B$15,Paramètres!$A$1:$I$89,3,0)*VLOOKUP('Données projet'!$B$15,Paramètres!$A$1:$I$89,5,0)</f>
        <v>60.421830857142886</v>
      </c>
      <c r="EL25" s="13">
        <f t="shared" si="45"/>
        <v>17.274877562410449</v>
      </c>
      <c r="EM25" s="20">
        <f t="shared" si="19"/>
        <v>135.32176716405539</v>
      </c>
      <c r="EN25" s="59">
        <f t="shared" si="20"/>
        <v>418.8773227196109</v>
      </c>
      <c r="EO25" s="59">
        <f ca="1">AVERAGE(OFFSET($EN$3,0,0,'Données projet'!$E$15+1,1))-AVERAGE(OFFSET($H$3,0,0,'Données projet'!$E$15+1,1))</f>
        <v>482.99915419700773</v>
      </c>
      <c r="EP25" s="59">
        <f t="shared" si="46"/>
        <v>219.74157899604279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4.0942857142857143</v>
      </c>
      <c r="FE25" s="12">
        <f>IF('Données projet'!$A$218&gt;35,FE24+FD25-FM24,IF(A25&lt;'Données projet'!$A$218,$FB$205^A25,IF(A25='Données projet'!$A$218,'Données projet'!$B$218,FE24+FD25-FM24)))</f>
        <v>90.074285714285764</v>
      </c>
      <c r="FF25" s="17">
        <f>FE25*VLOOKUP('Données projet'!$B$16,Paramètres!$A$1:$I$89,3,0)*VLOOKUP('Données projet'!$B$16,Paramètres!$A$1:$I$89,5,0)</f>
        <v>85.71469028571434</v>
      </c>
      <c r="FG25" s="13">
        <f t="shared" si="47"/>
        <v>23.528795376876193</v>
      </c>
      <c r="FH25" s="20">
        <f t="shared" si="22"/>
        <v>190.26573752901183</v>
      </c>
      <c r="FI25" s="59">
        <f t="shared" si="23"/>
        <v>473.8212930845674</v>
      </c>
      <c r="FJ25" s="59">
        <f ca="1">AVERAGE(OFFSET($FI$3,0,0,'Données projet'!$E$16+1,1))-AVERAGE(OFFSET($H$3,0,0,'Données projet'!$E$16+1,1))</f>
        <v>666.1523645983184</v>
      </c>
      <c r="FK25" s="59">
        <f t="shared" si="48"/>
        <v>294.13851344047526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14.8</v>
      </c>
      <c r="N26" s="13">
        <f>IF('Données projet'!$A$36&gt;35,N25+M26-V25,IF(A26&lt;'Données projet'!$A$36,$K$205^A26,IF(A26='Données projet'!$A$36,'Données projet'!$B$36,N25+M26-V25)))</f>
        <v>111.39999999999998</v>
      </c>
      <c r="O26" s="13">
        <f>N26*VLOOKUP('Données projet'!$B$9,Paramètres!$A$1:$I$89,3,0)*VLOOKUP('Données projet'!$B$9,Paramètres!$A$1:$I$89,5,0)</f>
        <v>81.678479999999993</v>
      </c>
      <c r="P26" s="13">
        <f t="shared" si="33"/>
        <v>22.547083950915322</v>
      </c>
      <c r="Q26" s="20">
        <f t="shared" si="2"/>
        <v>181.52619054784418</v>
      </c>
      <c r="R26" s="59">
        <f t="shared" si="0"/>
        <v>466.30396832562195</v>
      </c>
      <c r="S26" s="59">
        <f ca="1">AVERAGE(OFFSET($R$3,0,0,'Données projet'!$E$9+1,1))-AVERAGE(OFFSET($H$3,0,0,'Données projet'!$E$9+1,1))</f>
        <v>328.55631138162721</v>
      </c>
      <c r="T26" s="59">
        <f t="shared" si="34"/>
        <v>321.81422611044985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5.0199453918768659</v>
      </c>
      <c r="AB26" s="21">
        <f>EXP(-LN(2)/2)*AB25+(1-EXP(-LN(2)/2))/(LN(2)/2)*V26*Y26*VLOOKUP('Données projet'!$B$9,Paramètres!$A$1:$I$89,3,0)*0.475*44/12</f>
        <v>2.4860252621192145</v>
      </c>
      <c r="AC26" s="22">
        <f t="shared" si="3"/>
        <v>7.50597065399608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14.8</v>
      </c>
      <c r="AI26" s="13">
        <f>IF('Données projet'!$A$62&gt;35,AI25+AH26-AQ25,IF(A26&lt;'Données projet'!$A$62,$AF$205^A26,IF(A26='Données projet'!$A$62,'Données projet'!$B$62,AI25+AH26-AQ25)))</f>
        <v>111.39999999999998</v>
      </c>
      <c r="AJ26" s="13">
        <f>AI26*VLOOKUP('Données projet'!$B$10,Paramètres!$A$1:$I$89,3,0)*VLOOKUP('Données projet'!$B$10,Paramètres!$A$1:$I$89,5,0)</f>
        <v>88.629839999999987</v>
      </c>
      <c r="AK26" s="13">
        <f t="shared" si="35"/>
        <v>24.23448093253452</v>
      </c>
      <c r="AL26" s="20">
        <f t="shared" si="4"/>
        <v>196.57202562416424</v>
      </c>
      <c r="AM26" s="59">
        <f t="shared" si="5"/>
        <v>481.34980340194204</v>
      </c>
      <c r="AN26" s="59">
        <f ca="1">AVERAGE(OFFSET($AM$3,0,0,'Données projet'!$E$10+1,1))-AVERAGE(OFFSET($H$3,0,0,'Données projet'!$E$10+1,1))</f>
        <v>353.37479213497227</v>
      </c>
      <c r="AO26" s="59">
        <f t="shared" si="36"/>
        <v>345.4750813433123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6.7139596211000345</v>
      </c>
      <c r="AW26" s="21">
        <f>EXP(-LN(2)/2)*AW25+(1-EXP(-LN(2)/2))/(LN(2)/2)*AQ26*AT26*VLOOKUP('Données projet'!$B$10,Paramètres!$A$1:$I$89,3,0)*0.475*44/12</f>
        <v>2.6976018801719137</v>
      </c>
      <c r="AX26" s="21">
        <f t="shared" si="6"/>
        <v>9.4115615012719473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14.8</v>
      </c>
      <c r="BD26" s="12">
        <f>IF('Données projet'!$A$88&gt;35,BD25+BC26-BL25,IF(A26&lt;'Données projet'!$A$88,$BA$205^A26,IF(A26='Données projet'!$A$88,'Données projet'!$B$88,BD25+BC26-BL25)))</f>
        <v>111.39999999999998</v>
      </c>
      <c r="BE26" s="13">
        <f>BD26*VLOOKUP('Données projet'!$B$11,Paramètres!$A$1:$I$89,3,0)*VLOOKUP('Données projet'!$B$11,Paramètres!$A$1:$I$89,5,0)</f>
        <v>90.367679999999993</v>
      </c>
      <c r="BF26" s="13">
        <f t="shared" si="37"/>
        <v>24.653879504109455</v>
      </c>
      <c r="BG26" s="20">
        <f t="shared" si="7"/>
        <v>200.32921613632394</v>
      </c>
      <c r="BH26" s="59">
        <f t="shared" si="8"/>
        <v>485.10699391410174</v>
      </c>
      <c r="BI26" s="59">
        <f ca="1">AVERAGE(OFFSET($BH$3,0,0,'Données projet'!$E$11+1,1))-AVERAGE(OFFSET($H$3,0,0,'Données projet'!$E$11+1,1))</f>
        <v>359.57284550600366</v>
      </c>
      <c r="BJ26" s="59">
        <f t="shared" si="38"/>
        <v>351.38386928091433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6.8456058881804296</v>
      </c>
      <c r="BR26" s="21">
        <f>EXP(-LN(2)/2)*BR25+(1-EXP(-LN(2)/2))/(LN(2)/2)*BL26*BO26*VLOOKUP('Données projet'!$B$11,Paramètres!$A$1:$I$89,3,0)*0.475*44/12</f>
        <v>2.7504960346850882</v>
      </c>
      <c r="BS26" s="22">
        <f t="shared" si="9"/>
        <v>9.5961019228655182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2.9487179487179498</v>
      </c>
      <c r="BY26" s="12">
        <f>IF('Données projet'!$A$114&gt;35,BY25+BX26-CG25,IF(A26&lt;'Données projet'!$A$114,$BV$205^A26,IF(A26='Données projet'!$A$114,'Données projet'!$B$114,BY25+BX26-CG25)))</f>
        <v>37.692307692307693</v>
      </c>
      <c r="BZ26" s="13">
        <f>BY26*VLOOKUP('Données projet'!$B$12,Paramètres!$A$1:$I$89,3,0)*VLOOKUP('Données projet'!$B$12,Paramètres!$A$1:$I$89,5,0)</f>
        <v>30.576000000000004</v>
      </c>
      <c r="CA26" s="13">
        <f t="shared" si="39"/>
        <v>9.4631216842413863</v>
      </c>
      <c r="CB26" s="20">
        <f t="shared" si="10"/>
        <v>69.734803600053766</v>
      </c>
      <c r="CC26" s="59">
        <f t="shared" si="11"/>
        <v>354.51258137783157</v>
      </c>
      <c r="CD26" s="59">
        <f ca="1">AVERAGE(OFFSET($CC$3,0,0,'Données projet'!$E$12+1,1))-AVERAGE(OFFSET($H$3,0,0,'Données projet'!$E$12+1,1))</f>
        <v>159.4660488566085</v>
      </c>
      <c r="CE26" s="59">
        <f t="shared" si="40"/>
        <v>135.33030558297088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0.50975849285308084</v>
      </c>
      <c r="CM26" s="21">
        <f>EXP(-LN(2)/2)*CM25+(1-EXP(-LN(2)/2))/(LN(2)/2)*CG26*CJ26*VLOOKUP('Données projet'!$B$12,Paramètres!$A$1:$I$89,3,0)*0.475*44/12</f>
        <v>0.39029695353645211</v>
      </c>
      <c r="CN26" s="22">
        <f t="shared" si="12"/>
        <v>0.90005544638953294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14.8</v>
      </c>
      <c r="CT26" s="12">
        <f>IF('Données projet'!$A$140&gt;35,CT25+CS26-DB25,IF(A26&lt;'Données projet'!$A$140,$CQ$205^A26,IF(A26='Données projet'!$A$140,'Données projet'!$B$140,CT25+CS26-DB25)))</f>
        <v>111.39999999999998</v>
      </c>
      <c r="CU26" s="17">
        <f>CT26*VLOOKUP('Données projet'!$B$13,Paramètres!$A$1:$I$89,3,0)*VLOOKUP('Données projet'!$B$13,Paramètres!$A$1:$I$89,5,0)</f>
        <v>88.629839999999987</v>
      </c>
      <c r="CV26" s="13">
        <f t="shared" si="41"/>
        <v>24.23448093253452</v>
      </c>
      <c r="CW26" s="20">
        <f t="shared" si="13"/>
        <v>196.57202562416424</v>
      </c>
      <c r="CX26" s="59">
        <f t="shared" si="14"/>
        <v>481.34980340194204</v>
      </c>
      <c r="CY26" s="59">
        <f ca="1">AVERAGE(OFFSET($CX$3,0,0,'Données projet'!$E$13+1,1))-AVERAGE(OFFSET($H$3,0,0,'Données projet'!$E$13+1,1))</f>
        <v>353.37479213497227</v>
      </c>
      <c r="CZ26" s="59">
        <f t="shared" si="42"/>
        <v>345.4750813433123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6.7139596211000345</v>
      </c>
      <c r="DH26" s="21">
        <f>EXP(-LN(2)/2)*DH25+(1-EXP(-LN(2)/2))/(LN(2)/2)*DB26*DE26*VLOOKUP('Données projet'!$B$13,Paramètres!$A$1:$I$89,3,0)*0.475*44/12</f>
        <v>2.6976018801719137</v>
      </c>
      <c r="DI26" s="22">
        <f t="shared" si="15"/>
        <v>9.4115615012719473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4.0942857142857143</v>
      </c>
      <c r="DO26" s="12">
        <f>IF('Données projet'!$A$166&gt;35,DO25+DN26-DW25,IF(A26&lt;'Données projet'!$A$166,$DL$205^A26,IF(A26='Données projet'!$A$166,'Données projet'!$B$166,DO25+DN26-DW25)))</f>
        <v>94.168571428571482</v>
      </c>
      <c r="DP26" s="17">
        <f>DO26*VLOOKUP('Données projet'!$B$14,Paramètres!$A$1:$I$89,3,0)*VLOOKUP('Données projet'!$B$14,Paramètres!$A$1:$I$89,5,0)</f>
        <v>85.203723428571479</v>
      </c>
      <c r="DQ26" s="13">
        <f t="shared" si="43"/>
        <v>23.404817596574706</v>
      </c>
      <c r="DR26" s="20">
        <f t="shared" si="16"/>
        <v>189.15987561879626</v>
      </c>
      <c r="DS26" s="59">
        <f t="shared" si="17"/>
        <v>473.93765339657404</v>
      </c>
      <c r="DT26" s="59">
        <f ca="1">AVERAGE(OFFSET($DS$3,0,0,'Données projet'!$E$14+1,1))-AVERAGE(OFFSET($H$3,0,0,'Données projet'!$E$14+1,1))</f>
        <v>635.71275911100679</v>
      </c>
      <c r="DU26" s="59">
        <f t="shared" si="44"/>
        <v>281.7776857269169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4.0942857142857143</v>
      </c>
      <c r="EJ26" s="12">
        <f>IF('Données projet'!$A$192&gt;35,EJ25+EI26-ER25,IF(A26&lt;'Données projet'!$A$192,$EG$205^A26,IF(A26='Données projet'!$A$192,'Données projet'!$B$192,EJ25+EI26-ER25)))</f>
        <v>94.168571428571482</v>
      </c>
      <c r="EK26" s="17">
        <f>EJ26*VLOOKUP('Données projet'!$B$15,Paramètres!$A$1:$I$89,3,0)*VLOOKUP('Données projet'!$B$15,Paramètres!$A$1:$I$89,5,0)</f>
        <v>63.16827771428575</v>
      </c>
      <c r="EL26" s="13">
        <f t="shared" si="45"/>
        <v>17.966894309906216</v>
      </c>
      <c r="EM26" s="20">
        <f t="shared" si="19"/>
        <v>141.31042460880101</v>
      </c>
      <c r="EN26" s="59">
        <f t="shared" si="20"/>
        <v>426.08820238657881</v>
      </c>
      <c r="EO26" s="59">
        <f ca="1">AVERAGE(OFFSET($EN$3,0,0,'Données projet'!$E$15+1,1))-AVERAGE(OFFSET($H$3,0,0,'Données projet'!$E$15+1,1))</f>
        <v>482.99915419700773</v>
      </c>
      <c r="EP26" s="59">
        <f t="shared" si="46"/>
        <v>219.74157899604279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4.0942857142857143</v>
      </c>
      <c r="FE26" s="12">
        <f>IF('Données projet'!$A$218&gt;35,FE25+FD26-FM25,IF(A26&lt;'Données projet'!$A$218,$FB$205^A26,IF(A26='Données projet'!$A$218,'Données projet'!$B$218,FE25+FD26-FM25)))</f>
        <v>94.168571428571482</v>
      </c>
      <c r="FF26" s="17">
        <f>FE26*VLOOKUP('Données projet'!$B$16,Paramètres!$A$1:$I$89,3,0)*VLOOKUP('Données projet'!$B$16,Paramètres!$A$1:$I$89,5,0)</f>
        <v>89.610812571428625</v>
      </c>
      <c r="FG26" s="13">
        <f t="shared" si="47"/>
        <v>24.471338696814321</v>
      </c>
      <c r="FH26" s="20">
        <f t="shared" si="22"/>
        <v>198.69308012552312</v>
      </c>
      <c r="FI26" s="59">
        <f t="shared" si="23"/>
        <v>483.4708579033009</v>
      </c>
      <c r="FJ26" s="59">
        <f ca="1">AVERAGE(OFFSET($FI$3,0,0,'Données projet'!$E$16+1,1))-AVERAGE(OFFSET($H$3,0,0,'Données projet'!$E$16+1,1))</f>
        <v>666.1523645983184</v>
      </c>
      <c r="FK26" s="59">
        <f t="shared" si="48"/>
        <v>294.13851344047526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14.8</v>
      </c>
      <c r="N27" s="13">
        <f>IF('Données projet'!$A$36&gt;35,N26+M27-V26,IF(A27&lt;'Données projet'!$A$36,$K$205^A27,IF(A27='Données projet'!$A$36,'Données projet'!$B$36,N26+M27-V26)))</f>
        <v>126.19999999999997</v>
      </c>
      <c r="O27" s="13">
        <f>N27*VLOOKUP('Données projet'!$B$9,Paramètres!$A$1:$I$89,3,0)*VLOOKUP('Données projet'!$B$9,Paramètres!$A$1:$I$89,5,0)</f>
        <v>92.529839999999979</v>
      </c>
      <c r="P27" s="13">
        <f t="shared" si="33"/>
        <v>25.174373611210889</v>
      </c>
      <c r="Q27" s="20">
        <f t="shared" si="2"/>
        <v>205.0015053728589</v>
      </c>
      <c r="R27" s="59">
        <f t="shared" si="0"/>
        <v>491.0015053728589</v>
      </c>
      <c r="S27" s="59">
        <f ca="1">AVERAGE(OFFSET($R$3,0,0,'Données projet'!$E$9+1,1))-AVERAGE(OFFSET($H$3,0,0,'Données projet'!$E$9+1,1))</f>
        <v>328.55631138162721</v>
      </c>
      <c r="T27" s="59">
        <f t="shared" si="34"/>
        <v>321.81422611044985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4.882674721148538</v>
      </c>
      <c r="AB27" s="21">
        <f>EXP(-LN(2)/2)*AB26+(1-EXP(-LN(2)/2))/(LN(2)/2)*V27*Y27*VLOOKUP('Données projet'!$B$9,Paramètres!$A$1:$I$89,3,0)*0.475*44/12</f>
        <v>1.7578853210455609</v>
      </c>
      <c r="AC27" s="22">
        <f t="shared" si="3"/>
        <v>6.6405600421940987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14.8</v>
      </c>
      <c r="AI27" s="13">
        <f>IF('Données projet'!$A$62&gt;35,AI26+AH27-AQ26,IF(A27&lt;'Données projet'!$A$62,$AF$205^A27,IF(A27='Données projet'!$A$62,'Données projet'!$B$62,AI26+AH27-AQ26)))</f>
        <v>126.19999999999997</v>
      </c>
      <c r="AJ27" s="13">
        <f>AI27*VLOOKUP('Données projet'!$B$10,Paramètres!$A$1:$I$89,3,0)*VLOOKUP('Données projet'!$B$10,Paramètres!$A$1:$I$89,5,0)</f>
        <v>100.40472</v>
      </c>
      <c r="AK27" s="13">
        <f t="shared" si="35"/>
        <v>27.058393830330502</v>
      </c>
      <c r="AL27" s="20">
        <f t="shared" si="4"/>
        <v>221.99825658782561</v>
      </c>
      <c r="AM27" s="59">
        <f t="shared" si="5"/>
        <v>507.99825658782561</v>
      </c>
      <c r="AN27" s="59">
        <f ca="1">AVERAGE(OFFSET($AM$3,0,0,'Données projet'!$E$10+1,1))-AVERAGE(OFFSET($H$3,0,0,'Données projet'!$E$10+1,1))</f>
        <v>353.37479213497227</v>
      </c>
      <c r="AO27" s="59">
        <f t="shared" si="36"/>
        <v>345.4750813433123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6.5303660421892626</v>
      </c>
      <c r="AW27" s="21">
        <f>EXP(-LN(2)/2)*AW26+(1-EXP(-LN(2)/2))/(LN(2)/2)*AQ27*AT27*VLOOKUP('Données projet'!$B$10,Paramètres!$A$1:$I$89,3,0)*0.475*44/12</f>
        <v>1.9074925824111406</v>
      </c>
      <c r="AX27" s="21">
        <f t="shared" si="6"/>
        <v>8.4378586246004037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14.8</v>
      </c>
      <c r="BD27" s="12">
        <f>IF('Données projet'!$A$88&gt;35,BD26+BC27-BL26,IF(A27&lt;'Données projet'!$A$88,$BA$205^A27,IF(A27='Données projet'!$A$88,'Données projet'!$B$88,BD26+BC27-BL26)))</f>
        <v>126.19999999999997</v>
      </c>
      <c r="BE27" s="13">
        <f>BD27*VLOOKUP('Données projet'!$B$11,Paramètres!$A$1:$I$89,3,0)*VLOOKUP('Données projet'!$B$11,Paramètres!$A$1:$I$89,5,0)</f>
        <v>102.37344</v>
      </c>
      <c r="BF27" s="13">
        <f t="shared" si="37"/>
        <v>27.526662647523008</v>
      </c>
      <c r="BG27" s="20">
        <f t="shared" si="7"/>
        <v>226.24267877776924</v>
      </c>
      <c r="BH27" s="59">
        <f t="shared" si="8"/>
        <v>512.24267877776924</v>
      </c>
      <c r="BI27" s="59">
        <f ca="1">AVERAGE(OFFSET($BH$3,0,0,'Données projet'!$E$11+1,1))-AVERAGE(OFFSET($H$3,0,0,'Données projet'!$E$11+1,1))</f>
        <v>359.57284550600366</v>
      </c>
      <c r="BJ27" s="59">
        <f t="shared" si="38"/>
        <v>351.38386928091433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6.6584124351733678</v>
      </c>
      <c r="BR27" s="21">
        <f>EXP(-LN(2)/2)*BR26+(1-EXP(-LN(2)/2))/(LN(2)/2)*BL27*BO27*VLOOKUP('Données projet'!$B$11,Paramètres!$A$1:$I$89,3,0)*0.475*44/12</f>
        <v>1.9448943977525355</v>
      </c>
      <c r="BS27" s="22">
        <f t="shared" si="9"/>
        <v>8.6033068329259024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2.9487179487179498</v>
      </c>
      <c r="BY27" s="12">
        <f>IF('Données projet'!$A$114&gt;35,BY26+BX27-CG26,IF(A27&lt;'Données projet'!$A$114,$BV$205^A27,IF(A27='Données projet'!$A$114,'Données projet'!$B$114,BY26+BX27-CG26)))</f>
        <v>40.641025641025642</v>
      </c>
      <c r="BZ27" s="13">
        <f>BY27*VLOOKUP('Données projet'!$B$12,Paramètres!$A$1:$I$89,3,0)*VLOOKUP('Données projet'!$B$12,Paramètres!$A$1:$I$89,5,0)</f>
        <v>32.968000000000004</v>
      </c>
      <c r="CA27" s="13">
        <f t="shared" si="39"/>
        <v>10.114366524983168</v>
      </c>
      <c r="CB27" s="20">
        <f t="shared" si="10"/>
        <v>75.035121697679017</v>
      </c>
      <c r="CC27" s="59">
        <f t="shared" si="11"/>
        <v>361.03512169767902</v>
      </c>
      <c r="CD27" s="59">
        <f ca="1">AVERAGE(OFFSET($CC$3,0,0,'Données projet'!$E$12+1,1))-AVERAGE(OFFSET($H$3,0,0,'Données projet'!$E$12+1,1))</f>
        <v>159.4660488566085</v>
      </c>
      <c r="CE27" s="59">
        <f t="shared" si="40"/>
        <v>135.33030558297088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0.49581912005897927</v>
      </c>
      <c r="CM27" s="21">
        <f>EXP(-LN(2)/2)*CM26+(1-EXP(-LN(2)/2))/(LN(2)/2)*CG27*CJ27*VLOOKUP('Données projet'!$B$12,Paramètres!$A$1:$I$89,3,0)*0.475*44/12</f>
        <v>0.27598162252207614</v>
      </c>
      <c r="CN27" s="22">
        <f t="shared" si="12"/>
        <v>0.77180074258105535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14.8</v>
      </c>
      <c r="CT27" s="12">
        <f>IF('Données projet'!$A$140&gt;35,CT26+CS27-DB26,IF(A27&lt;'Données projet'!$A$140,$CQ$205^A27,IF(A27='Données projet'!$A$140,'Données projet'!$B$140,CT26+CS27-DB26)))</f>
        <v>126.19999999999997</v>
      </c>
      <c r="CU27" s="17">
        <f>CT27*VLOOKUP('Données projet'!$B$13,Paramètres!$A$1:$I$89,3,0)*VLOOKUP('Données projet'!$B$13,Paramètres!$A$1:$I$89,5,0)</f>
        <v>100.40472</v>
      </c>
      <c r="CV27" s="13">
        <f t="shared" si="41"/>
        <v>27.058393830330502</v>
      </c>
      <c r="CW27" s="20">
        <f t="shared" si="13"/>
        <v>221.99825658782561</v>
      </c>
      <c r="CX27" s="59">
        <f t="shared" si="14"/>
        <v>507.99825658782561</v>
      </c>
      <c r="CY27" s="59">
        <f ca="1">AVERAGE(OFFSET($CX$3,0,0,'Données projet'!$E$13+1,1))-AVERAGE(OFFSET($H$3,0,0,'Données projet'!$E$13+1,1))</f>
        <v>353.37479213497227</v>
      </c>
      <c r="CZ27" s="59">
        <f t="shared" si="42"/>
        <v>345.4750813433123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6.5303660421892626</v>
      </c>
      <c r="DH27" s="21">
        <f>EXP(-LN(2)/2)*DH26+(1-EXP(-LN(2)/2))/(LN(2)/2)*DB27*DE27*VLOOKUP('Données projet'!$B$13,Paramètres!$A$1:$I$89,3,0)*0.475*44/12</f>
        <v>1.9074925824111406</v>
      </c>
      <c r="DI27" s="22">
        <f t="shared" si="15"/>
        <v>8.4378586246004037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4.0942857142857143</v>
      </c>
      <c r="DO27" s="12">
        <f>IF('Données projet'!$A$166&gt;35,DO26+DN27-DW26,IF(A27&lt;'Données projet'!$A$166,$DL$205^A27,IF(A27='Données projet'!$A$166,'Données projet'!$B$166,DO26+DN27-DW26)))</f>
        <v>98.2628571428572</v>
      </c>
      <c r="DP27" s="17">
        <f>DO27*VLOOKUP('Données projet'!$B$14,Paramètres!$A$1:$I$89,3,0)*VLOOKUP('Données projet'!$B$14,Paramètres!$A$1:$I$89,5,0)</f>
        <v>88.908233142857185</v>
      </c>
      <c r="DQ27" s="13">
        <f t="shared" si="43"/>
        <v>24.301730375247274</v>
      </c>
      <c r="DR27" s="20">
        <f t="shared" si="16"/>
        <v>197.17401979403192</v>
      </c>
      <c r="DS27" s="59">
        <f t="shared" si="17"/>
        <v>483.17401979403189</v>
      </c>
      <c r="DT27" s="59">
        <f ca="1">AVERAGE(OFFSET($DS$3,0,0,'Données projet'!$E$14+1,1))-AVERAGE(OFFSET($H$3,0,0,'Données projet'!$E$14+1,1))</f>
        <v>635.71275911100679</v>
      </c>
      <c r="DU27" s="59">
        <f t="shared" si="44"/>
        <v>281.7776857269169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4.0942857142857143</v>
      </c>
      <c r="EJ27" s="12">
        <f>IF('Données projet'!$A$192&gt;35,EJ26+EI27-ER26,IF(A27&lt;'Données projet'!$A$192,$EG$205^A27,IF(A27='Données projet'!$A$192,'Données projet'!$B$192,EJ26+EI27-ER26)))</f>
        <v>98.2628571428572</v>
      </c>
      <c r="EK27" s="17">
        <f>EJ27*VLOOKUP('Données projet'!$B$15,Paramètres!$A$1:$I$89,3,0)*VLOOKUP('Données projet'!$B$15,Paramètres!$A$1:$I$89,5,0)</f>
        <v>65.914724571428607</v>
      </c>
      <c r="EL27" s="13">
        <f t="shared" si="45"/>
        <v>18.655416535431812</v>
      </c>
      <c r="EM27" s="20">
        <f t="shared" si="19"/>
        <v>147.29299576111521</v>
      </c>
      <c r="EN27" s="59">
        <f t="shared" si="20"/>
        <v>433.29299576111521</v>
      </c>
      <c r="EO27" s="59">
        <f ca="1">AVERAGE(OFFSET($EN$3,0,0,'Données projet'!$E$15+1,1))-AVERAGE(OFFSET($H$3,0,0,'Données projet'!$E$15+1,1))</f>
        <v>482.99915419700773</v>
      </c>
      <c r="EP27" s="59">
        <f t="shared" si="46"/>
        <v>219.74157899604279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4.0942857142857143</v>
      </c>
      <c r="FE27" s="12">
        <f>IF('Données projet'!$A$218&gt;35,FE26+FD27-FM26,IF(A27&lt;'Données projet'!$A$218,$FB$205^A27,IF(A27='Données projet'!$A$218,'Données projet'!$B$218,FE26+FD27-FM26)))</f>
        <v>98.2628571428572</v>
      </c>
      <c r="FF27" s="17">
        <f>FE27*VLOOKUP('Données projet'!$B$16,Paramètres!$A$1:$I$89,3,0)*VLOOKUP('Données projet'!$B$16,Paramètres!$A$1:$I$89,5,0)</f>
        <v>93.506934857142909</v>
      </c>
      <c r="FG27" s="13">
        <f t="shared" si="47"/>
        <v>25.409122394458233</v>
      </c>
      <c r="FH27" s="20">
        <f t="shared" si="22"/>
        <v>207.11213304653862</v>
      </c>
      <c r="FI27" s="59">
        <f t="shared" si="23"/>
        <v>493.11213304653859</v>
      </c>
      <c r="FJ27" s="59">
        <f ca="1">AVERAGE(OFFSET($FI$3,0,0,'Données projet'!$E$16+1,1))-AVERAGE(OFFSET($H$3,0,0,'Données projet'!$E$16+1,1))</f>
        <v>666.1523645983184</v>
      </c>
      <c r="FK27" s="59">
        <f t="shared" si="48"/>
        <v>294.13851344047526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141</v>
      </c>
      <c r="L28" s="12">
        <f>VLOOKUP(A28,'Données projet'!$A$35:$I$55,9,0)</f>
        <v>14.8</v>
      </c>
      <c r="M28" s="12">
        <f t="array" ref="M28">INDEX(L:L,MIN(IF(ISNUMBER(L28:L224),ROW(L28:L224),"")))</f>
        <v>14.8</v>
      </c>
      <c r="N28" s="13">
        <f>IF('Données projet'!$A$36&gt;35,N27+M28-V27,IF(A28&lt;'Données projet'!$A$36,$K$205^A28,IF(A28='Données projet'!$A$36,'Données projet'!$B$36,N27+M28-V27)))</f>
        <v>140.99999999999997</v>
      </c>
      <c r="O28" s="13">
        <f>N28*VLOOKUP('Données projet'!$B$9,Paramètres!$A$1:$I$89,3,0)*VLOOKUP('Données projet'!$B$9,Paramètres!$A$1:$I$89,5,0)</f>
        <v>103.38119999999998</v>
      </c>
      <c r="P28" s="13">
        <f t="shared" si="33"/>
        <v>27.765956260923325</v>
      </c>
      <c r="Q28" s="20">
        <f t="shared" si="2"/>
        <v>228.41463048777476</v>
      </c>
      <c r="R28" s="59">
        <f t="shared" si="0"/>
        <v>515.63685270999702</v>
      </c>
      <c r="S28" s="59">
        <f ca="1">AVERAGE(OFFSET($R$3,0,0,'Données projet'!$E$9+1,1))-AVERAGE(OFFSET($H$3,0,0,'Données projet'!$E$9+1,1))</f>
        <v>328.55631138162721</v>
      </c>
      <c r="T28" s="59">
        <f t="shared" si="34"/>
        <v>321.81422611044985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35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0.1075</v>
      </c>
      <c r="Y28" s="16">
        <f>IF(ISNA(VLOOKUP(A28,'Données projet'!$A$35:$I$55,7,0)),0%,VLOOKUP(A28,'Données projet'!$A$35:$I$55,7,0))</f>
        <v>0.25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7.7867726431228323</v>
      </c>
      <c r="AB28" s="21">
        <f>EXP(-LN(2)/2)*AB27+(1-EXP(-LN(2)/2))/(LN(2)/2)*V28*Y28*VLOOKUP('Données projet'!$B$9,Paramètres!$A$1:$I$89,3,0)*0.475*44/12</f>
        <v>7.2962095517104757</v>
      </c>
      <c r="AC28" s="22">
        <f t="shared" si="3"/>
        <v>15.082982194833308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141</v>
      </c>
      <c r="AG28" s="12">
        <f>VLOOKUP(A28,'Données projet'!$A$61:$I$81,9,0)</f>
        <v>14.8</v>
      </c>
      <c r="AH28" s="12">
        <f t="array" ref="AH28">INDEX(AG:AG,MIN(IF(ISNUMBER(AG28:AG224),ROW(AG28:AG224),"")))</f>
        <v>14.8</v>
      </c>
      <c r="AI28" s="13">
        <f>IF('Données projet'!$A$62&gt;35,AI27+AH28-AQ27,IF(A28&lt;'Données projet'!$A$62,$AF$205^A28,IF(A28='Données projet'!$A$62,'Données projet'!$B$62,AI27+AH28-AQ27)))</f>
        <v>140.99999999999997</v>
      </c>
      <c r="AJ28" s="13">
        <f>AI28*VLOOKUP('Données projet'!$B$10,Paramètres!$A$1:$I$89,3,0)*VLOOKUP('Données projet'!$B$10,Paramètres!$A$1:$I$89,5,0)</f>
        <v>112.17959999999998</v>
      </c>
      <c r="AK28" s="13">
        <f t="shared" si="35"/>
        <v>29.8439274472838</v>
      </c>
      <c r="AL28" s="20">
        <f t="shared" si="4"/>
        <v>247.35764363735257</v>
      </c>
      <c r="AM28" s="59">
        <f t="shared" si="5"/>
        <v>534.57986585957474</v>
      </c>
      <c r="AN28" s="59">
        <f ca="1">AVERAGE(OFFSET($AM$3,0,0,'Données projet'!$E$10+1,1))-AVERAGE(OFFSET($H$3,0,0,'Données projet'!$E$10+1,1))</f>
        <v>353.37479213497227</v>
      </c>
      <c r="AO28" s="59">
        <f t="shared" si="36"/>
        <v>345.4750813433123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35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0.13250000000000001</v>
      </c>
      <c r="AT28" s="16">
        <f>IF(ISNA(VLOOKUP(A28,'Données projet'!$A$61:$I$81,7,0)),0%,VLOOKUP(A28,'Données projet'!$A$61:$I$81,7,0))</f>
        <v>0.25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10.414471278753595</v>
      </c>
      <c r="AW28" s="21">
        <f>EXP(-LN(2)/2)*AW27+(1-EXP(-LN(2)/2))/(LN(2)/2)*AQ28*AT28*VLOOKUP('Données projet'!$B$10,Paramètres!$A$1:$I$89,3,0)*0.475*44/12</f>
        <v>7.917163556111368</v>
      </c>
      <c r="AX28" s="21">
        <f t="shared" si="6"/>
        <v>18.331634834864964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141</v>
      </c>
      <c r="BB28" s="12">
        <f>VLOOKUP(A28,'Données projet'!$A$87:$I$107,9,0)</f>
        <v>14.8</v>
      </c>
      <c r="BC28" s="12">
        <f t="array" ref="BC28">INDEX(BB:BB,MIN(IF(ISNUMBER(BB28:BB224),ROW(BB28:BB224),"")))</f>
        <v>14.8</v>
      </c>
      <c r="BD28" s="12">
        <f>IF('Données projet'!$A$88&gt;35,BD27+BC28-BL27,IF(A28&lt;'Données projet'!$A$88,$BA$205^A28,IF(A28='Données projet'!$A$88,'Données projet'!$B$88,BD27+BC28-BL27)))</f>
        <v>140.99999999999997</v>
      </c>
      <c r="BE28" s="13">
        <f>BD28*VLOOKUP('Données projet'!$B$11,Paramètres!$A$1:$I$89,3,0)*VLOOKUP('Données projet'!$B$11,Paramètres!$A$1:$I$89,5,0)</f>
        <v>114.3792</v>
      </c>
      <c r="BF28" s="13">
        <f t="shared" si="37"/>
        <v>30.360402323573549</v>
      </c>
      <c r="BG28" s="20">
        <f t="shared" si="7"/>
        <v>252.08814071355724</v>
      </c>
      <c r="BH28" s="59">
        <f t="shared" si="8"/>
        <v>539.31036293577949</v>
      </c>
      <c r="BI28" s="59">
        <f ca="1">AVERAGE(OFFSET($BH$3,0,0,'Données projet'!$E$11+1,1))-AVERAGE(OFFSET($H$3,0,0,'Données projet'!$E$11+1,1))</f>
        <v>359.57284550600366</v>
      </c>
      <c r="BJ28" s="59">
        <f t="shared" si="38"/>
        <v>351.38386928091433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35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0.13250000000000001</v>
      </c>
      <c r="BO28" s="16">
        <f>IF(ISNA(VLOOKUP(A28,'Données projet'!$A$87:$I$107,7,0)),0%,VLOOKUP(A28,'Données projet'!$A$87:$I$107,7,0))</f>
        <v>0.25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10.618676597944845</v>
      </c>
      <c r="BR28" s="21">
        <f>EXP(-LN(2)/2)*BR27+(1-EXP(-LN(2)/2))/(LN(2)/2)*BL28*BO28*VLOOKUP('Données projet'!$B$11,Paramètres!$A$1:$I$89,3,0)*0.475*44/12</f>
        <v>8.0724020572115904</v>
      </c>
      <c r="BS28" s="22">
        <f t="shared" si="9"/>
        <v>18.691078655156435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43.589743589743591</v>
      </c>
      <c r="BW28" s="12">
        <f>VLOOKUP(A28,'Données projet'!$A$113:$I$133,9,0)</f>
        <v>2.9487179487179498</v>
      </c>
      <c r="BX28" s="12">
        <f t="array" ref="BX28">INDEX(BW:BW,MIN(IF(ISNUMBER(BW28:BW224),ROW(BW28:BW224),"")))</f>
        <v>2.9487179487179498</v>
      </c>
      <c r="BY28" s="12">
        <f>IF('Données projet'!$A$114&gt;35,BY27+BX28-CG27,IF(A28&lt;'Données projet'!$A$114,$BV$205^A28,IF(A28='Données projet'!$A$114,'Données projet'!$B$114,BY27+BX28-CG27)))</f>
        <v>43.589743589743591</v>
      </c>
      <c r="BZ28" s="13">
        <f>BY28*VLOOKUP('Données projet'!$B$12,Paramètres!$A$1:$I$89,3,0)*VLOOKUP('Données projet'!$B$12,Paramètres!$A$1:$I$89,5,0)</f>
        <v>35.360000000000007</v>
      </c>
      <c r="CA28" s="13">
        <f t="shared" si="39"/>
        <v>10.760129410861797</v>
      </c>
      <c r="CB28" s="20">
        <f t="shared" si="10"/>
        <v>80.325892057250982</v>
      </c>
      <c r="CC28" s="59">
        <f t="shared" si="11"/>
        <v>367.54811427947322</v>
      </c>
      <c r="CD28" s="59">
        <f ca="1">AVERAGE(OFFSET($CC$3,0,0,'Données projet'!$E$12+1,1))-AVERAGE(OFFSET($H$3,0,0,'Données projet'!$E$12+1,1))</f>
        <v>159.4660488566085</v>
      </c>
      <c r="CE28" s="59">
        <f t="shared" si="40"/>
        <v>135.33030558297088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5.1282051282051277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0.1075</v>
      </c>
      <c r="CJ28" s="16">
        <f>IF(ISNA(VLOOKUP(A28,'Données projet'!$A$113:$I$133,7,0)),0%,VLOOKUP(A28,'Données projet'!$A$113:$I$133,7,0))</f>
        <v>0.25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0.97468076517113511</v>
      </c>
      <c r="CM28" s="21">
        <f>EXP(-LN(2)/2)*CM27+(1-EXP(-LN(2)/2))/(LN(2)/2)*CG28*CJ28*VLOOKUP('Données projet'!$B$12,Paramètres!$A$1:$I$89,3,0)*0.475*44/12</f>
        <v>1.1764164679578297</v>
      </c>
      <c r="CN28" s="22">
        <f t="shared" si="12"/>
        <v>2.1510972331289651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141</v>
      </c>
      <c r="CR28" s="12">
        <f>VLOOKUP(A28,'Données projet'!$A$139:$I$159,9,0)</f>
        <v>14.8</v>
      </c>
      <c r="CS28" s="12">
        <f t="array" ref="CS28">INDEX(CR:CR,MIN(IF(ISNUMBER(CR28:CR224),ROW(CR28:CR224),"")))</f>
        <v>14.8</v>
      </c>
      <c r="CT28" s="12">
        <f>IF('Données projet'!$A$140&gt;35,CT27+CS28-DB27,IF(A28&lt;'Données projet'!$A$140,$CQ$205^A28,IF(A28='Données projet'!$A$140,'Données projet'!$B$140,CT27+CS28-DB27)))</f>
        <v>140.99999999999997</v>
      </c>
      <c r="CU28" s="17">
        <f>CT28*VLOOKUP('Données projet'!$B$13,Paramètres!$A$1:$I$89,3,0)*VLOOKUP('Données projet'!$B$13,Paramètres!$A$1:$I$89,5,0)</f>
        <v>112.17959999999998</v>
      </c>
      <c r="CV28" s="13">
        <f t="shared" si="41"/>
        <v>29.8439274472838</v>
      </c>
      <c r="CW28" s="20">
        <f t="shared" si="13"/>
        <v>247.35764363735257</v>
      </c>
      <c r="CX28" s="59">
        <f t="shared" si="14"/>
        <v>534.57986585957474</v>
      </c>
      <c r="CY28" s="59">
        <f ca="1">AVERAGE(OFFSET($CX$3,0,0,'Données projet'!$E$13+1,1))-AVERAGE(OFFSET($H$3,0,0,'Données projet'!$E$13+1,1))</f>
        <v>353.37479213497227</v>
      </c>
      <c r="CZ28" s="59">
        <f t="shared" si="42"/>
        <v>345.4750813433123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35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0.13250000000000001</v>
      </c>
      <c r="DE28" s="16">
        <f>IF(ISNA(VLOOKUP(A28,'Données projet'!$A$139:$I$159,7,0)),0%,VLOOKUP(A28,'Données projet'!$A$139:$I$159,7,0))</f>
        <v>0.25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10.414471278753595</v>
      </c>
      <c r="DH28" s="21">
        <f>EXP(-LN(2)/2)*DH27+(1-EXP(-LN(2)/2))/(LN(2)/2)*DB28*DE28*VLOOKUP('Données projet'!$B$13,Paramètres!$A$1:$I$89,3,0)*0.475*44/12</f>
        <v>7.917163556111368</v>
      </c>
      <c r="DI28" s="22">
        <f t="shared" si="15"/>
        <v>18.331634834864964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4.0942857142857143</v>
      </c>
      <c r="DO28" s="12">
        <f>IF('Données projet'!$A$166&gt;35,DO27+DN28-DW27,IF(A28&lt;'Données projet'!$A$166,$DL$205^A28,IF(A28='Données projet'!$A$166,'Données projet'!$B$166,DO27+DN28-DW27)))</f>
        <v>102.35714285714292</v>
      </c>
      <c r="DP28" s="17">
        <f>DO28*VLOOKUP('Données projet'!$B$14,Paramètres!$A$1:$I$89,3,0)*VLOOKUP('Données projet'!$B$14,Paramètres!$A$1:$I$89,5,0)</f>
        <v>92.612742857142905</v>
      </c>
      <c r="DQ28" s="13">
        <f t="shared" si="43"/>
        <v>25.194302332262133</v>
      </c>
      <c r="DR28" s="20">
        <f t="shared" si="16"/>
        <v>205.18060370488044</v>
      </c>
      <c r="DS28" s="59">
        <f t="shared" si="17"/>
        <v>492.40282592710264</v>
      </c>
      <c r="DT28" s="59">
        <f ca="1">AVERAGE(OFFSET($DS$3,0,0,'Données projet'!$E$14+1,1))-AVERAGE(OFFSET($H$3,0,0,'Données projet'!$E$14+1,1))</f>
        <v>635.71275911100679</v>
      </c>
      <c r="DU28" s="59">
        <f t="shared" si="44"/>
        <v>281.7776857269169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4.0942857142857143</v>
      </c>
      <c r="EJ28" s="12">
        <f>IF('Données projet'!$A$192&gt;35,EJ27+EI28-ER27,IF(A28&lt;'Données projet'!$A$192,$EG$205^A28,IF(A28='Données projet'!$A$192,'Données projet'!$B$192,EJ27+EI28-ER27)))</f>
        <v>102.35714285714292</v>
      </c>
      <c r="EK28" s="17">
        <f>EJ28*VLOOKUP('Données projet'!$B$15,Paramètres!$A$1:$I$89,3,0)*VLOOKUP('Données projet'!$B$15,Paramètres!$A$1:$I$89,5,0)</f>
        <v>68.661171428571464</v>
      </c>
      <c r="EL28" s="13">
        <f t="shared" si="45"/>
        <v>19.340606494699816</v>
      </c>
      <c r="EM28" s="20">
        <f t="shared" si="19"/>
        <v>153.26976321636414</v>
      </c>
      <c r="EN28" s="59">
        <f t="shared" si="20"/>
        <v>440.49198543858637</v>
      </c>
      <c r="EO28" s="59">
        <f ca="1">AVERAGE(OFFSET($EN$3,0,0,'Données projet'!$E$15+1,1))-AVERAGE(OFFSET($H$3,0,0,'Données projet'!$E$15+1,1))</f>
        <v>482.99915419700773</v>
      </c>
      <c r="EP28" s="59">
        <f t="shared" si="46"/>
        <v>219.74157899604279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4.0942857142857143</v>
      </c>
      <c r="FE28" s="12">
        <f>IF('Données projet'!$A$218&gt;35,FE27+FD28-FM27,IF(A28&lt;'Données projet'!$A$218,$FB$205^A28,IF(A28='Données projet'!$A$218,'Données projet'!$B$218,FE27+FD28-FM27)))</f>
        <v>102.35714285714292</v>
      </c>
      <c r="FF28" s="17">
        <f>FE28*VLOOKUP('Données projet'!$B$16,Paramètres!$A$1:$I$89,3,0)*VLOOKUP('Données projet'!$B$16,Paramètres!$A$1:$I$89,5,0)</f>
        <v>97.403057142857193</v>
      </c>
      <c r="FG28" s="13">
        <f t="shared" si="47"/>
        <v>26.342367465959477</v>
      </c>
      <c r="FH28" s="20">
        <f t="shared" si="22"/>
        <v>215.52328119368903</v>
      </c>
      <c r="FI28" s="59">
        <f t="shared" si="23"/>
        <v>502.74550341591123</v>
      </c>
      <c r="FJ28" s="59">
        <f ca="1">AVERAGE(OFFSET($FI$3,0,0,'Données projet'!$E$16+1,1))-AVERAGE(OFFSET($H$3,0,0,'Données projet'!$E$16+1,1))</f>
        <v>666.1523645983184</v>
      </c>
      <c r="FK28" s="59">
        <f t="shared" si="48"/>
        <v>294.13851344047526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14.2</v>
      </c>
      <c r="N29" s="13">
        <f>IF('Données projet'!$A$36&gt;35,N28+M29-V28,IF(A29&lt;'Données projet'!$A$36,$K$205^A29,IF(A29='Données projet'!$A$36,'Données projet'!$B$36,N28+M29-V28)))</f>
        <v>120.19999999999996</v>
      </c>
      <c r="O29" s="13">
        <f>N29*VLOOKUP('Données projet'!$B$9,Paramètres!$A$1:$I$89,3,0)*VLOOKUP('Données projet'!$B$9,Paramètres!$A$1:$I$89,5,0)</f>
        <v>88.130639999999971</v>
      </c>
      <c r="P29" s="13">
        <f t="shared" si="33"/>
        <v>24.113831111728981</v>
      </c>
      <c r="Q29" s="20">
        <f t="shared" si="2"/>
        <v>195.49245385292792</v>
      </c>
      <c r="R29" s="59">
        <f t="shared" si="0"/>
        <v>483.93689829737241</v>
      </c>
      <c r="S29" s="59">
        <f ca="1">AVERAGE(OFFSET($R$3,0,0,'Données projet'!$E$9+1,1))-AVERAGE(OFFSET($H$3,0,0,'Données projet'!$E$9+1,1))</f>
        <v>328.55631138162721</v>
      </c>
      <c r="T29" s="59">
        <f t="shared" si="34"/>
        <v>321.81422611044985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7.5738429357080621</v>
      </c>
      <c r="AB29" s="21">
        <f>EXP(-LN(2)/2)*AB28+(1-EXP(-LN(2)/2))/(LN(2)/2)*V29*Y29*VLOOKUP('Données projet'!$B$9,Paramètres!$A$1:$I$89,3,0)*0.475*44/12</f>
        <v>5.159199250972538</v>
      </c>
      <c r="AC29" s="22">
        <f t="shared" si="3"/>
        <v>12.733042186680599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14.2</v>
      </c>
      <c r="AI29" s="13">
        <f>IF('Données projet'!$A$62&gt;35,AI28+AH29-AQ28,IF(A29&lt;'Données projet'!$A$62,$AF$205^A29,IF(A29='Données projet'!$A$62,'Données projet'!$B$62,AI28+AH29-AQ28)))</f>
        <v>120.19999999999996</v>
      </c>
      <c r="AJ29" s="13">
        <f>AI29*VLOOKUP('Données projet'!$B$10,Paramètres!$A$1:$I$89,3,0)*VLOOKUP('Données projet'!$B$10,Paramètres!$A$1:$I$89,5,0)</f>
        <v>95.631119999999967</v>
      </c>
      <c r="AK29" s="13">
        <f t="shared" si="35"/>
        <v>25.918481589892234</v>
      </c>
      <c r="AL29" s="20">
        <f t="shared" si="4"/>
        <v>211.69888943572892</v>
      </c>
      <c r="AM29" s="59">
        <f t="shared" si="5"/>
        <v>500.14333388017337</v>
      </c>
      <c r="AN29" s="59">
        <f ca="1">AVERAGE(OFFSET($AM$3,0,0,'Données projet'!$E$10+1,1))-AVERAGE(OFFSET($H$3,0,0,'Données projet'!$E$10+1,1))</f>
        <v>353.37479213497227</v>
      </c>
      <c r="AO29" s="59">
        <f t="shared" si="36"/>
        <v>345.4750813433123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10.129687013962837</v>
      </c>
      <c r="AW29" s="21">
        <f>EXP(-LN(2)/2)*AW28+(1-EXP(-LN(2)/2))/(LN(2)/2)*AQ29*AT29*VLOOKUP('Données projet'!$B$10,Paramètres!$A$1:$I$89,3,0)*0.475*44/12</f>
        <v>5.5982800382893503</v>
      </c>
      <c r="AX29" s="21">
        <f t="shared" si="6"/>
        <v>15.727967052252186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14.2</v>
      </c>
      <c r="BD29" s="12">
        <f>IF('Données projet'!$A$88&gt;35,BD28+BC29-BL28,IF(A29&lt;'Données projet'!$A$88,$BA$205^A29,IF(A29='Données projet'!$A$88,'Données projet'!$B$88,BD28+BC29-BL28)))</f>
        <v>120.19999999999996</v>
      </c>
      <c r="BE29" s="13">
        <f>BD29*VLOOKUP('Données projet'!$B$11,Paramètres!$A$1:$I$89,3,0)*VLOOKUP('Données projet'!$B$11,Paramètres!$A$1:$I$89,5,0)</f>
        <v>97.506239999999977</v>
      </c>
      <c r="BF29" s="13">
        <f t="shared" si="37"/>
        <v>26.367023243681039</v>
      </c>
      <c r="BG29" s="20">
        <f t="shared" si="7"/>
        <v>215.74593348274445</v>
      </c>
      <c r="BH29" s="59">
        <f t="shared" si="8"/>
        <v>504.19037792718893</v>
      </c>
      <c r="BI29" s="59">
        <f ca="1">AVERAGE(OFFSET($BH$3,0,0,'Données projet'!$E$11+1,1))-AVERAGE(OFFSET($H$3,0,0,'Données projet'!$E$11+1,1))</f>
        <v>359.57284550600366</v>
      </c>
      <c r="BJ29" s="59">
        <f t="shared" si="38"/>
        <v>351.38386928091433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10.328308327962111</v>
      </c>
      <c r="BR29" s="21">
        <f>EXP(-LN(2)/2)*BR28+(1-EXP(-LN(2)/2))/(LN(2)/2)*BL29*BO29*VLOOKUP('Données projet'!$B$11,Paramètres!$A$1:$I$89,3,0)*0.475*44/12</f>
        <v>5.7080502351185523</v>
      </c>
      <c r="BS29" s="22">
        <f t="shared" si="9"/>
        <v>16.036358563080661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3.0769230769230744</v>
      </c>
      <c r="BY29" s="12">
        <f>IF('Données projet'!$A$114&gt;35,BY28+BX29-CG28,IF(A29&lt;'Données projet'!$A$114,$BV$205^A29,IF(A29='Données projet'!$A$114,'Données projet'!$B$114,BY28+BX29-CG28)))</f>
        <v>41.538461538461533</v>
      </c>
      <c r="BZ29" s="13">
        <f>BY29*VLOOKUP('Données projet'!$B$12,Paramètres!$A$1:$I$89,3,0)*VLOOKUP('Données projet'!$B$12,Paramètres!$A$1:$I$89,5,0)</f>
        <v>33.695999999999998</v>
      </c>
      <c r="CA29" s="13">
        <f t="shared" si="39"/>
        <v>10.311463159807191</v>
      </c>
      <c r="CB29" s="20">
        <f t="shared" si="10"/>
        <v>76.646331669997508</v>
      </c>
      <c r="CC29" s="59">
        <f t="shared" si="11"/>
        <v>365.09077611444195</v>
      </c>
      <c r="CD29" s="59">
        <f ca="1">AVERAGE(OFFSET($CC$3,0,0,'Données projet'!$E$12+1,1))-AVERAGE(OFFSET($H$3,0,0,'Données projet'!$E$12+1,1))</f>
        <v>159.4660488566085</v>
      </c>
      <c r="CE29" s="59">
        <f t="shared" si="40"/>
        <v>135.33030558297088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0.94802806839129661</v>
      </c>
      <c r="CM29" s="21">
        <f>EXP(-LN(2)/2)*CM28+(1-EXP(-LN(2)/2))/(LN(2)/2)*CG29*CJ29*VLOOKUP('Données projet'!$B$12,Paramètres!$A$1:$I$89,3,0)*0.475*44/12</f>
        <v>0.83185206199250827</v>
      </c>
      <c r="CN29" s="22">
        <f t="shared" si="12"/>
        <v>1.779880130383805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14.2</v>
      </c>
      <c r="CT29" s="12">
        <f>IF('Données projet'!$A$140&gt;35,CT28+CS29-DB28,IF(A29&lt;'Données projet'!$A$140,$CQ$205^A29,IF(A29='Données projet'!$A$140,'Données projet'!$B$140,CT28+CS29-DB28)))</f>
        <v>120.19999999999996</v>
      </c>
      <c r="CU29" s="17">
        <f>CT29*VLOOKUP('Données projet'!$B$13,Paramètres!$A$1:$I$89,3,0)*VLOOKUP('Données projet'!$B$13,Paramètres!$A$1:$I$89,5,0)</f>
        <v>95.631119999999967</v>
      </c>
      <c r="CV29" s="13">
        <f t="shared" si="41"/>
        <v>25.918481589892234</v>
      </c>
      <c r="CW29" s="20">
        <f t="shared" si="13"/>
        <v>211.69888943572892</v>
      </c>
      <c r="CX29" s="59">
        <f t="shared" si="14"/>
        <v>500.14333388017337</v>
      </c>
      <c r="CY29" s="59">
        <f ca="1">AVERAGE(OFFSET($CX$3,0,0,'Données projet'!$E$13+1,1))-AVERAGE(OFFSET($H$3,0,0,'Données projet'!$E$13+1,1))</f>
        <v>353.37479213497227</v>
      </c>
      <c r="CZ29" s="59">
        <f t="shared" si="42"/>
        <v>345.4750813433123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10.129687013962837</v>
      </c>
      <c r="DH29" s="21">
        <f>EXP(-LN(2)/2)*DH28+(1-EXP(-LN(2)/2))/(LN(2)/2)*DB29*DE29*VLOOKUP('Données projet'!$B$13,Paramètres!$A$1:$I$89,3,0)*0.475*44/12</f>
        <v>5.5982800382893503</v>
      </c>
      <c r="DI29" s="22">
        <f t="shared" si="15"/>
        <v>15.727967052252186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4.0942857142857143</v>
      </c>
      <c r="DO29" s="12">
        <f>IF('Données projet'!$A$166&gt;35,DO28+DN29-DW28,IF(A29&lt;'Données projet'!$A$166,$DL$205^A29,IF(A29='Données projet'!$A$166,'Données projet'!$B$166,DO28+DN29-DW28)))</f>
        <v>106.45142857142864</v>
      </c>
      <c r="DP29" s="17">
        <f>DO29*VLOOKUP('Données projet'!$B$14,Paramètres!$A$1:$I$89,3,0)*VLOOKUP('Données projet'!$B$14,Paramètres!$A$1:$I$89,5,0)</f>
        <v>96.317252571428625</v>
      </c>
      <c r="DQ29" s="13">
        <f t="shared" si="43"/>
        <v>26.082726965934707</v>
      </c>
      <c r="DR29" s="20">
        <f t="shared" si="16"/>
        <v>213.1799643609078</v>
      </c>
      <c r="DS29" s="59">
        <f t="shared" si="17"/>
        <v>501.62440880535223</v>
      </c>
      <c r="DT29" s="59">
        <f ca="1">AVERAGE(OFFSET($DS$3,0,0,'Données projet'!$E$14+1,1))-AVERAGE(OFFSET($H$3,0,0,'Données projet'!$E$14+1,1))</f>
        <v>635.71275911100679</v>
      </c>
      <c r="DU29" s="59">
        <f t="shared" si="44"/>
        <v>281.7776857269169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4.0942857142857143</v>
      </c>
      <c r="EJ29" s="12">
        <f>IF('Données projet'!$A$192&gt;35,EJ28+EI29-ER28,IF(A29&lt;'Données projet'!$A$192,$EG$205^A29,IF(A29='Données projet'!$A$192,'Données projet'!$B$192,EJ28+EI29-ER28)))</f>
        <v>106.45142857142864</v>
      </c>
      <c r="EK29" s="17">
        <f>EJ29*VLOOKUP('Données projet'!$B$15,Paramètres!$A$1:$I$89,3,0)*VLOOKUP('Données projet'!$B$15,Paramètres!$A$1:$I$89,5,0)</f>
        <v>71.407618285714335</v>
      </c>
      <c r="EL29" s="13">
        <f t="shared" si="45"/>
        <v>20.022612728230477</v>
      </c>
      <c r="EM29" s="20">
        <f t="shared" si="19"/>
        <v>159.24098568262056</v>
      </c>
      <c r="EN29" s="59">
        <f t="shared" si="20"/>
        <v>447.68543012706505</v>
      </c>
      <c r="EO29" s="59">
        <f ca="1">AVERAGE(OFFSET($EN$3,0,0,'Données projet'!$E$15+1,1))-AVERAGE(OFFSET($H$3,0,0,'Données projet'!$E$15+1,1))</f>
        <v>482.99915419700773</v>
      </c>
      <c r="EP29" s="59">
        <f t="shared" si="46"/>
        <v>219.74157899604279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4.0942857142857143</v>
      </c>
      <c r="FE29" s="12">
        <f>IF('Données projet'!$A$218&gt;35,FE28+FD29-FM28,IF(A29&lt;'Données projet'!$A$218,$FB$205^A29,IF(A29='Données projet'!$A$218,'Données projet'!$B$218,FE28+FD29-FM28)))</f>
        <v>106.45142857142864</v>
      </c>
      <c r="FF29" s="17">
        <f>FE29*VLOOKUP('Données projet'!$B$16,Paramètres!$A$1:$I$89,3,0)*VLOOKUP('Données projet'!$B$16,Paramètres!$A$1:$I$89,5,0)</f>
        <v>101.29917942857151</v>
      </c>
      <c r="FG29" s="13">
        <f t="shared" si="47"/>
        <v>27.271276227050439</v>
      </c>
      <c r="FH29" s="20">
        <f t="shared" si="22"/>
        <v>223.92687693354154</v>
      </c>
      <c r="FI29" s="59">
        <f t="shared" si="23"/>
        <v>512.37132137798596</v>
      </c>
      <c r="FJ29" s="59">
        <f ca="1">AVERAGE(OFFSET($FI$3,0,0,'Données projet'!$E$16+1,1))-AVERAGE(OFFSET($H$3,0,0,'Données projet'!$E$16+1,1))</f>
        <v>666.1523645983184</v>
      </c>
      <c r="FK29" s="59">
        <f t="shared" si="48"/>
        <v>294.13851344047526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14.2</v>
      </c>
      <c r="N30" s="13">
        <f>IF('Données projet'!$A$36&gt;35,N29+M30-V29,IF(A30&lt;'Données projet'!$A$36,$K$205^A30,IF(A30='Données projet'!$A$36,'Données projet'!$B$36,N29+M30-V29)))</f>
        <v>134.39999999999995</v>
      </c>
      <c r="O30" s="13">
        <f>N30*VLOOKUP('Données projet'!$B$9,Paramètres!$A$1:$I$89,3,0)*VLOOKUP('Données projet'!$B$9,Paramètres!$A$1:$I$89,5,0)</f>
        <v>98.542079999999956</v>
      </c>
      <c r="P30" s="13">
        <f t="shared" si="33"/>
        <v>26.614371888975242</v>
      </c>
      <c r="Q30" s="20">
        <f t="shared" si="2"/>
        <v>217.98082037329846</v>
      </c>
      <c r="R30" s="59">
        <f t="shared" si="0"/>
        <v>507.64748703996514</v>
      </c>
      <c r="S30" s="59">
        <f ca="1">AVERAGE(OFFSET($R$3,0,0,'Données projet'!$E$9+1,1))-AVERAGE(OFFSET($H$3,0,0,'Données projet'!$E$9+1,1))</f>
        <v>328.55631138162721</v>
      </c>
      <c r="T30" s="59">
        <f t="shared" si="34"/>
        <v>321.81422611044985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7.3667358023400356</v>
      </c>
      <c r="AB30" s="21">
        <f>EXP(-LN(2)/2)*AB29+(1-EXP(-LN(2)/2))/(LN(2)/2)*V30*Y30*VLOOKUP('Données projet'!$B$9,Paramètres!$A$1:$I$89,3,0)*0.475*44/12</f>
        <v>3.6481047758552387</v>
      </c>
      <c r="AC30" s="22">
        <f t="shared" si="3"/>
        <v>11.014840578195274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14.2</v>
      </c>
      <c r="AI30" s="13">
        <f>IF('Données projet'!$A$62&gt;35,AI29+AH30-AQ29,IF(A30&lt;'Données projet'!$A$62,$AF$205^A30,IF(A30='Données projet'!$A$62,'Données projet'!$B$62,AI29+AH30-AQ29)))</f>
        <v>134.39999999999995</v>
      </c>
      <c r="AJ30" s="13">
        <f>AI30*VLOOKUP('Données projet'!$B$10,Paramètres!$A$1:$I$89,3,0)*VLOOKUP('Données projet'!$B$10,Paramètres!$A$1:$I$89,5,0)</f>
        <v>106.92863999999996</v>
      </c>
      <c r="AK30" s="13">
        <f t="shared" si="35"/>
        <v>28.606159868782917</v>
      </c>
      <c r="AL30" s="20">
        <f t="shared" si="4"/>
        <v>236.05644310479681</v>
      </c>
      <c r="AM30" s="59">
        <f t="shared" si="5"/>
        <v>525.72310977146344</v>
      </c>
      <c r="AN30" s="59">
        <f ca="1">AVERAGE(OFFSET($AM$3,0,0,'Données projet'!$E$10+1,1))-AVERAGE(OFFSET($H$3,0,0,'Données projet'!$E$10+1,1))</f>
        <v>353.37479213497227</v>
      </c>
      <c r="AO30" s="59">
        <f t="shared" si="36"/>
        <v>345.4750813433123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9.8526901898689339</v>
      </c>
      <c r="AW30" s="21">
        <f>EXP(-LN(2)/2)*AW29+(1-EXP(-LN(2)/2))/(LN(2)/2)*AQ30*AT30*VLOOKUP('Données projet'!$B$10,Paramètres!$A$1:$I$89,3,0)*0.475*44/12</f>
        <v>3.9585817780556849</v>
      </c>
      <c r="AX30" s="21">
        <f t="shared" si="6"/>
        <v>13.811271967924618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14.2</v>
      </c>
      <c r="BD30" s="12">
        <f>IF('Données projet'!$A$88&gt;35,BD29+BC30-BL29,IF(A30&lt;'Données projet'!$A$88,$BA$205^A30,IF(A30='Données projet'!$A$88,'Données projet'!$B$88,BD29+BC30-BL29)))</f>
        <v>134.39999999999995</v>
      </c>
      <c r="BE30" s="13">
        <f>BD30*VLOOKUP('Données projet'!$B$11,Paramètres!$A$1:$I$89,3,0)*VLOOKUP('Données projet'!$B$11,Paramètres!$A$1:$I$89,5,0)</f>
        <v>109.02527999999997</v>
      </c>
      <c r="BF30" s="13">
        <f t="shared" si="37"/>
        <v>29.101214110737224</v>
      </c>
      <c r="BG30" s="20">
        <f t="shared" si="7"/>
        <v>240.57031057620057</v>
      </c>
      <c r="BH30" s="59">
        <f t="shared" si="8"/>
        <v>530.23697724286728</v>
      </c>
      <c r="BI30" s="59">
        <f ca="1">AVERAGE(OFFSET($BH$3,0,0,'Données projet'!$E$11+1,1))-AVERAGE(OFFSET($H$3,0,0,'Données projet'!$E$11+1,1))</f>
        <v>359.57284550600366</v>
      </c>
      <c r="BJ30" s="59">
        <f t="shared" si="38"/>
        <v>351.38386928091433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10.045880193591858</v>
      </c>
      <c r="BR30" s="21">
        <f>EXP(-LN(2)/2)*BR29+(1-EXP(-LN(2)/2))/(LN(2)/2)*BL30*BO30*VLOOKUP('Données projet'!$B$11,Paramètres!$A$1:$I$89,3,0)*0.475*44/12</f>
        <v>4.0362010286057952</v>
      </c>
      <c r="BS30" s="22">
        <f t="shared" si="9"/>
        <v>14.082081222197653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3.0769230769230744</v>
      </c>
      <c r="BY30" s="12">
        <f>IF('Données projet'!$A$114&gt;35,BY29+BX30-CG29,IF(A30&lt;'Données projet'!$A$114,$BV$205^A30,IF(A30='Données projet'!$A$114,'Données projet'!$B$114,BY29+BX30-CG29)))</f>
        <v>44.615384615384606</v>
      </c>
      <c r="BZ30" s="13">
        <f>BY30*VLOOKUP('Données projet'!$B$12,Paramètres!$A$1:$I$89,3,0)*VLOOKUP('Données projet'!$B$12,Paramètres!$A$1:$I$89,5,0)</f>
        <v>36.191999999999993</v>
      </c>
      <c r="CA30" s="13">
        <f t="shared" si="39"/>
        <v>10.983535130004645</v>
      </c>
      <c r="CB30" s="20">
        <f t="shared" si="10"/>
        <v>82.164057018091412</v>
      </c>
      <c r="CC30" s="59">
        <f t="shared" si="11"/>
        <v>371.83072368475808</v>
      </c>
      <c r="CD30" s="59">
        <f ca="1">AVERAGE(OFFSET($CC$3,0,0,'Données projet'!$E$12+1,1))-AVERAGE(OFFSET($H$3,0,0,'Données projet'!$E$12+1,1))</f>
        <v>159.4660488566085</v>
      </c>
      <c r="CE30" s="59">
        <f t="shared" si="40"/>
        <v>135.33030558297088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0.9221041910065072</v>
      </c>
      <c r="CM30" s="21">
        <f>EXP(-LN(2)/2)*CM29+(1-EXP(-LN(2)/2))/(LN(2)/2)*CG30*CJ30*VLOOKUP('Données projet'!$B$12,Paramètres!$A$1:$I$89,3,0)*0.475*44/12</f>
        <v>0.58820823397891497</v>
      </c>
      <c r="CN30" s="22">
        <f t="shared" si="12"/>
        <v>1.5103124249854223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14.2</v>
      </c>
      <c r="CT30" s="12">
        <f>IF('Données projet'!$A$140&gt;35,CT29+CS30-DB29,IF(A30&lt;'Données projet'!$A$140,$CQ$205^A30,IF(A30='Données projet'!$A$140,'Données projet'!$B$140,CT29+CS30-DB29)))</f>
        <v>134.39999999999995</v>
      </c>
      <c r="CU30" s="17">
        <f>CT30*VLOOKUP('Données projet'!$B$13,Paramètres!$A$1:$I$89,3,0)*VLOOKUP('Données projet'!$B$13,Paramètres!$A$1:$I$89,5,0)</f>
        <v>106.92863999999996</v>
      </c>
      <c r="CV30" s="13">
        <f t="shared" si="41"/>
        <v>28.606159868782917</v>
      </c>
      <c r="CW30" s="20">
        <f t="shared" si="13"/>
        <v>236.05644310479681</v>
      </c>
      <c r="CX30" s="59">
        <f t="shared" si="14"/>
        <v>525.72310977146344</v>
      </c>
      <c r="CY30" s="59">
        <f ca="1">AVERAGE(OFFSET($CX$3,0,0,'Données projet'!$E$13+1,1))-AVERAGE(OFFSET($H$3,0,0,'Données projet'!$E$13+1,1))</f>
        <v>353.37479213497227</v>
      </c>
      <c r="CZ30" s="59">
        <f t="shared" si="42"/>
        <v>345.4750813433123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9.8526901898689339</v>
      </c>
      <c r="DH30" s="21">
        <f>EXP(-LN(2)/2)*DH29+(1-EXP(-LN(2)/2))/(LN(2)/2)*DB30*DE30*VLOOKUP('Données projet'!$B$13,Paramètres!$A$1:$I$89,3,0)*0.475*44/12</f>
        <v>3.9585817780556849</v>
      </c>
      <c r="DI30" s="22">
        <f t="shared" si="15"/>
        <v>13.811271967924618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4.0942857142857143</v>
      </c>
      <c r="DO30" s="12">
        <f>IF('Données projet'!$A$166&gt;35,DO29+DN30-DW29,IF(A30&lt;'Données projet'!$A$166,$DL$205^A30,IF(A30='Données projet'!$A$166,'Données projet'!$B$166,DO29+DN30-DW29)))</f>
        <v>110.54571428571435</v>
      </c>
      <c r="DP30" s="17">
        <f>DO30*VLOOKUP('Données projet'!$B$14,Paramètres!$A$1:$I$89,3,0)*VLOOKUP('Données projet'!$B$14,Paramètres!$A$1:$I$89,5,0)</f>
        <v>100.02176228571433</v>
      </c>
      <c r="DQ30" s="13">
        <f t="shared" si="43"/>
        <v>26.967182047167292</v>
      </c>
      <c r="DR30" s="20">
        <f t="shared" si="16"/>
        <v>221.17241137976885</v>
      </c>
      <c r="DS30" s="59">
        <f t="shared" si="17"/>
        <v>510.83907804643553</v>
      </c>
      <c r="DT30" s="59">
        <f ca="1">AVERAGE(OFFSET($DS$3,0,0,'Données projet'!$E$14+1,1))-AVERAGE(OFFSET($H$3,0,0,'Données projet'!$E$14+1,1))</f>
        <v>635.71275911100679</v>
      </c>
      <c r="DU30" s="59">
        <f t="shared" si="44"/>
        <v>281.7776857269169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4.0942857142857143</v>
      </c>
      <c r="EJ30" s="12">
        <f>IF('Données projet'!$A$192&gt;35,EJ29+EI30-ER29,IF(A30&lt;'Données projet'!$A$192,$EG$205^A30,IF(A30='Données projet'!$A$192,'Données projet'!$B$192,EJ29+EI30-ER29)))</f>
        <v>110.54571428571435</v>
      </c>
      <c r="EK30" s="17">
        <f>EJ30*VLOOKUP('Données projet'!$B$15,Paramètres!$A$1:$I$89,3,0)*VLOOKUP('Données projet'!$B$15,Paramètres!$A$1:$I$89,5,0)</f>
        <v>74.154065142857192</v>
      </c>
      <c r="EL30" s="13">
        <f t="shared" si="45"/>
        <v>20.701571703270353</v>
      </c>
      <c r="EM30" s="20">
        <f t="shared" si="19"/>
        <v>165.20690084033879</v>
      </c>
      <c r="EN30" s="59">
        <f t="shared" si="20"/>
        <v>454.87356750700548</v>
      </c>
      <c r="EO30" s="59">
        <f ca="1">AVERAGE(OFFSET($EN$3,0,0,'Données projet'!$E$15+1,1))-AVERAGE(OFFSET($H$3,0,0,'Données projet'!$E$15+1,1))</f>
        <v>482.99915419700773</v>
      </c>
      <c r="EP30" s="59">
        <f t="shared" si="46"/>
        <v>219.74157899604279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4.0942857142857143</v>
      </c>
      <c r="FE30" s="12">
        <f>IF('Données projet'!$A$218&gt;35,FE29+FD30-FM29,IF(A30&lt;'Données projet'!$A$218,$FB$205^A30,IF(A30='Données projet'!$A$218,'Données projet'!$B$218,FE29+FD30-FM29)))</f>
        <v>110.54571428571435</v>
      </c>
      <c r="FF30" s="17">
        <f>FE30*VLOOKUP('Données projet'!$B$16,Paramètres!$A$1:$I$89,3,0)*VLOOKUP('Données projet'!$B$16,Paramètres!$A$1:$I$89,5,0)</f>
        <v>105.19530171428579</v>
      </c>
      <c r="FG30" s="13">
        <f t="shared" si="47"/>
        <v>28.196034549376744</v>
      </c>
      <c r="FH30" s="20">
        <f t="shared" si="22"/>
        <v>232.32324399254557</v>
      </c>
      <c r="FI30" s="59">
        <f t="shared" si="23"/>
        <v>521.98991065921223</v>
      </c>
      <c r="FJ30" s="59">
        <f ca="1">AVERAGE(OFFSET($FI$3,0,0,'Données projet'!$E$16+1,1))-AVERAGE(OFFSET($H$3,0,0,'Données projet'!$E$16+1,1))</f>
        <v>666.1523645983184</v>
      </c>
      <c r="FK30" s="59">
        <f t="shared" si="48"/>
        <v>294.13851344047526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14.2</v>
      </c>
      <c r="N31" s="13">
        <f>IF('Données projet'!$A$36&gt;35,N30+M31-V30,IF(A31&lt;'Données projet'!$A$36,$K$205^A31,IF(A31='Données projet'!$A$36,'Données projet'!$B$36,N30+M31-V30)))</f>
        <v>148.59999999999994</v>
      </c>
      <c r="O31" s="13">
        <f>N31*VLOOKUP('Données projet'!$B$9,Paramètres!$A$1:$I$89,3,0)*VLOOKUP('Données projet'!$B$9,Paramètres!$A$1:$I$89,5,0)</f>
        <v>108.95351999999995</v>
      </c>
      <c r="P31" s="13">
        <f t="shared" si="33"/>
        <v>29.084288721109843</v>
      </c>
      <c r="Q31" s="20">
        <f t="shared" si="2"/>
        <v>240.41585018926619</v>
      </c>
      <c r="R31" s="59">
        <f t="shared" si="0"/>
        <v>531.30473907815508</v>
      </c>
      <c r="S31" s="59">
        <f ca="1">AVERAGE(OFFSET($R$3,0,0,'Données projet'!$E$9+1,1))-AVERAGE(OFFSET($H$3,0,0,'Données projet'!$E$9+1,1))</f>
        <v>328.55631138162721</v>
      </c>
      <c r="T31" s="59">
        <f t="shared" si="34"/>
        <v>321.81422611044985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7.1652920244252485</v>
      </c>
      <c r="AB31" s="21">
        <f>EXP(-LN(2)/2)*AB30+(1-EXP(-LN(2)/2))/(LN(2)/2)*V31*Y31*VLOOKUP('Données projet'!$B$9,Paramètres!$A$1:$I$89,3,0)*0.475*44/12</f>
        <v>2.5795996254862694</v>
      </c>
      <c r="AC31" s="22">
        <f t="shared" si="3"/>
        <v>9.7448916499115175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14.2</v>
      </c>
      <c r="AI31" s="13">
        <f>IF('Données projet'!$A$62&gt;35,AI30+AH31-AQ30,IF(A31&lt;'Données projet'!$A$62,$AF$205^A31,IF(A31='Données projet'!$A$62,'Données projet'!$B$62,AI30+AH31-AQ30)))</f>
        <v>148.59999999999994</v>
      </c>
      <c r="AJ31" s="13">
        <f>AI31*VLOOKUP('Données projet'!$B$10,Paramètres!$A$1:$I$89,3,0)*VLOOKUP('Données projet'!$B$10,Paramètres!$A$1:$I$89,5,0)</f>
        <v>118.22615999999996</v>
      </c>
      <c r="AK31" s="13">
        <f t="shared" si="35"/>
        <v>31.260922342884676</v>
      </c>
      <c r="AL31" s="20">
        <f t="shared" si="4"/>
        <v>260.35666841385739</v>
      </c>
      <c r="AM31" s="59">
        <f t="shared" si="5"/>
        <v>551.24555730274619</v>
      </c>
      <c r="AN31" s="59">
        <f ca="1">AVERAGE(OFFSET($AM$3,0,0,'Données projet'!$E$10+1,1))-AVERAGE(OFFSET($H$3,0,0,'Données projet'!$E$10+1,1))</f>
        <v>353.37479213497227</v>
      </c>
      <c r="AO31" s="59">
        <f t="shared" si="36"/>
        <v>345.4750813433123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9.5832678584965088</v>
      </c>
      <c r="AW31" s="21">
        <f>EXP(-LN(2)/2)*AW30+(1-EXP(-LN(2)/2))/(LN(2)/2)*AQ31*AT31*VLOOKUP('Données projet'!$B$10,Paramètres!$A$1:$I$89,3,0)*0.475*44/12</f>
        <v>2.7991400191446756</v>
      </c>
      <c r="AX31" s="21">
        <f t="shared" si="6"/>
        <v>12.382407877641185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14.2</v>
      </c>
      <c r="BD31" s="12">
        <f>IF('Données projet'!$A$88&gt;35,BD30+BC31-BL30,IF(A31&lt;'Données projet'!$A$88,$BA$205^A31,IF(A31='Données projet'!$A$88,'Données projet'!$B$88,BD30+BC31-BL30)))</f>
        <v>148.59999999999994</v>
      </c>
      <c r="BE31" s="13">
        <f>BD31*VLOOKUP('Données projet'!$B$11,Paramètres!$A$1:$I$89,3,0)*VLOOKUP('Données projet'!$B$11,Paramètres!$A$1:$I$89,5,0)</f>
        <v>120.54431999999997</v>
      </c>
      <c r="BF31" s="13">
        <f t="shared" si="37"/>
        <v>31.80191953664422</v>
      </c>
      <c r="BG31" s="20">
        <f t="shared" si="7"/>
        <v>265.33636719298863</v>
      </c>
      <c r="BH31" s="59">
        <f t="shared" si="8"/>
        <v>556.22525608187743</v>
      </c>
      <c r="BI31" s="59">
        <f ca="1">AVERAGE(OFFSET($BH$3,0,0,'Données projet'!$E$11+1,1))-AVERAGE(OFFSET($H$3,0,0,'Données projet'!$E$11+1,1))</f>
        <v>359.57284550600366</v>
      </c>
      <c r="BJ31" s="59">
        <f t="shared" si="38"/>
        <v>351.38386928091433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9.7711750714082086</v>
      </c>
      <c r="BR31" s="21">
        <f>EXP(-LN(2)/2)*BR30+(1-EXP(-LN(2)/2))/(LN(2)/2)*BL31*BO31*VLOOKUP('Données projet'!$B$11,Paramètres!$A$1:$I$89,3,0)*0.475*44/12</f>
        <v>2.8540251175592761</v>
      </c>
      <c r="BS31" s="22">
        <f t="shared" si="9"/>
        <v>12.625200188967485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3.0769230769230744</v>
      </c>
      <c r="BY31" s="12">
        <f>IF('Données projet'!$A$114&gt;35,BY30+BX31-CG30,IF(A31&lt;'Données projet'!$A$114,$BV$205^A31,IF(A31='Données projet'!$A$114,'Données projet'!$B$114,BY30+BX31-CG30)))</f>
        <v>47.692307692307679</v>
      </c>
      <c r="BZ31" s="13">
        <f>BY31*VLOOKUP('Données projet'!$B$12,Paramètres!$A$1:$I$89,3,0)*VLOOKUP('Données projet'!$B$12,Paramètres!$A$1:$I$89,5,0)</f>
        <v>38.687999999999988</v>
      </c>
      <c r="CA31" s="13">
        <f t="shared" si="39"/>
        <v>11.650229083154349</v>
      </c>
      <c r="CB31" s="20">
        <f t="shared" si="10"/>
        <v>87.672415653160456</v>
      </c>
      <c r="CC31" s="59">
        <f t="shared" si="11"/>
        <v>378.5613045420493</v>
      </c>
      <c r="CD31" s="59">
        <f ca="1">AVERAGE(OFFSET($CC$3,0,0,'Données projet'!$E$12+1,1))-AVERAGE(OFFSET($H$3,0,0,'Données projet'!$E$12+1,1))</f>
        <v>159.4660488566085</v>
      </c>
      <c r="CE31" s="59">
        <f t="shared" si="40"/>
        <v>135.33030558297088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0.89688920341208234</v>
      </c>
      <c r="CM31" s="21">
        <f>EXP(-LN(2)/2)*CM30+(1-EXP(-LN(2)/2))/(LN(2)/2)*CG31*CJ31*VLOOKUP('Données projet'!$B$12,Paramètres!$A$1:$I$89,3,0)*0.475*44/12</f>
        <v>0.41592603099625419</v>
      </c>
      <c r="CN31" s="22">
        <f t="shared" si="12"/>
        <v>1.3128152344083366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14.2</v>
      </c>
      <c r="CT31" s="12">
        <f>IF('Données projet'!$A$140&gt;35,CT30+CS31-DB30,IF(A31&lt;'Données projet'!$A$140,$CQ$205^A31,IF(A31='Données projet'!$A$140,'Données projet'!$B$140,CT30+CS31-DB30)))</f>
        <v>148.59999999999994</v>
      </c>
      <c r="CU31" s="17">
        <f>CT31*VLOOKUP('Données projet'!$B$13,Paramètres!$A$1:$I$89,3,0)*VLOOKUP('Données projet'!$B$13,Paramètres!$A$1:$I$89,5,0)</f>
        <v>118.22615999999996</v>
      </c>
      <c r="CV31" s="13">
        <f t="shared" si="41"/>
        <v>31.260922342884676</v>
      </c>
      <c r="CW31" s="20">
        <f t="shared" si="13"/>
        <v>260.35666841385739</v>
      </c>
      <c r="CX31" s="59">
        <f t="shared" si="14"/>
        <v>551.24555730274619</v>
      </c>
      <c r="CY31" s="59">
        <f ca="1">AVERAGE(OFFSET($CX$3,0,0,'Données projet'!$E$13+1,1))-AVERAGE(OFFSET($H$3,0,0,'Données projet'!$E$13+1,1))</f>
        <v>353.37479213497227</v>
      </c>
      <c r="CZ31" s="59">
        <f t="shared" si="42"/>
        <v>345.4750813433123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9.5832678584965088</v>
      </c>
      <c r="DH31" s="21">
        <f>EXP(-LN(2)/2)*DH30+(1-EXP(-LN(2)/2))/(LN(2)/2)*DB31*DE31*VLOOKUP('Données projet'!$B$13,Paramètres!$A$1:$I$89,3,0)*0.475*44/12</f>
        <v>2.7991400191446756</v>
      </c>
      <c r="DI31" s="22">
        <f t="shared" si="15"/>
        <v>12.382407877641185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4.0942857142857143</v>
      </c>
      <c r="DO31" s="12">
        <f>IF('Données projet'!$A$166&gt;35,DO30+DN31-DW30,IF(A31&lt;'Données projet'!$A$166,$DL$205^A31,IF(A31='Données projet'!$A$166,'Données projet'!$B$166,DO30+DN31-DW30)))</f>
        <v>114.64000000000007</v>
      </c>
      <c r="DP31" s="17">
        <f>DO31*VLOOKUP('Données projet'!$B$14,Paramètres!$A$1:$I$89,3,0)*VLOOKUP('Données projet'!$B$14,Paramètres!$A$1:$I$89,5,0)</f>
        <v>103.72627200000005</v>
      </c>
      <c r="DQ31" s="13">
        <f t="shared" si="43"/>
        <v>27.847831432539717</v>
      </c>
      <c r="DR31" s="20">
        <f t="shared" si="16"/>
        <v>229.15823014500677</v>
      </c>
      <c r="DS31" s="59">
        <f t="shared" si="17"/>
        <v>520.04711903389557</v>
      </c>
      <c r="DT31" s="59">
        <f ca="1">AVERAGE(OFFSET($DS$3,0,0,'Données projet'!$E$14+1,1))-AVERAGE(OFFSET($H$3,0,0,'Données projet'!$E$14+1,1))</f>
        <v>635.71275911100679</v>
      </c>
      <c r="DU31" s="59">
        <f t="shared" si="44"/>
        <v>281.7776857269169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4.0942857142857143</v>
      </c>
      <c r="EJ31" s="12">
        <f>IF('Données projet'!$A$192&gt;35,EJ30+EI31-ER30,IF(A31&lt;'Données projet'!$A$192,$EG$205^A31,IF(A31='Données projet'!$A$192,'Données projet'!$B$192,EJ30+EI31-ER30)))</f>
        <v>114.64000000000007</v>
      </c>
      <c r="EK31" s="17">
        <f>EJ31*VLOOKUP('Données projet'!$B$15,Paramètres!$A$1:$I$89,3,0)*VLOOKUP('Données projet'!$B$15,Paramètres!$A$1:$I$89,5,0)</f>
        <v>76.900512000000049</v>
      </c>
      <c r="EL31" s="13">
        <f t="shared" si="45"/>
        <v>21.377609205625671</v>
      </c>
      <c r="EM31" s="20">
        <f t="shared" si="19"/>
        <v>171.16772776646476</v>
      </c>
      <c r="EN31" s="59">
        <f t="shared" si="20"/>
        <v>462.05661665535365</v>
      </c>
      <c r="EO31" s="59">
        <f ca="1">AVERAGE(OFFSET($EN$3,0,0,'Données projet'!$E$15+1,1))-AVERAGE(OFFSET($H$3,0,0,'Données projet'!$E$15+1,1))</f>
        <v>482.99915419700773</v>
      </c>
      <c r="EP31" s="59">
        <f t="shared" si="46"/>
        <v>219.74157899604279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4.0942857142857143</v>
      </c>
      <c r="FE31" s="12">
        <f>IF('Données projet'!$A$218&gt;35,FE30+FD31-FM30,IF(A31&lt;'Données projet'!$A$218,$FB$205^A31,IF(A31='Données projet'!$A$218,'Données projet'!$B$218,FE30+FD31-FM30)))</f>
        <v>114.64000000000007</v>
      </c>
      <c r="FF31" s="17">
        <f>FE31*VLOOKUP('Données projet'!$B$16,Paramètres!$A$1:$I$89,3,0)*VLOOKUP('Données projet'!$B$16,Paramètres!$A$1:$I$89,5,0)</f>
        <v>109.09142400000007</v>
      </c>
      <c r="FG31" s="13">
        <f t="shared" si="47"/>
        <v>29.116813756207414</v>
      </c>
      <c r="FH31" s="20">
        <f t="shared" si="22"/>
        <v>240.71268075872808</v>
      </c>
      <c r="FI31" s="59">
        <f t="shared" si="23"/>
        <v>531.601569647617</v>
      </c>
      <c r="FJ31" s="59">
        <f ca="1">AVERAGE(OFFSET($FI$3,0,0,'Données projet'!$E$16+1,1))-AVERAGE(OFFSET($H$3,0,0,'Données projet'!$E$16+1,1))</f>
        <v>666.1523645983184</v>
      </c>
      <c r="FK31" s="59">
        <f t="shared" si="48"/>
        <v>294.13851344047526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14.2</v>
      </c>
      <c r="N32" s="13">
        <f>IF('Données projet'!$A$36&gt;35,N31+M32-V31,IF(A32&lt;'Données projet'!$A$36,$K$205^A32,IF(A32='Données projet'!$A$36,'Données projet'!$B$36,N31+M32-V31)))</f>
        <v>162.79999999999993</v>
      </c>
      <c r="O32" s="13">
        <f>N32*VLOOKUP('Données projet'!$B$9,Paramètres!$A$1:$I$89,3,0)*VLOOKUP('Données projet'!$B$9,Paramètres!$A$1:$I$89,5,0)</f>
        <v>119.36495999999994</v>
      </c>
      <c r="P32" s="13">
        <f t="shared" si="33"/>
        <v>31.526840934707504</v>
      </c>
      <c r="Q32" s="20">
        <f t="shared" si="2"/>
        <v>262.80321996128214</v>
      </c>
      <c r="R32" s="59">
        <f t="shared" si="0"/>
        <v>554.91433107239322</v>
      </c>
      <c r="S32" s="59">
        <f ca="1">AVERAGE(OFFSET($R$3,0,0,'Données projet'!$E$9+1,1))-AVERAGE(OFFSET($H$3,0,0,'Données projet'!$E$9+1,1))</f>
        <v>328.55631138162721</v>
      </c>
      <c r="T32" s="59">
        <f t="shared" si="34"/>
        <v>321.81422611044985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6.969356737211009</v>
      </c>
      <c r="AB32" s="21">
        <f>EXP(-LN(2)/2)*AB31+(1-EXP(-LN(2)/2))/(LN(2)/2)*V32*Y32*VLOOKUP('Données projet'!$B$9,Paramètres!$A$1:$I$89,3,0)*0.475*44/12</f>
        <v>1.8240523879276196</v>
      </c>
      <c r="AC32" s="22">
        <f t="shared" si="3"/>
        <v>8.7934091251386288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14.2</v>
      </c>
      <c r="AI32" s="13">
        <f>IF('Données projet'!$A$62&gt;35,AI31+AH32-AQ31,IF(A32&lt;'Données projet'!$A$62,$AF$205^A32,IF(A32='Données projet'!$A$62,'Données projet'!$B$62,AI31+AH32-AQ31)))</f>
        <v>162.79999999999993</v>
      </c>
      <c r="AJ32" s="13">
        <f>AI32*VLOOKUP('Données projet'!$B$10,Paramètres!$A$1:$I$89,3,0)*VLOOKUP('Données projet'!$B$10,Paramètres!$A$1:$I$89,5,0)</f>
        <v>129.52367999999996</v>
      </c>
      <c r="AK32" s="13">
        <f t="shared" si="35"/>
        <v>33.886272262901727</v>
      </c>
      <c r="AL32" s="20">
        <f t="shared" si="4"/>
        <v>284.60566685788712</v>
      </c>
      <c r="AM32" s="59">
        <f t="shared" si="5"/>
        <v>576.71677796899826</v>
      </c>
      <c r="AN32" s="59">
        <f ca="1">AVERAGE(OFFSET($AM$3,0,0,'Données projet'!$E$10+1,1))-AVERAGE(OFFSET($H$3,0,0,'Données projet'!$E$10+1,1))</f>
        <v>353.37479213497227</v>
      </c>
      <c r="AO32" s="59">
        <f t="shared" si="36"/>
        <v>345.4750813433123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9.321212894943768</v>
      </c>
      <c r="AW32" s="21">
        <f>EXP(-LN(2)/2)*AW31+(1-EXP(-LN(2)/2))/(LN(2)/2)*AQ32*AT32*VLOOKUP('Données projet'!$B$10,Paramètres!$A$1:$I$89,3,0)*0.475*44/12</f>
        <v>1.9792908890278427</v>
      </c>
      <c r="AX32" s="21">
        <f t="shared" si="6"/>
        <v>11.30050378397161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14.2</v>
      </c>
      <c r="BD32" s="12">
        <f>IF('Données projet'!$A$88&gt;35,BD31+BC32-BL31,IF(A32&lt;'Données projet'!$A$88,$BA$205^A32,IF(A32='Données projet'!$A$88,'Données projet'!$B$88,BD31+BC32-BL31)))</f>
        <v>162.79999999999993</v>
      </c>
      <c r="BE32" s="13">
        <f>BD32*VLOOKUP('Données projet'!$B$11,Paramètres!$A$1:$I$89,3,0)*VLOOKUP('Données projet'!$B$11,Paramètres!$A$1:$I$89,5,0)</f>
        <v>132.06335999999996</v>
      </c>
      <c r="BF32" s="13">
        <f t="shared" si="37"/>
        <v>34.472703398877925</v>
      </c>
      <c r="BG32" s="20">
        <f t="shared" si="7"/>
        <v>290.05031041971233</v>
      </c>
      <c r="BH32" s="59">
        <f t="shared" si="8"/>
        <v>582.16142153082342</v>
      </c>
      <c r="BI32" s="59">
        <f ca="1">AVERAGE(OFFSET($BH$3,0,0,'Données projet'!$E$11+1,1))-AVERAGE(OFFSET($H$3,0,0,'Données projet'!$E$11+1,1))</f>
        <v>359.57284550600366</v>
      </c>
      <c r="BJ32" s="59">
        <f t="shared" si="38"/>
        <v>351.38386928091433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9.5039817752367863</v>
      </c>
      <c r="BR32" s="21">
        <f>EXP(-LN(2)/2)*BR31+(1-EXP(-LN(2)/2))/(LN(2)/2)*BL32*BO32*VLOOKUP('Données projet'!$B$11,Paramètres!$A$1:$I$89,3,0)*0.475*44/12</f>
        <v>2.0181005143028976</v>
      </c>
      <c r="BS32" s="22">
        <f t="shared" si="9"/>
        <v>11.522082289539684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3.0769230769230744</v>
      </c>
      <c r="BY32" s="12">
        <f>IF('Données projet'!$A$114&gt;35,BY31+BX32-CG31,IF(A32&lt;'Données projet'!$A$114,$BV$205^A32,IF(A32='Données projet'!$A$114,'Données projet'!$B$114,BY31+BX32-CG31)))</f>
        <v>50.769230769230752</v>
      </c>
      <c r="BZ32" s="13">
        <f>BY32*VLOOKUP('Données projet'!$B$12,Paramètres!$A$1:$I$89,3,0)*VLOOKUP('Données projet'!$B$12,Paramètres!$A$1:$I$89,5,0)</f>
        <v>41.18399999999999</v>
      </c>
      <c r="CA32" s="13">
        <f t="shared" si="39"/>
        <v>12.311931477761835</v>
      </c>
      <c r="CB32" s="20">
        <f t="shared" si="10"/>
        <v>93.172080657101844</v>
      </c>
      <c r="CC32" s="59">
        <f t="shared" si="11"/>
        <v>385.28319176821299</v>
      </c>
      <c r="CD32" s="59">
        <f ca="1">AVERAGE(OFFSET($CC$3,0,0,'Données projet'!$E$12+1,1))-AVERAGE(OFFSET($H$3,0,0,'Données projet'!$E$12+1,1))</f>
        <v>159.4660488566085</v>
      </c>
      <c r="CE32" s="59">
        <f t="shared" si="40"/>
        <v>135.33030558297088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0.87236372097942561</v>
      </c>
      <c r="CM32" s="21">
        <f>EXP(-LN(2)/2)*CM31+(1-EXP(-LN(2)/2))/(LN(2)/2)*CG32*CJ32*VLOOKUP('Données projet'!$B$12,Paramètres!$A$1:$I$89,3,0)*0.475*44/12</f>
        <v>0.29410411698945754</v>
      </c>
      <c r="CN32" s="22">
        <f t="shared" si="12"/>
        <v>1.1664678379688831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14.2</v>
      </c>
      <c r="CT32" s="12">
        <f>IF('Données projet'!$A$140&gt;35,CT31+CS32-DB31,IF(A32&lt;'Données projet'!$A$140,$CQ$205^A32,IF(A32='Données projet'!$A$140,'Données projet'!$B$140,CT31+CS32-DB31)))</f>
        <v>162.79999999999993</v>
      </c>
      <c r="CU32" s="17">
        <f>CT32*VLOOKUP('Données projet'!$B$13,Paramètres!$A$1:$I$89,3,0)*VLOOKUP('Données projet'!$B$13,Paramètres!$A$1:$I$89,5,0)</f>
        <v>129.52367999999996</v>
      </c>
      <c r="CV32" s="13">
        <f t="shared" si="41"/>
        <v>33.886272262901727</v>
      </c>
      <c r="CW32" s="20">
        <f t="shared" si="13"/>
        <v>284.60566685788712</v>
      </c>
      <c r="CX32" s="59">
        <f t="shared" si="14"/>
        <v>576.71677796899826</v>
      </c>
      <c r="CY32" s="59">
        <f ca="1">AVERAGE(OFFSET($CX$3,0,0,'Données projet'!$E$13+1,1))-AVERAGE(OFFSET($H$3,0,0,'Données projet'!$E$13+1,1))</f>
        <v>353.37479213497227</v>
      </c>
      <c r="CZ32" s="59">
        <f t="shared" si="42"/>
        <v>345.4750813433123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9.321212894943768</v>
      </c>
      <c r="DH32" s="21">
        <f>EXP(-LN(2)/2)*DH31+(1-EXP(-LN(2)/2))/(LN(2)/2)*DB32*DE32*VLOOKUP('Données projet'!$B$13,Paramètres!$A$1:$I$89,3,0)*0.475*44/12</f>
        <v>1.9792908890278427</v>
      </c>
      <c r="DI32" s="22">
        <f t="shared" si="15"/>
        <v>11.30050378397161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4.0942857142857143</v>
      </c>
      <c r="DO32" s="12">
        <f>IF('Données projet'!$A$166&gt;35,DO31+DN32-DW31,IF(A32&lt;'Données projet'!$A$166,$DL$205^A32,IF(A32='Données projet'!$A$166,'Données projet'!$B$166,DO31+DN32-DW31)))</f>
        <v>118.73428571428579</v>
      </c>
      <c r="DP32" s="17">
        <f>DO32*VLOOKUP('Données projet'!$B$14,Paramètres!$A$1:$I$89,3,0)*VLOOKUP('Données projet'!$B$14,Paramètres!$A$1:$I$89,5,0)</f>
        <v>107.43078171428577</v>
      </c>
      <c r="DQ32" s="13">
        <f t="shared" si="43"/>
        <v>28.724826611108305</v>
      </c>
      <c r="DR32" s="20">
        <f t="shared" si="16"/>
        <v>237.13768450006134</v>
      </c>
      <c r="DS32" s="59">
        <f t="shared" si="17"/>
        <v>529.24879561117245</v>
      </c>
      <c r="DT32" s="59">
        <f ca="1">AVERAGE(OFFSET($DS$3,0,0,'Données projet'!$E$14+1,1))-AVERAGE(OFFSET($H$3,0,0,'Données projet'!$E$14+1,1))</f>
        <v>635.71275911100679</v>
      </c>
      <c r="DU32" s="59">
        <f t="shared" si="44"/>
        <v>281.7776857269169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4.0942857142857143</v>
      </c>
      <c r="EJ32" s="12">
        <f>IF('Données projet'!$A$192&gt;35,EJ31+EI32-ER31,IF(A32&lt;'Données projet'!$A$192,$EG$205^A32,IF(A32='Données projet'!$A$192,'Données projet'!$B$192,EJ31+EI32-ER31)))</f>
        <v>118.73428571428579</v>
      </c>
      <c r="EK32" s="17">
        <f>EJ32*VLOOKUP('Données projet'!$B$15,Paramètres!$A$1:$I$89,3,0)*VLOOKUP('Données projet'!$B$15,Paramètres!$A$1:$I$89,5,0)</f>
        <v>79.646958857142906</v>
      </c>
      <c r="EL32" s="13">
        <f t="shared" si="45"/>
        <v>22.050841527074962</v>
      </c>
      <c r="EM32" s="20">
        <f t="shared" si="19"/>
        <v>177.12366900251277</v>
      </c>
      <c r="EN32" s="59">
        <f t="shared" si="20"/>
        <v>469.23478011362391</v>
      </c>
      <c r="EO32" s="59">
        <f ca="1">AVERAGE(OFFSET($EN$3,0,0,'Données projet'!$E$15+1,1))-AVERAGE(OFFSET($H$3,0,0,'Données projet'!$E$15+1,1))</f>
        <v>482.99915419700773</v>
      </c>
      <c r="EP32" s="59">
        <f t="shared" si="46"/>
        <v>219.74157899604279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4.0942857142857143</v>
      </c>
      <c r="FE32" s="12">
        <f>IF('Données projet'!$A$218&gt;35,FE31+FD32-FM31,IF(A32&lt;'Données projet'!$A$218,$FB$205^A32,IF(A32='Données projet'!$A$218,'Données projet'!$B$218,FE31+FD32-FM31)))</f>
        <v>118.73428571428579</v>
      </c>
      <c r="FF32" s="17">
        <f>FE32*VLOOKUP('Données projet'!$B$16,Paramètres!$A$1:$I$89,3,0)*VLOOKUP('Données projet'!$B$16,Paramètres!$A$1:$I$89,5,0)</f>
        <v>112.98754628571437</v>
      </c>
      <c r="FG32" s="13">
        <f t="shared" si="47"/>
        <v>30.03377223971917</v>
      </c>
      <c r="FH32" s="20">
        <f t="shared" si="22"/>
        <v>249.0954630984634</v>
      </c>
      <c r="FI32" s="59">
        <f t="shared" si="23"/>
        <v>541.20657420957457</v>
      </c>
      <c r="FJ32" s="59">
        <f ca="1">AVERAGE(OFFSET($FI$3,0,0,'Données projet'!$E$16+1,1))-AVERAGE(OFFSET($H$3,0,0,'Données projet'!$E$16+1,1))</f>
        <v>666.1523645983184</v>
      </c>
      <c r="FK32" s="59">
        <f t="shared" si="48"/>
        <v>294.13851344047526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177</v>
      </c>
      <c r="L33" s="12">
        <f>VLOOKUP(A33,'Données projet'!$A$35:$I$55,9,0)</f>
        <v>14.2</v>
      </c>
      <c r="M33" s="12">
        <f t="array" ref="M33">INDEX(L:L,MIN(IF(ISNUMBER(L33:L229),ROW(L33:L229),"")))</f>
        <v>14.2</v>
      </c>
      <c r="N33" s="13">
        <f>IF('Données projet'!$A$36&gt;35,N32+M33-V32,IF(A33&lt;'Données projet'!$A$36,$K$205^A33,IF(A33='Données projet'!$A$36,'Données projet'!$B$36,N32+M33-V32)))</f>
        <v>176.99999999999991</v>
      </c>
      <c r="O33" s="13">
        <f>N33*VLOOKUP('Données projet'!$B$9,Paramètres!$A$1:$I$89,3,0)*VLOOKUP('Données projet'!$B$9,Paramètres!$A$1:$I$89,5,0)</f>
        <v>129.77639999999994</v>
      </c>
      <c r="P33" s="13">
        <f t="shared" si="33"/>
        <v>33.94468676198089</v>
      </c>
      <c r="Q33" s="20">
        <f t="shared" si="2"/>
        <v>285.14755944378322</v>
      </c>
      <c r="R33" s="59">
        <f t="shared" si="0"/>
        <v>578.48089277711654</v>
      </c>
      <c r="S33" s="59">
        <f ca="1">AVERAGE(OFFSET($R$3,0,0,'Données projet'!$E$9+1,1))-AVERAGE(OFFSET($H$3,0,0,'Données projet'!$E$9+1,1))</f>
        <v>328.55631138162721</v>
      </c>
      <c r="T33" s="59">
        <f t="shared" si="34"/>
        <v>321.81422611044985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35</v>
      </c>
      <c r="W33" s="16">
        <f>IF(ISNA(VLOOKUP(A33,'Données projet'!$A$35:$I$55,5,0)),0%,VLOOKUP(A33,'Données projet'!$A$35:$I$55,5,0)*VLOOKUP('Données projet'!$B$9,Paramètres!$A$1:$I$89,7,0))</f>
        <v>0.1075</v>
      </c>
      <c r="X33" s="16">
        <f>IF(ISNA(VLOOKUP(A33,'Données projet'!$A$35:$I$55,6,0)),0%,VLOOKUP(A33,'Données projet'!$A$35:$I$55,6,0)*VLOOKUP('Données projet'!$B$9,Paramètres!$A$1:$I$89,7,0))</f>
        <v>0.1075</v>
      </c>
      <c r="Y33" s="16">
        <f>IF(ISNA(VLOOKUP(A33,'Données projet'!$A$35:$I$55,7,0)),0%,VLOOKUP(A33,'Données projet'!$A$35:$I$55,7,0))</f>
        <v>0.25</v>
      </c>
      <c r="Z33" s="21">
        <f>EXP(-LN(2)/35)*Z32+(1-EXP(-LN(2)/35))/(LN(2)/35)*V33*W33*VLOOKUP('Données projet'!$B$9,Paramètres!$A$1:$I$89,3,0)*0.475*44/12</f>
        <v>3.0496224445542652</v>
      </c>
      <c r="AA33" s="21">
        <f>EXP(-LN(2)/25)*AA32+(1-EXP(-LN(2)/25))/(LN(2)/25)*Calculateur!V33*Calculateur!X33*VLOOKUP('Données projet'!$B$9,Paramètres!$A$1:$I$89,3,0)*0.475*44/12</f>
        <v>9.8163942297222366</v>
      </c>
      <c r="AB33" s="21">
        <f>EXP(-LN(2)/2)*AB32+(1-EXP(-LN(2)/2))/(LN(2)/2)*V33*Y33*VLOOKUP('Données projet'!$B$9,Paramètres!$A$1:$I$89,3,0)*0.475*44/12</f>
        <v>7.3429967333940027</v>
      </c>
      <c r="AC33" s="22">
        <f t="shared" si="3"/>
        <v>20.209013407670504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177</v>
      </c>
      <c r="AG33" s="12">
        <f>VLOOKUP(A33,'Données projet'!$A$61:$I$81,9,0)</f>
        <v>14.2</v>
      </c>
      <c r="AH33" s="12">
        <f t="array" ref="AH33">INDEX(AG:AG,MIN(IF(ISNUMBER(AG33:AG229),ROW(AG33:AG229),"")))</f>
        <v>14.2</v>
      </c>
      <c r="AI33" s="13">
        <f>IF('Données projet'!$A$62&gt;35,AI32+AH33-AQ32,IF(A33&lt;'Données projet'!$A$62,$AF$205^A33,IF(A33='Données projet'!$A$62,'Données projet'!$B$62,AI32+AH33-AQ32)))</f>
        <v>176.99999999999991</v>
      </c>
      <c r="AJ33" s="13">
        <f>AI33*VLOOKUP('Données projet'!$B$10,Paramètres!$A$1:$I$89,3,0)*VLOOKUP('Données projet'!$B$10,Paramètres!$A$1:$I$89,5,0)</f>
        <v>140.82119999999992</v>
      </c>
      <c r="AK33" s="13">
        <f t="shared" si="35"/>
        <v>36.485066799987997</v>
      </c>
      <c r="AL33" s="20">
        <f t="shared" si="4"/>
        <v>308.80841467664561</v>
      </c>
      <c r="AM33" s="59">
        <f t="shared" si="5"/>
        <v>602.14174800997898</v>
      </c>
      <c r="AN33" s="59">
        <f ca="1">AVERAGE(OFFSET($AM$3,0,0,'Données projet'!$E$10+1,1))-AVERAGE(OFFSET($H$3,0,0,'Données projet'!$E$10+1,1))</f>
        <v>353.37479213497227</v>
      </c>
      <c r="AO33" s="59">
        <f t="shared" si="36"/>
        <v>345.4750813433123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35</v>
      </c>
      <c r="AR33" s="16">
        <f>IF(ISNA(VLOOKUP(A33,'Données projet'!$A$61:$I$81,5,0)),0%,VLOOKUP(A33,'Données projet'!$A$61:$I$81,5,0)*VLOOKUP('Données projet'!$B$10,Paramètres!$A$1:$I$89,7,0))</f>
        <v>0.13250000000000001</v>
      </c>
      <c r="AS33" s="16">
        <f>IF(ISNA(VLOOKUP(A33,'Données projet'!$A$61:$I$81,6,0)),0%,VLOOKUP(A33,'Données projet'!$A$61:$I$81,6,0)*VLOOKUP('Données projet'!$B$10,Paramètres!$A$1:$I$89,7,0))</f>
        <v>0.13250000000000001</v>
      </c>
      <c r="AT33" s="16">
        <f>IF(ISNA(VLOOKUP(A33,'Données projet'!$A$61:$I$81,7,0)),0%,VLOOKUP(A33,'Données projet'!$A$61:$I$81,7,0))</f>
        <v>0.25</v>
      </c>
      <c r="AU33" s="21">
        <f>EXP(-LN(2)/35)*AU32+(1-EXP(-LN(2)/35))/(LN(2)/35)*AQ33*AR33*VLOOKUP('Données projet'!$B$10,Paramètres!$A$1:$I$89,3,0)*0.475*44/12</f>
        <v>4.078737984972876</v>
      </c>
      <c r="AV33" s="21">
        <f>EXP(-LN(2)/25)*AV32+(1-EXP(-LN(2)/25))/(LN(2)/25)*Calculateur!AQ33*Calculateur!AS33*VLOOKUP('Données projet'!$B$10,Paramètres!$A$1:$I$89,3,0)*0.475*44/12</f>
        <v>13.129002277555273</v>
      </c>
      <c r="AW33" s="21">
        <f>EXP(-LN(2)/2)*AW32+(1-EXP(-LN(2)/2))/(LN(2)/2)*AQ33*AT33*VLOOKUP('Données projet'!$B$10,Paramètres!$A$1:$I$89,3,0)*0.475*44/12</f>
        <v>7.967932625597749</v>
      </c>
      <c r="AX33" s="21">
        <f t="shared" si="6"/>
        <v>25.175672888125895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177</v>
      </c>
      <c r="BB33" s="12">
        <f>VLOOKUP(A33,'Données projet'!$A$87:$I$107,9,0)</f>
        <v>14.2</v>
      </c>
      <c r="BC33" s="12">
        <f t="array" ref="BC33">INDEX(BB:BB,MIN(IF(ISNUMBER(BB33:BB229),ROW(BB33:BB229),"")))</f>
        <v>14.2</v>
      </c>
      <c r="BD33" s="12">
        <f>IF('Données projet'!$A$88&gt;35,BD32+BC33-BL32,IF(A33&lt;'Données projet'!$A$88,$BA$205^A33,IF(A33='Données projet'!$A$88,'Données projet'!$B$88,BD32+BC33-BL32)))</f>
        <v>176.99999999999991</v>
      </c>
      <c r="BE33" s="13">
        <f>BD33*VLOOKUP('Données projet'!$B$11,Paramètres!$A$1:$I$89,3,0)*VLOOKUP('Données projet'!$B$11,Paramètres!$A$1:$I$89,5,0)</f>
        <v>143.58239999999995</v>
      </c>
      <c r="BF33" s="13">
        <f t="shared" si="37"/>
        <v>37.116472314400653</v>
      </c>
      <c r="BG33" s="20">
        <f t="shared" si="7"/>
        <v>314.7172026142477</v>
      </c>
      <c r="BH33" s="59">
        <f t="shared" si="8"/>
        <v>608.05053594758101</v>
      </c>
      <c r="BI33" s="59">
        <f ca="1">AVERAGE(OFFSET($BH$3,0,0,'Données projet'!$E$11+1,1))-AVERAGE(OFFSET($H$3,0,0,'Données projet'!$E$11+1,1))</f>
        <v>359.57284550600366</v>
      </c>
      <c r="BJ33" s="59">
        <f t="shared" si="38"/>
        <v>351.38386928091433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35</v>
      </c>
      <c r="BM33" s="16">
        <f>IF(ISNA(VLOOKUP(A33,'Données projet'!$A$87:$I$107,5,0)),0%,VLOOKUP(A33,'Données projet'!$A$87:$I$107,5,0)*VLOOKUP('Données projet'!$B$11,Paramètres!$A$1:$I$89,7,0))</f>
        <v>0.13250000000000001</v>
      </c>
      <c r="BN33" s="16">
        <f>IF(ISNA(VLOOKUP(A33,'Données projet'!$A$87:$I$107,6,0)),0%,VLOOKUP(A33,'Données projet'!$A$87:$I$107,6,0)*VLOOKUP('Données projet'!$B$11,Paramètres!$A$1:$I$89,7,0))</f>
        <v>0.13250000000000001</v>
      </c>
      <c r="BO33" s="16">
        <f>IF(ISNA(VLOOKUP(A33,'Données projet'!$A$87:$I$107,7,0)),0%,VLOOKUP(A33,'Données projet'!$A$87:$I$107,7,0))</f>
        <v>0.25</v>
      </c>
      <c r="BP33" s="21">
        <f>EXP(-LN(2)/35)*BP32+(1-EXP(-LN(2)/35))/(LN(2)/35)*BL33*BM33*VLOOKUP('Données projet'!$B$11,Paramètres!$A$1:$I$89,3,0)*0.475*44/12</f>
        <v>4.1587132395801873</v>
      </c>
      <c r="BQ33" s="21">
        <f>EXP(-LN(2)/25)*BQ32+(1-EXP(-LN(2)/25))/(LN(2)/25)*Calculateur!BL33*Calculateur!BN33*VLOOKUP('Données projet'!$B$11,Paramètres!$A$1:$I$89,3,0)*0.475*44/12</f>
        <v>13.386433694762241</v>
      </c>
      <c r="BR33" s="21">
        <f>EXP(-LN(2)/2)*BR32+(1-EXP(-LN(2)/2))/(LN(2)/2)*BL33*BO33*VLOOKUP('Données projet'!$B$11,Paramètres!$A$1:$I$89,3,0)*0.475*44/12</f>
        <v>8.1241665986486833</v>
      </c>
      <c r="BS33" s="22">
        <f t="shared" si="9"/>
        <v>25.669313532991112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53.84615384615384</v>
      </c>
      <c r="BW33" s="12">
        <f>VLOOKUP(A33,'Données projet'!$A$113:$I$133,9,0)</f>
        <v>3.0769230769230744</v>
      </c>
      <c r="BX33" s="12">
        <f t="array" ref="BX33">INDEX(BW:BW,MIN(IF(ISNUMBER(BW33:BW229),ROW(BW33:BW229),"")))</f>
        <v>3.0769230769230744</v>
      </c>
      <c r="BY33" s="12">
        <f>IF('Données projet'!$A$114&gt;35,BY32+BX33-CG32,IF(A33&lt;'Données projet'!$A$114,$BV$205^A33,IF(A33='Données projet'!$A$114,'Données projet'!$B$114,BY32+BX33-CG32)))</f>
        <v>53.846153846153825</v>
      </c>
      <c r="BZ33" s="13">
        <f>BY33*VLOOKUP('Données projet'!$B$12,Paramètres!$A$1:$I$89,3,0)*VLOOKUP('Données projet'!$B$12,Paramètres!$A$1:$I$89,5,0)</f>
        <v>43.679999999999986</v>
      </c>
      <c r="CA33" s="13">
        <f t="shared" si="39"/>
        <v>12.968979282088572</v>
      </c>
      <c r="CB33" s="20">
        <f t="shared" si="10"/>
        <v>98.663638916304237</v>
      </c>
      <c r="CC33" s="59">
        <f t="shared" si="11"/>
        <v>391.99697224963757</v>
      </c>
      <c r="CD33" s="59">
        <f ca="1">AVERAGE(OFFSET($CC$3,0,0,'Données projet'!$E$12+1,1))-AVERAGE(OFFSET($H$3,0,0,'Données projet'!$E$12+1,1))</f>
        <v>159.4660488566085</v>
      </c>
      <c r="CE33" s="59">
        <f t="shared" si="40"/>
        <v>135.33030558297088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5.7692307692307692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0.1075</v>
      </c>
      <c r="CJ33" s="16">
        <f>IF(ISNA(VLOOKUP(A33,'Données projet'!$A$113:$I$133,7,0)),0%,VLOOKUP(A33,'Données projet'!$A$113:$I$133,7,0))</f>
        <v>0.25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1.4024812148058126</v>
      </c>
      <c r="CM33" s="21">
        <f>EXP(-LN(2)/2)*CM32+(1-EXP(-LN(2)/2))/(LN(2)/2)*CG33*CJ33*VLOOKUP('Données projet'!$B$12,Paramètres!$A$1:$I$89,3,0)*0.475*44/12</f>
        <v>1.3118895055864315</v>
      </c>
      <c r="CN33" s="22">
        <f t="shared" si="12"/>
        <v>2.7143707203922443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177</v>
      </c>
      <c r="CR33" s="12">
        <f>VLOOKUP(A33,'Données projet'!$A$139:$I$159,9,0)</f>
        <v>14.2</v>
      </c>
      <c r="CS33" s="12">
        <f t="array" ref="CS33">INDEX(CR:CR,MIN(IF(ISNUMBER(CR33:CR229),ROW(CR33:CR229),"")))</f>
        <v>14.2</v>
      </c>
      <c r="CT33" s="12">
        <f>IF('Données projet'!$A$140&gt;35,CT32+CS33-DB32,IF(A33&lt;'Données projet'!$A$140,$CQ$205^A33,IF(A33='Données projet'!$A$140,'Données projet'!$B$140,CT32+CS33-DB32)))</f>
        <v>176.99999999999991</v>
      </c>
      <c r="CU33" s="17">
        <f>CT33*VLOOKUP('Données projet'!$B$13,Paramètres!$A$1:$I$89,3,0)*VLOOKUP('Données projet'!$B$13,Paramètres!$A$1:$I$89,5,0)</f>
        <v>140.82119999999992</v>
      </c>
      <c r="CV33" s="13">
        <f t="shared" si="41"/>
        <v>36.485066799987997</v>
      </c>
      <c r="CW33" s="20">
        <f t="shared" si="13"/>
        <v>308.80841467664561</v>
      </c>
      <c r="CX33" s="59">
        <f t="shared" si="14"/>
        <v>602.14174800997898</v>
      </c>
      <c r="CY33" s="59">
        <f ca="1">AVERAGE(OFFSET($CX$3,0,0,'Données projet'!$E$13+1,1))-AVERAGE(OFFSET($H$3,0,0,'Données projet'!$E$13+1,1))</f>
        <v>353.37479213497227</v>
      </c>
      <c r="CZ33" s="59">
        <f t="shared" si="42"/>
        <v>345.4750813433123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35</v>
      </c>
      <c r="DC33" s="16">
        <f>IF(ISNA(VLOOKUP(A33,'Données projet'!$A$139:$I$159,5,0)),0%,VLOOKUP(A33,'Données projet'!$A$139:$I$159,5,0)*VLOOKUP('Données projet'!$B$13,Paramètres!$A$1:$I$89,7,0))</f>
        <v>0.13250000000000001</v>
      </c>
      <c r="DD33" s="16">
        <f>IF(ISNA(VLOOKUP(A33,'Données projet'!$A$139:$I$159,6,0)),0%,VLOOKUP(A33,'Données projet'!$A$139:$I$159,6,0)*VLOOKUP('Données projet'!$B$13,Paramètres!$A$1:$I$89,7,0))</f>
        <v>0.13250000000000001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4.078737984972876</v>
      </c>
      <c r="DG33" s="21">
        <f>EXP(-LN(2)/25)*DG32+(1-EXP(-LN(2)/25))/(LN(2)/25)*Calculateur!DB33*Calculateur!DD33*VLOOKUP('Données projet'!$B$13,Paramètres!$A$1:$I$89,3,0)*0.475*44/12</f>
        <v>13.129002277555273</v>
      </c>
      <c r="DH33" s="21">
        <f>EXP(-LN(2)/2)*DH32+(1-EXP(-LN(2)/2))/(LN(2)/2)*DB33*DE33*VLOOKUP('Données projet'!$B$13,Paramètres!$A$1:$I$89,3,0)*0.475*44/12</f>
        <v>7.967932625597749</v>
      </c>
      <c r="DI33" s="22">
        <f t="shared" si="15"/>
        <v>25.175672888125895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4.0942857142857143</v>
      </c>
      <c r="DO33" s="12">
        <f>IF('Données projet'!$A$166&gt;35,DO32+DN33-DW32,IF(A33&lt;'Données projet'!$A$166,$DL$205^A33,IF(A33='Données projet'!$A$166,'Données projet'!$B$166,DO32+DN33-DW32)))</f>
        <v>122.82857142857151</v>
      </c>
      <c r="DP33" s="17">
        <f>DO33*VLOOKUP('Données projet'!$B$14,Paramètres!$A$1:$I$89,3,0)*VLOOKUP('Données projet'!$B$14,Paramètres!$A$1:$I$89,5,0)</f>
        <v>111.13529142857149</v>
      </c>
      <c r="DQ33" s="13">
        <f t="shared" si="43"/>
        <v>29.598308031859261</v>
      </c>
      <c r="DR33" s="20">
        <f t="shared" si="16"/>
        <v>245.11101906025024</v>
      </c>
      <c r="DS33" s="59">
        <f t="shared" si="17"/>
        <v>538.44435239358359</v>
      </c>
      <c r="DT33" s="59">
        <f ca="1">AVERAGE(OFFSET($DS$3,0,0,'Données projet'!$E$14+1,1))-AVERAGE(OFFSET($H$3,0,0,'Données projet'!$E$14+1,1))</f>
        <v>635.71275911100679</v>
      </c>
      <c r="DU33" s="59">
        <f t="shared" si="44"/>
        <v>281.7776857269169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4.0942857142857143</v>
      </c>
      <c r="EJ33" s="12">
        <f>IF('Données projet'!$A$192&gt;35,EJ32+EI33-ER32,IF(A33&lt;'Données projet'!$A$192,$EG$205^A33,IF(A33='Données projet'!$A$192,'Données projet'!$B$192,EJ32+EI33-ER32)))</f>
        <v>122.82857142857151</v>
      </c>
      <c r="EK33" s="17">
        <f>EJ33*VLOOKUP('Données projet'!$B$15,Paramètres!$A$1:$I$89,3,0)*VLOOKUP('Données projet'!$B$15,Paramètres!$A$1:$I$89,5,0)</f>
        <v>82.393405714285763</v>
      </c>
      <c r="EL33" s="13">
        <f t="shared" si="45"/>
        <v>22.721376484399109</v>
      </c>
      <c r="EM33" s="20">
        <f t="shared" si="19"/>
        <v>183.07491232937616</v>
      </c>
      <c r="EN33" s="59">
        <f t="shared" si="20"/>
        <v>476.40824566270948</v>
      </c>
      <c r="EO33" s="59">
        <f ca="1">AVERAGE(OFFSET($EN$3,0,0,'Données projet'!$E$15+1,1))-AVERAGE(OFFSET($H$3,0,0,'Données projet'!$E$15+1,1))</f>
        <v>482.99915419700773</v>
      </c>
      <c r="EP33" s="59">
        <f t="shared" si="46"/>
        <v>219.74157899604279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4.0942857142857143</v>
      </c>
      <c r="FE33" s="12">
        <f>IF('Données projet'!$A$218&gt;35,FE32+FD33-FM32,IF(A33&lt;'Données projet'!$A$218,$FB$205^A33,IF(A33='Données projet'!$A$218,'Données projet'!$B$218,FE32+FD33-FM32)))</f>
        <v>122.82857142857151</v>
      </c>
      <c r="FF33" s="17">
        <f>FE33*VLOOKUP('Données projet'!$B$16,Paramètres!$A$1:$I$89,3,0)*VLOOKUP('Données projet'!$B$16,Paramètres!$A$1:$I$89,5,0)</f>
        <v>116.88366857142864</v>
      </c>
      <c r="FG33" s="13">
        <f t="shared" si="47"/>
        <v>30.947056848939916</v>
      </c>
      <c r="FH33" s="20">
        <f t="shared" si="22"/>
        <v>257.47184677380858</v>
      </c>
      <c r="FI33" s="59">
        <f t="shared" si="23"/>
        <v>550.80518010714195</v>
      </c>
      <c r="FJ33" s="59">
        <f ca="1">AVERAGE(OFFSET($FI$3,0,0,'Données projet'!$E$16+1,1))-AVERAGE(OFFSET($H$3,0,0,'Données projet'!$E$16+1,1))</f>
        <v>666.1523645983184</v>
      </c>
      <c r="FK33" s="59">
        <f t="shared" si="48"/>
        <v>294.13851344047526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12.8</v>
      </c>
      <c r="N34" s="13">
        <f>IF('Données projet'!$A$36&gt;35,N33+M34-V33,IF(A34&lt;'Données projet'!$A$36,$K$205^A34,IF(A34='Données projet'!$A$36,'Données projet'!$B$36,N33+M34-V33)))</f>
        <v>154.79999999999993</v>
      </c>
      <c r="O34" s="13">
        <f>N34*VLOOKUP('Données projet'!$B$9,Paramètres!$A$1:$I$89,3,0)*VLOOKUP('Données projet'!$B$9,Paramètres!$A$1:$I$89,5,0)</f>
        <v>113.49935999999994</v>
      </c>
      <c r="P34" s="13">
        <f t="shared" si="33"/>
        <v>30.153952354272999</v>
      </c>
      <c r="Q34" s="20">
        <f t="shared" si="2"/>
        <v>250.19618568369199</v>
      </c>
      <c r="R34" s="59">
        <f t="shared" si="0"/>
        <v>543.52951901702534</v>
      </c>
      <c r="S34" s="59">
        <f ca="1">AVERAGE(OFFSET($R$3,0,0,'Données projet'!$E$9+1,1))-AVERAGE(OFFSET($H$3,0,0,'Données projet'!$E$9+1,1))</f>
        <v>328.55631138162721</v>
      </c>
      <c r="T34" s="59">
        <f t="shared" si="34"/>
        <v>321.81422611044985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2.9898212085025788</v>
      </c>
      <c r="AA34" s="21">
        <f>EXP(-LN(2)/25)*AA33+(1-EXP(-LN(2)/25))/(LN(2)/25)*Calculateur!V34*Calculateur!X34*VLOOKUP('Données projet'!$B$9,Paramètres!$A$1:$I$89,3,0)*0.475*44/12</f>
        <v>9.5479644132887458</v>
      </c>
      <c r="AB34" s="21">
        <f>EXP(-LN(2)/2)*AB33+(1-EXP(-LN(2)/2))/(LN(2)/2)*V34*Y34*VLOOKUP('Données projet'!$B$9,Paramètres!$A$1:$I$89,3,0)*0.475*44/12</f>
        <v>5.1922827844135666</v>
      </c>
      <c r="AC34" s="22">
        <f t="shared" si="3"/>
        <v>17.730068406204893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12.8</v>
      </c>
      <c r="AI34" s="13">
        <f>IF('Données projet'!$A$62&gt;35,AI33+AH34-AQ33,IF(A34&lt;'Données projet'!$A$62,$AF$205^A34,IF(A34='Données projet'!$A$62,'Données projet'!$B$62,AI33+AH34-AQ33)))</f>
        <v>154.79999999999993</v>
      </c>
      <c r="AJ34" s="13">
        <f>AI34*VLOOKUP('Données projet'!$B$10,Paramètres!$A$1:$I$89,3,0)*VLOOKUP('Données projet'!$B$10,Paramètres!$A$1:$I$89,5,0)</f>
        <v>123.15887999999995</v>
      </c>
      <c r="AK34" s="13">
        <f t="shared" si="35"/>
        <v>32.410638331814873</v>
      </c>
      <c r="AL34" s="20">
        <f t="shared" si="4"/>
        <v>270.95024442791083</v>
      </c>
      <c r="AM34" s="59">
        <f t="shared" si="5"/>
        <v>564.28357776124415</v>
      </c>
      <c r="AN34" s="59">
        <f ca="1">AVERAGE(OFFSET($AM$3,0,0,'Données projet'!$E$10+1,1))-AVERAGE(OFFSET($H$3,0,0,'Données projet'!$E$10+1,1))</f>
        <v>353.37479213497227</v>
      </c>
      <c r="AO34" s="59">
        <f t="shared" si="36"/>
        <v>345.4750813433123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3.9987564208720805</v>
      </c>
      <c r="AV34" s="21">
        <f>EXP(-LN(2)/25)*AV33+(1-EXP(-LN(2)/25))/(LN(2)/25)*Calculateur!AQ34*Calculateur!AS34*VLOOKUP('Données projet'!$B$10,Paramètres!$A$1:$I$89,3,0)*0.475*44/12</f>
        <v>12.7699890198513</v>
      </c>
      <c r="AW34" s="21">
        <f>EXP(-LN(2)/2)*AW33+(1-EXP(-LN(2)/2))/(LN(2)/2)*AQ34*AT34*VLOOKUP('Données projet'!$B$10,Paramètres!$A$1:$I$89,3,0)*0.475*44/12</f>
        <v>5.6341791915977009</v>
      </c>
      <c r="AX34" s="21">
        <f t="shared" si="6"/>
        <v>22.402924632321081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</v>
      </c>
      <c r="BD34" s="12">
        <f>IF('Données projet'!$A$88&gt;35,BD33+BC34-BL33,IF(A34&lt;'Données projet'!$A$88,$BA$205^A34,IF(A34='Données projet'!$A$88,'Données projet'!$B$88,BD33+BC34-BL33)))</f>
        <v>154.79999999999993</v>
      </c>
      <c r="BE34" s="13">
        <f>BD34*VLOOKUP('Données projet'!$B$11,Paramètres!$A$1:$I$89,3,0)*VLOOKUP('Données projet'!$B$11,Paramètres!$A$1:$I$89,5,0)</f>
        <v>125.57375999999995</v>
      </c>
      <c r="BF34" s="13">
        <f t="shared" si="37"/>
        <v>32.97153235129214</v>
      </c>
      <c r="BG34" s="20">
        <f t="shared" si="7"/>
        <v>276.13305084516702</v>
      </c>
      <c r="BH34" s="59">
        <f t="shared" si="8"/>
        <v>569.46638417850033</v>
      </c>
      <c r="BI34" s="59">
        <f ca="1">AVERAGE(OFFSET($BH$3,0,0,'Données projet'!$E$11+1,1))-AVERAGE(OFFSET($H$3,0,0,'Données projet'!$E$11+1,1))</f>
        <v>359.57284550600366</v>
      </c>
      <c r="BJ34" s="59">
        <f t="shared" si="38"/>
        <v>351.38386928091433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4.0771634095166309</v>
      </c>
      <c r="BQ34" s="21">
        <f>EXP(-LN(2)/25)*BQ33+(1-EXP(-LN(2)/25))/(LN(2)/25)*Calculateur!BL34*Calculateur!BN34*VLOOKUP('Données projet'!$B$11,Paramètres!$A$1:$I$89,3,0)*0.475*44/12</f>
        <v>13.020380961417015</v>
      </c>
      <c r="BR34" s="21">
        <f>EXP(-LN(2)/2)*BR33+(1-EXP(-LN(2)/2))/(LN(2)/2)*BL34*BO34*VLOOKUP('Données projet'!$B$11,Paramètres!$A$1:$I$89,3,0)*0.475*44/12</f>
        <v>5.7446532933937329</v>
      </c>
      <c r="BS34" s="22">
        <f t="shared" si="9"/>
        <v>22.842197664327379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3.0769230769230775</v>
      </c>
      <c r="BY34" s="12">
        <f>IF('Données projet'!$A$114&gt;35,BY33+BX34-CG33,IF(A34&lt;'Données projet'!$A$114,$BV$205^A34,IF(A34='Données projet'!$A$114,'Données projet'!$B$114,BY33+BX34-CG33)))</f>
        <v>51.153846153846139</v>
      </c>
      <c r="BZ34" s="13">
        <f>BY34*VLOOKUP('Données projet'!$B$12,Paramètres!$A$1:$I$89,3,0)*VLOOKUP('Données projet'!$B$12,Paramètres!$A$1:$I$89,5,0)</f>
        <v>41.495999999999995</v>
      </c>
      <c r="CA34" s="13">
        <f t="shared" si="39"/>
        <v>12.394310565265267</v>
      </c>
      <c r="CB34" s="20">
        <f t="shared" si="10"/>
        <v>93.858957567836981</v>
      </c>
      <c r="CC34" s="59">
        <f t="shared" si="11"/>
        <v>387.19229090117028</v>
      </c>
      <c r="CD34" s="59">
        <f ca="1">AVERAGE(OFFSET($CC$3,0,0,'Données projet'!$E$12+1,1))-AVERAGE(OFFSET($H$3,0,0,'Données projet'!$E$12+1,1))</f>
        <v>159.4660488566085</v>
      </c>
      <c r="CE34" s="59">
        <f t="shared" si="40"/>
        <v>135.33030558297088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1.364130292233666</v>
      </c>
      <c r="CM34" s="21">
        <f>EXP(-LN(2)/2)*CM33+(1-EXP(-LN(2)/2))/(LN(2)/2)*CG34*CJ34*VLOOKUP('Données projet'!$B$12,Paramètres!$A$1:$I$89,3,0)*0.475*44/12</f>
        <v>0.9276459655676329</v>
      </c>
      <c r="CN34" s="22">
        <f t="shared" si="12"/>
        <v>2.291776257801299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12.8</v>
      </c>
      <c r="CT34" s="12">
        <f>IF('Données projet'!$A$140&gt;35,CT33+CS34-DB33,IF(A34&lt;'Données projet'!$A$140,$CQ$205^A34,IF(A34='Données projet'!$A$140,'Données projet'!$B$140,CT33+CS34-DB33)))</f>
        <v>154.79999999999993</v>
      </c>
      <c r="CU34" s="17">
        <f>CT34*VLOOKUP('Données projet'!$B$13,Paramètres!$A$1:$I$89,3,0)*VLOOKUP('Données projet'!$B$13,Paramètres!$A$1:$I$89,5,0)</f>
        <v>123.15887999999995</v>
      </c>
      <c r="CV34" s="13">
        <f t="shared" si="41"/>
        <v>32.410638331814873</v>
      </c>
      <c r="CW34" s="20">
        <f t="shared" si="13"/>
        <v>270.95024442791083</v>
      </c>
      <c r="CX34" s="59">
        <f t="shared" si="14"/>
        <v>564.28357776124415</v>
      </c>
      <c r="CY34" s="59">
        <f ca="1">AVERAGE(OFFSET($CX$3,0,0,'Données projet'!$E$13+1,1))-AVERAGE(OFFSET($H$3,0,0,'Données projet'!$E$13+1,1))</f>
        <v>353.37479213497227</v>
      </c>
      <c r="CZ34" s="59">
        <f t="shared" si="42"/>
        <v>345.4750813433123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3.9987564208720805</v>
      </c>
      <c r="DG34" s="21">
        <f>EXP(-LN(2)/25)*DG33+(1-EXP(-LN(2)/25))/(LN(2)/25)*Calculateur!DB34*Calculateur!DD34*VLOOKUP('Données projet'!$B$13,Paramètres!$A$1:$I$89,3,0)*0.475*44/12</f>
        <v>12.7699890198513</v>
      </c>
      <c r="DH34" s="21">
        <f>EXP(-LN(2)/2)*DH33+(1-EXP(-LN(2)/2))/(LN(2)/2)*DB34*DE34*VLOOKUP('Données projet'!$B$13,Paramètres!$A$1:$I$89,3,0)*0.475*44/12</f>
        <v>5.6341791915977009</v>
      </c>
      <c r="DI34" s="22">
        <f t="shared" si="15"/>
        <v>22.402924632321081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4.0942857142857143</v>
      </c>
      <c r="DO34" s="12">
        <f>IF('Données projet'!$A$166&gt;35,DO33+DN34-DW33,IF(A34&lt;'Données projet'!$A$166,$DL$205^A34,IF(A34='Données projet'!$A$166,'Données projet'!$B$166,DO33+DN34-DW33)))</f>
        <v>126.92285714285723</v>
      </c>
      <c r="DP34" s="17">
        <f>DO34*VLOOKUP('Données projet'!$B$14,Paramètres!$A$1:$I$89,3,0)*VLOOKUP('Données projet'!$B$14,Paramètres!$A$1:$I$89,5,0)</f>
        <v>114.83980114285721</v>
      </c>
      <c r="DQ34" s="13">
        <f t="shared" si="43"/>
        <v>30.468406249196239</v>
      </c>
      <c r="DR34" s="20">
        <f t="shared" si="16"/>
        <v>253.07846120782642</v>
      </c>
      <c r="DS34" s="59">
        <f t="shared" si="17"/>
        <v>546.41179454115968</v>
      </c>
      <c r="DT34" s="59">
        <f ca="1">AVERAGE(OFFSET($DS$3,0,0,'Données projet'!$E$14+1,1))-AVERAGE(OFFSET($H$3,0,0,'Données projet'!$E$14+1,1))</f>
        <v>635.71275911100679</v>
      </c>
      <c r="DU34" s="59">
        <f t="shared" si="44"/>
        <v>281.7776857269169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4.0942857142857143</v>
      </c>
      <c r="EJ34" s="12">
        <f>IF('Données projet'!$A$192&gt;35,EJ33+EI34-ER33,IF(A34&lt;'Données projet'!$A$192,$EG$205^A34,IF(A34='Données projet'!$A$192,'Données projet'!$B$192,EJ33+EI34-ER33)))</f>
        <v>126.92285714285723</v>
      </c>
      <c r="EK34" s="17">
        <f>EJ34*VLOOKUP('Données projet'!$B$15,Paramètres!$A$1:$I$89,3,0)*VLOOKUP('Données projet'!$B$15,Paramètres!$A$1:$I$89,5,0)</f>
        <v>85.139852571428634</v>
      </c>
      <c r="EL34" s="13">
        <f t="shared" si="45"/>
        <v>23.389314298724134</v>
      </c>
      <c r="EM34" s="20">
        <f t="shared" si="19"/>
        <v>189.02163229884937</v>
      </c>
      <c r="EN34" s="59">
        <f t="shared" si="20"/>
        <v>482.35496563218271</v>
      </c>
      <c r="EO34" s="59">
        <f ca="1">AVERAGE(OFFSET($EN$3,0,0,'Données projet'!$E$15+1,1))-AVERAGE(OFFSET($H$3,0,0,'Données projet'!$E$15+1,1))</f>
        <v>482.99915419700773</v>
      </c>
      <c r="EP34" s="59">
        <f t="shared" si="46"/>
        <v>219.74157899604279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4.0942857142857143</v>
      </c>
      <c r="FE34" s="12">
        <f>IF('Données projet'!$A$218&gt;35,FE33+FD34-FM33,IF(A34&lt;'Données projet'!$A$218,$FB$205^A34,IF(A34='Données projet'!$A$218,'Données projet'!$B$218,FE33+FD34-FM33)))</f>
        <v>126.92285714285723</v>
      </c>
      <c r="FF34" s="17">
        <f>FE34*VLOOKUP('Données projet'!$B$16,Paramètres!$A$1:$I$89,3,0)*VLOOKUP('Données projet'!$B$16,Paramètres!$A$1:$I$89,5,0)</f>
        <v>120.77979085714293</v>
      </c>
      <c r="FG34" s="13">
        <f t="shared" si="47"/>
        <v>31.856804087434281</v>
      </c>
      <c r="FH34" s="20">
        <f t="shared" si="22"/>
        <v>265.842069528472</v>
      </c>
      <c r="FI34" s="59">
        <f t="shared" si="23"/>
        <v>559.17540286180531</v>
      </c>
      <c r="FJ34" s="59">
        <f ca="1">AVERAGE(OFFSET($FI$3,0,0,'Données projet'!$E$16+1,1))-AVERAGE(OFFSET($H$3,0,0,'Données projet'!$E$16+1,1))</f>
        <v>666.1523645983184</v>
      </c>
      <c r="FK34" s="59">
        <f t="shared" si="48"/>
        <v>294.13851344047526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12.8</v>
      </c>
      <c r="N35" s="13">
        <f>IF('Données projet'!$A$36&gt;35,N34+M35-V34,IF(A35&lt;'Données projet'!$A$36,$K$205^A35,IF(A35='Données projet'!$A$36,'Données projet'!$B$36,N34+M35-V34)))</f>
        <v>167.59999999999994</v>
      </c>
      <c r="O35" s="13">
        <f>N35*VLOOKUP('Données projet'!$B$9,Paramètres!$A$1:$I$89,3,0)*VLOOKUP('Données projet'!$B$9,Paramètres!$A$1:$I$89,5,0)</f>
        <v>122.88431999999995</v>
      </c>
      <c r="P35" s="13">
        <f t="shared" si="33"/>
        <v>32.346786815026803</v>
      </c>
      <c r="Q35" s="20">
        <f t="shared" ref="Q35:Q66" si="53">(O35+P35)*0.475*44/12</f>
        <v>270.36084436950489</v>
      </c>
      <c r="R35" s="59">
        <f t="shared" si="0"/>
        <v>563.69417770283826</v>
      </c>
      <c r="S35" s="59">
        <f ca="1">AVERAGE(OFFSET($R$3,0,0,'Données projet'!$E$9+1,1))-AVERAGE(OFFSET($H$3,0,0,'Données projet'!$E$9+1,1))</f>
        <v>328.55631138162721</v>
      </c>
      <c r="T35" s="59">
        <f t="shared" si="34"/>
        <v>321.81422611044985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2.9311926382147138</v>
      </c>
      <c r="AA35" s="21">
        <f>EXP(-LN(2)/25)*AA34+(1-EXP(-LN(2)/25))/(LN(2)/25)*Calculateur!V35*Calculateur!X35*VLOOKUP('Données projet'!$B$9,Paramètres!$A$1:$I$89,3,0)*0.475*44/12</f>
        <v>9.2868748243017389</v>
      </c>
      <c r="AB35" s="21">
        <f>EXP(-LN(2)/2)*AB34+(1-EXP(-LN(2)/2))/(LN(2)/2)*V35*Y35*VLOOKUP('Données projet'!$B$9,Paramètres!$A$1:$I$89,3,0)*0.475*44/12</f>
        <v>3.6714983666970018</v>
      </c>
      <c r="AC35" s="22">
        <f t="shared" si="3"/>
        <v>15.889565829213455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12.8</v>
      </c>
      <c r="AI35" s="13">
        <f>IF('Données projet'!$A$62&gt;35,AI34+AH35-AQ34,IF(A35&lt;'Données projet'!$A$62,$AF$205^A35,IF(A35='Données projet'!$A$62,'Données projet'!$B$62,AI34+AH35-AQ34)))</f>
        <v>167.59999999999994</v>
      </c>
      <c r="AJ35" s="13">
        <f>AI35*VLOOKUP('Données projet'!$B$10,Paramètres!$A$1:$I$89,3,0)*VLOOKUP('Données projet'!$B$10,Paramètres!$A$1:$I$89,5,0)</f>
        <v>133.34255999999996</v>
      </c>
      <c r="AK35" s="13">
        <f t="shared" si="35"/>
        <v>34.767581918978188</v>
      </c>
      <c r="AL35" s="20">
        <f t="shared" si="4"/>
        <v>292.7918305088869</v>
      </c>
      <c r="AM35" s="59">
        <f t="shared" si="5"/>
        <v>586.12516384222022</v>
      </c>
      <c r="AN35" s="59">
        <f ca="1">AVERAGE(OFFSET($AM$3,0,0,'Données projet'!$E$10+1,1))-AVERAGE(OFFSET($H$3,0,0,'Données projet'!$E$10+1,1))</f>
        <v>353.37479213497227</v>
      </c>
      <c r="AO35" s="59">
        <f t="shared" si="36"/>
        <v>345.4750813433123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3.9203432464593644</v>
      </c>
      <c r="AV35" s="21">
        <f>EXP(-LN(2)/25)*AV34+(1-EXP(-LN(2)/25))/(LN(2)/25)*Calculateur!AQ35*Calculateur!AS35*VLOOKUP('Données projet'!$B$10,Paramètres!$A$1:$I$89,3,0)*0.475*44/12</f>
        <v>12.42079299855893</v>
      </c>
      <c r="AW35" s="21">
        <f>EXP(-LN(2)/2)*AW34+(1-EXP(-LN(2)/2))/(LN(2)/2)*AQ35*AT35*VLOOKUP('Données projet'!$B$10,Paramètres!$A$1:$I$89,3,0)*0.475*44/12</f>
        <v>3.9839663127988749</v>
      </c>
      <c r="AX35" s="21">
        <f t="shared" si="6"/>
        <v>20.325102557817168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</v>
      </c>
      <c r="BD35" s="12">
        <f>IF('Données projet'!$A$88&gt;35,BD34+BC35-BL34,IF(A35&lt;'Données projet'!$A$88,$BA$205^A35,IF(A35='Données projet'!$A$88,'Données projet'!$B$88,BD34+BC35-BL34)))</f>
        <v>167.59999999999994</v>
      </c>
      <c r="BE35" s="13">
        <f>BD35*VLOOKUP('Données projet'!$B$11,Paramètres!$A$1:$I$89,3,0)*VLOOKUP('Données projet'!$B$11,Paramètres!$A$1:$I$89,5,0)</f>
        <v>135.95711999999997</v>
      </c>
      <c r="BF35" s="13">
        <f t="shared" si="37"/>
        <v>35.369264877838596</v>
      </c>
      <c r="BG35" s="20">
        <f t="shared" si="7"/>
        <v>298.39345366223546</v>
      </c>
      <c r="BH35" s="59">
        <f t="shared" si="8"/>
        <v>591.72678699556877</v>
      </c>
      <c r="BI35" s="59">
        <f ca="1">AVERAGE(OFFSET($BH$3,0,0,'Données projet'!$E$11+1,1))-AVERAGE(OFFSET($H$3,0,0,'Données projet'!$E$11+1,1))</f>
        <v>359.57284550600366</v>
      </c>
      <c r="BJ35" s="59">
        <f t="shared" si="38"/>
        <v>351.38386928091433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3.9972127218801363</v>
      </c>
      <c r="BQ35" s="21">
        <f>EXP(-LN(2)/25)*BQ34+(1-EXP(-LN(2)/25))/(LN(2)/25)*Calculateur!BL35*Calculateur!BN35*VLOOKUP('Données projet'!$B$11,Paramètres!$A$1:$I$89,3,0)*0.475*44/12</f>
        <v>12.66433795931499</v>
      </c>
      <c r="BR35" s="21">
        <f>EXP(-LN(2)/2)*BR34+(1-EXP(-LN(2)/2))/(LN(2)/2)*BL35*BO35*VLOOKUP('Données projet'!$B$11,Paramètres!$A$1:$I$89,3,0)*0.475*44/12</f>
        <v>4.0620832993243425</v>
      </c>
      <c r="BS35" s="22">
        <f t="shared" si="9"/>
        <v>20.72363398051947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3.0769230769230775</v>
      </c>
      <c r="BY35" s="12">
        <f>IF('Données projet'!$A$114&gt;35,BY34+BX35-CG34,IF(A35&lt;'Données projet'!$A$114,$BV$205^A35,IF(A35='Données projet'!$A$114,'Données projet'!$B$114,BY34+BX35-CG34)))</f>
        <v>54.230769230769219</v>
      </c>
      <c r="BZ35" s="13">
        <f>BY35*VLOOKUP('Données projet'!$B$12,Paramètres!$A$1:$I$89,3,0)*VLOOKUP('Données projet'!$B$12,Paramètres!$A$1:$I$89,5,0)</f>
        <v>43.991999999999997</v>
      </c>
      <c r="CA35" s="13">
        <f t="shared" si="39"/>
        <v>13.05079813120688</v>
      </c>
      <c r="CB35" s="20">
        <f t="shared" si="10"/>
        <v>99.349540078518643</v>
      </c>
      <c r="CC35" s="59">
        <f t="shared" si="11"/>
        <v>392.68287341185197</v>
      </c>
      <c r="CD35" s="59">
        <f ca="1">AVERAGE(OFFSET($CC$3,0,0,'Données projet'!$E$12+1,1))-AVERAGE(OFFSET($H$3,0,0,'Données projet'!$E$12+1,1))</f>
        <v>159.4660488566085</v>
      </c>
      <c r="CE35" s="59">
        <f t="shared" si="40"/>
        <v>135.33030558297088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1.3268280776560422</v>
      </c>
      <c r="CM35" s="21">
        <f>EXP(-LN(2)/2)*CM34+(1-EXP(-LN(2)/2))/(LN(2)/2)*CG35*CJ35*VLOOKUP('Données projet'!$B$12,Paramètres!$A$1:$I$89,3,0)*0.475*44/12</f>
        <v>0.65594475279321585</v>
      </c>
      <c r="CN35" s="22">
        <f t="shared" si="12"/>
        <v>1.982772830449258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12.8</v>
      </c>
      <c r="CT35" s="12">
        <f>IF('Données projet'!$A$140&gt;35,CT34+CS35-DB34,IF(A35&lt;'Données projet'!$A$140,$CQ$205^A35,IF(A35='Données projet'!$A$140,'Données projet'!$B$140,CT34+CS35-DB34)))</f>
        <v>167.59999999999994</v>
      </c>
      <c r="CU35" s="17">
        <f>CT35*VLOOKUP('Données projet'!$B$13,Paramètres!$A$1:$I$89,3,0)*VLOOKUP('Données projet'!$B$13,Paramètres!$A$1:$I$89,5,0)</f>
        <v>133.34255999999996</v>
      </c>
      <c r="CV35" s="13">
        <f t="shared" si="41"/>
        <v>34.767581918978188</v>
      </c>
      <c r="CW35" s="20">
        <f t="shared" si="13"/>
        <v>292.7918305088869</v>
      </c>
      <c r="CX35" s="59">
        <f t="shared" si="14"/>
        <v>586.12516384222022</v>
      </c>
      <c r="CY35" s="59">
        <f ca="1">AVERAGE(OFFSET($CX$3,0,0,'Données projet'!$E$13+1,1))-AVERAGE(OFFSET($H$3,0,0,'Données projet'!$E$13+1,1))</f>
        <v>353.37479213497227</v>
      </c>
      <c r="CZ35" s="59">
        <f t="shared" si="42"/>
        <v>345.4750813433123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3.9203432464593644</v>
      </c>
      <c r="DG35" s="21">
        <f>EXP(-LN(2)/25)*DG34+(1-EXP(-LN(2)/25))/(LN(2)/25)*Calculateur!DB35*Calculateur!DD35*VLOOKUP('Données projet'!$B$13,Paramètres!$A$1:$I$89,3,0)*0.475*44/12</f>
        <v>12.42079299855893</v>
      </c>
      <c r="DH35" s="21">
        <f>EXP(-LN(2)/2)*DH34+(1-EXP(-LN(2)/2))/(LN(2)/2)*DB35*DE35*VLOOKUP('Données projet'!$B$13,Paramètres!$A$1:$I$89,3,0)*0.475*44/12</f>
        <v>3.9839663127988749</v>
      </c>
      <c r="DI35" s="22">
        <f t="shared" si="15"/>
        <v>20.325102557817168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4.0942857142857143</v>
      </c>
      <c r="DO35" s="12">
        <f>IF('Données projet'!$A$166&gt;35,DO34+DN35-DW34,IF(A35&lt;'Données projet'!$A$166,$DL$205^A35,IF(A35='Données projet'!$A$166,'Données projet'!$B$166,DO34+DN35-DW34)))</f>
        <v>131.01714285714294</v>
      </c>
      <c r="DP35" s="17">
        <f>DO35*VLOOKUP('Données projet'!$B$14,Paramètres!$A$1:$I$89,3,0)*VLOOKUP('Données projet'!$B$14,Paramètres!$A$1:$I$89,5,0)</f>
        <v>118.54431085714293</v>
      </c>
      <c r="DQ35" s="13">
        <f t="shared" si="43"/>
        <v>31.335242916471387</v>
      </c>
      <c r="DR35" s="20">
        <f t="shared" si="16"/>
        <v>261.04022282237821</v>
      </c>
      <c r="DS35" s="59">
        <f t="shared" si="17"/>
        <v>554.37355615571153</v>
      </c>
      <c r="DT35" s="59">
        <f ca="1">AVERAGE(OFFSET($DS$3,0,0,'Données projet'!$E$14+1,1))-AVERAGE(OFFSET($H$3,0,0,'Données projet'!$E$14+1,1))</f>
        <v>635.71275911100679</v>
      </c>
      <c r="DU35" s="59">
        <f t="shared" si="44"/>
        <v>281.7776857269169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4.0942857142857143</v>
      </c>
      <c r="EJ35" s="12">
        <f>IF('Données projet'!$A$192&gt;35,EJ34+EI35-ER34,IF(A35&lt;'Données projet'!$A$192,$EG$205^A35,IF(A35='Données projet'!$A$192,'Données projet'!$B$192,EJ34+EI35-ER34)))</f>
        <v>131.01714285714294</v>
      </c>
      <c r="EK35" s="17">
        <f>EJ35*VLOOKUP('Données projet'!$B$15,Paramètres!$A$1:$I$89,3,0)*VLOOKUP('Données projet'!$B$15,Paramètres!$A$1:$I$89,5,0)</f>
        <v>87.88629942857149</v>
      </c>
      <c r="EL35" s="13">
        <f t="shared" si="45"/>
        <v>24.054748358212926</v>
      </c>
      <c r="EM35" s="20">
        <f t="shared" si="19"/>
        <v>194.96399156198288</v>
      </c>
      <c r="EN35" s="59">
        <f t="shared" si="20"/>
        <v>488.29732489531619</v>
      </c>
      <c r="EO35" s="59">
        <f ca="1">AVERAGE(OFFSET($EN$3,0,0,'Données projet'!$E$15+1,1))-AVERAGE(OFFSET($H$3,0,0,'Données projet'!$E$15+1,1))</f>
        <v>482.99915419700773</v>
      </c>
      <c r="EP35" s="59">
        <f t="shared" si="46"/>
        <v>219.74157899604279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4.0942857142857143</v>
      </c>
      <c r="FE35" s="12">
        <f>IF('Données projet'!$A$218&gt;35,FE34+FD35-FM34,IF(A35&lt;'Données projet'!$A$218,$FB$205^A35,IF(A35='Données projet'!$A$218,'Données projet'!$B$218,FE34+FD35-FM34)))</f>
        <v>131.01714285714294</v>
      </c>
      <c r="FF35" s="17">
        <f>FE35*VLOOKUP('Données projet'!$B$16,Paramètres!$A$1:$I$89,3,0)*VLOOKUP('Données projet'!$B$16,Paramètres!$A$1:$I$89,5,0)</f>
        <v>124.67591314285721</v>
      </c>
      <c r="FG35" s="13">
        <f t="shared" si="47"/>
        <v>32.763141152108169</v>
      </c>
      <c r="FH35" s="20">
        <f t="shared" si="22"/>
        <v>274.20635289706468</v>
      </c>
      <c r="FI35" s="59">
        <f t="shared" si="23"/>
        <v>567.53968623039805</v>
      </c>
      <c r="FJ35" s="59">
        <f ca="1">AVERAGE(OFFSET($FI$3,0,0,'Données projet'!$E$16+1,1))-AVERAGE(OFFSET($H$3,0,0,'Données projet'!$E$16+1,1))</f>
        <v>666.1523645983184</v>
      </c>
      <c r="FK35" s="59">
        <f t="shared" si="48"/>
        <v>294.13851344047526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12.8</v>
      </c>
      <c r="N36" s="13">
        <f>IF('Données projet'!$A$36&gt;35,N35+M36-V35,IF(A36&lt;'Données projet'!$A$36,$K$205^A36,IF(A36='Données projet'!$A$36,'Données projet'!$B$36,N35+M36-V35)))</f>
        <v>180.39999999999995</v>
      </c>
      <c r="O36" s="13">
        <f>N36*VLOOKUP('Données projet'!$B$9,Paramètres!$A$1:$I$89,3,0)*VLOOKUP('Données projet'!$B$9,Paramètres!$A$1:$I$89,5,0)</f>
        <v>132.26927999999995</v>
      </c>
      <c r="P36" s="13">
        <f t="shared" si="33"/>
        <v>34.520194019648734</v>
      </c>
      <c r="Q36" s="20">
        <f t="shared" si="53"/>
        <v>290.4916672508881</v>
      </c>
      <c r="R36" s="59">
        <f t="shared" si="0"/>
        <v>583.82500058422147</v>
      </c>
      <c r="S36" s="59">
        <f ca="1">AVERAGE(OFFSET($R$3,0,0,'Données projet'!$E$9+1,1))-AVERAGE(OFFSET($H$3,0,0,'Données projet'!$E$9+1,1))</f>
        <v>328.55631138162721</v>
      </c>
      <c r="T36" s="59">
        <f t="shared" si="34"/>
        <v>321.81422611044985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2.8737137384302969</v>
      </c>
      <c r="AA36" s="21">
        <f>EXP(-LN(2)/25)*AA35+(1-EXP(-LN(2)/25))/(LN(2)/25)*Calculateur!V36*Calculateur!X36*VLOOKUP('Données projet'!$B$9,Paramètres!$A$1:$I$89,3,0)*0.475*44/12</f>
        <v>9.0329247438556859</v>
      </c>
      <c r="AB36" s="21">
        <f>EXP(-LN(2)/2)*AB35+(1-EXP(-LN(2)/2))/(LN(2)/2)*V36*Y36*VLOOKUP('Données projet'!$B$9,Paramètres!$A$1:$I$89,3,0)*0.475*44/12</f>
        <v>2.5961413922067837</v>
      </c>
      <c r="AC36" s="22">
        <f t="shared" si="3"/>
        <v>14.502779874492767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12.8</v>
      </c>
      <c r="AI36" s="13">
        <f>IF('Données projet'!$A$62&gt;35,AI35+AH36-AQ35,IF(A36&lt;'Données projet'!$A$62,$AF$205^A36,IF(A36='Données projet'!$A$62,'Données projet'!$B$62,AI35+AH36-AQ35)))</f>
        <v>180.39999999999995</v>
      </c>
      <c r="AJ36" s="13">
        <f>AI36*VLOOKUP('Données projet'!$B$10,Paramètres!$A$1:$I$89,3,0)*VLOOKUP('Données projet'!$B$10,Paramètres!$A$1:$I$89,5,0)</f>
        <v>143.52623999999997</v>
      </c>
      <c r="AK36" s="13">
        <f t="shared" si="35"/>
        <v>37.103644337236275</v>
      </c>
      <c r="AL36" s="20">
        <f t="shared" si="4"/>
        <v>314.59704855401981</v>
      </c>
      <c r="AM36" s="59">
        <f t="shared" si="5"/>
        <v>607.93038188735318</v>
      </c>
      <c r="AN36" s="59">
        <f ca="1">AVERAGE(OFFSET($AM$3,0,0,'Données projet'!$E$10+1,1))-AVERAGE(OFFSET($H$3,0,0,'Données projet'!$E$10+1,1))</f>
        <v>353.37479213497227</v>
      </c>
      <c r="AO36" s="59">
        <f t="shared" si="36"/>
        <v>345.4750813433123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3.8434677065695677</v>
      </c>
      <c r="AV36" s="21">
        <f>EXP(-LN(2)/25)*AV35+(1-EXP(-LN(2)/25))/(LN(2)/25)*Calculateur!AQ36*Calculateur!AS36*VLOOKUP('Données projet'!$B$10,Paramètres!$A$1:$I$89,3,0)*0.475*44/12</f>
        <v>12.081145760832221</v>
      </c>
      <c r="AW36" s="21">
        <f>EXP(-LN(2)/2)*AW35+(1-EXP(-LN(2)/2))/(LN(2)/2)*AQ36*AT36*VLOOKUP('Données projet'!$B$10,Paramètres!$A$1:$I$89,3,0)*0.475*44/12</f>
        <v>2.8170895957988509</v>
      </c>
      <c r="AX36" s="21">
        <f t="shared" si="6"/>
        <v>18.741703063200639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</v>
      </c>
      <c r="BD36" s="12">
        <f>IF('Données projet'!$A$88&gt;35,BD35+BC36-BL35,IF(A36&lt;'Données projet'!$A$88,$BA$205^A36,IF(A36='Données projet'!$A$88,'Données projet'!$B$88,BD35+BC36-BL35)))</f>
        <v>180.39999999999995</v>
      </c>
      <c r="BE36" s="13">
        <f>BD36*VLOOKUP('Données projet'!$B$11,Paramètres!$A$1:$I$89,3,0)*VLOOKUP('Données projet'!$B$11,Paramètres!$A$1:$I$89,5,0)</f>
        <v>146.34047999999999</v>
      </c>
      <c r="BF36" s="13">
        <f t="shared" si="37"/>
        <v>37.745754868861937</v>
      </c>
      <c r="BG36" s="20">
        <f t="shared" si="7"/>
        <v>320.6168590632679</v>
      </c>
      <c r="BH36" s="59">
        <f t="shared" si="8"/>
        <v>613.95019239660121</v>
      </c>
      <c r="BI36" s="59">
        <f ca="1">AVERAGE(OFFSET($BH$3,0,0,'Données projet'!$E$11+1,1))-AVERAGE(OFFSET($H$3,0,0,'Données projet'!$E$11+1,1))</f>
        <v>359.57284550600366</v>
      </c>
      <c r="BJ36" s="59">
        <f t="shared" si="38"/>
        <v>351.38386928091433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3.918829818463089</v>
      </c>
      <c r="BQ36" s="21">
        <f>EXP(-LN(2)/25)*BQ35+(1-EXP(-LN(2)/25))/(LN(2)/25)*Calculateur!BL36*Calculateur!BN36*VLOOKUP('Données projet'!$B$11,Paramètres!$A$1:$I$89,3,0)*0.475*44/12</f>
        <v>12.318030971828932</v>
      </c>
      <c r="BR36" s="21">
        <f>EXP(-LN(2)/2)*BR35+(1-EXP(-LN(2)/2))/(LN(2)/2)*BL36*BO36*VLOOKUP('Données projet'!$B$11,Paramètres!$A$1:$I$89,3,0)*0.475*44/12</f>
        <v>2.8723266466968673</v>
      </c>
      <c r="BS36" s="22">
        <f t="shared" si="9"/>
        <v>19.109187436988886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3.0769230769230775</v>
      </c>
      <c r="BY36" s="12">
        <f>IF('Données projet'!$A$114&gt;35,BY35+BX36-CG35,IF(A36&lt;'Données projet'!$A$114,$BV$205^A36,IF(A36='Données projet'!$A$114,'Données projet'!$B$114,BY35+BX36-CG35)))</f>
        <v>57.307692307692299</v>
      </c>
      <c r="BZ36" s="13">
        <f>BY36*VLOOKUP('Données projet'!$B$12,Paramètres!$A$1:$I$89,3,0)*VLOOKUP('Données projet'!$B$12,Paramètres!$A$1:$I$89,5,0)</f>
        <v>46.488</v>
      </c>
      <c r="CA36" s="13">
        <f t="shared" si="39"/>
        <v>13.70296192228238</v>
      </c>
      <c r="CB36" s="20">
        <f t="shared" si="10"/>
        <v>104.83259201464182</v>
      </c>
      <c r="CC36" s="59">
        <f t="shared" si="11"/>
        <v>398.16592534797513</v>
      </c>
      <c r="CD36" s="59">
        <f ca="1">AVERAGE(OFFSET($CC$3,0,0,'Données projet'!$E$12+1,1))-AVERAGE(OFFSET($H$3,0,0,'Données projet'!$E$12+1,1))</f>
        <v>159.4660488566085</v>
      </c>
      <c r="CE36" s="59">
        <f t="shared" si="40"/>
        <v>135.33030558297088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1.2905458940976815</v>
      </c>
      <c r="CM36" s="21">
        <f>EXP(-LN(2)/2)*CM35+(1-EXP(-LN(2)/2))/(LN(2)/2)*CG36*CJ36*VLOOKUP('Données projet'!$B$12,Paramètres!$A$1:$I$89,3,0)*0.475*44/12</f>
        <v>0.46382298278381651</v>
      </c>
      <c r="CN36" s="22">
        <f t="shared" si="12"/>
        <v>1.754368876881498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12.8</v>
      </c>
      <c r="CT36" s="12">
        <f>IF('Données projet'!$A$140&gt;35,CT35+CS36-DB35,IF(A36&lt;'Données projet'!$A$140,$CQ$205^A36,IF(A36='Données projet'!$A$140,'Données projet'!$B$140,CT35+CS36-DB35)))</f>
        <v>180.39999999999995</v>
      </c>
      <c r="CU36" s="17">
        <f>CT36*VLOOKUP('Données projet'!$B$13,Paramètres!$A$1:$I$89,3,0)*VLOOKUP('Données projet'!$B$13,Paramètres!$A$1:$I$89,5,0)</f>
        <v>143.52623999999997</v>
      </c>
      <c r="CV36" s="13">
        <f t="shared" si="41"/>
        <v>37.103644337236275</v>
      </c>
      <c r="CW36" s="20">
        <f t="shared" si="13"/>
        <v>314.59704855401981</v>
      </c>
      <c r="CX36" s="59">
        <f t="shared" si="14"/>
        <v>607.93038188735318</v>
      </c>
      <c r="CY36" s="59">
        <f ca="1">AVERAGE(OFFSET($CX$3,0,0,'Données projet'!$E$13+1,1))-AVERAGE(OFFSET($H$3,0,0,'Données projet'!$E$13+1,1))</f>
        <v>353.37479213497227</v>
      </c>
      <c r="CZ36" s="59">
        <f t="shared" si="42"/>
        <v>345.4750813433123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3.8434677065695677</v>
      </c>
      <c r="DG36" s="21">
        <f>EXP(-LN(2)/25)*DG35+(1-EXP(-LN(2)/25))/(LN(2)/25)*Calculateur!DB36*Calculateur!DD36*VLOOKUP('Données projet'!$B$13,Paramètres!$A$1:$I$89,3,0)*0.475*44/12</f>
        <v>12.081145760832221</v>
      </c>
      <c r="DH36" s="21">
        <f>EXP(-LN(2)/2)*DH35+(1-EXP(-LN(2)/2))/(LN(2)/2)*DB36*DE36*VLOOKUP('Données projet'!$B$13,Paramètres!$A$1:$I$89,3,0)*0.475*44/12</f>
        <v>2.8170895957988509</v>
      </c>
      <c r="DI36" s="22">
        <f t="shared" si="15"/>
        <v>18.741703063200639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4.0942857142857143</v>
      </c>
      <c r="DO36" s="12">
        <f>IF('Données projet'!$A$166&gt;35,DO35+DN36-DW35,IF(A36&lt;'Données projet'!$A$166,$DL$205^A36,IF(A36='Données projet'!$A$166,'Données projet'!$B$166,DO35+DN36-DW35)))</f>
        <v>135.11142857142866</v>
      </c>
      <c r="DP36" s="17">
        <f>DO36*VLOOKUP('Données projet'!$B$14,Paramètres!$A$1:$I$89,3,0)*VLOOKUP('Données projet'!$B$14,Paramètres!$A$1:$I$89,5,0)</f>
        <v>122.24882057142865</v>
      </c>
      <c r="DQ36" s="13">
        <f t="shared" si="43"/>
        <v>32.198931651835657</v>
      </c>
      <c r="DR36" s="20">
        <f t="shared" si="16"/>
        <v>268.99650178885196</v>
      </c>
      <c r="DS36" s="59">
        <f t="shared" si="17"/>
        <v>562.32983512218527</v>
      </c>
      <c r="DT36" s="59">
        <f ca="1">AVERAGE(OFFSET($DS$3,0,0,'Données projet'!$E$14+1,1))-AVERAGE(OFFSET($H$3,0,0,'Données projet'!$E$14+1,1))</f>
        <v>635.71275911100679</v>
      </c>
      <c r="DU36" s="59">
        <f t="shared" si="44"/>
        <v>281.7776857269169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4.0942857142857143</v>
      </c>
      <c r="EJ36" s="12">
        <f>IF('Données projet'!$A$192&gt;35,EJ35+EI36-ER35,IF(A36&lt;'Données projet'!$A$192,$EG$205^A36,IF(A36='Données projet'!$A$192,'Données projet'!$B$192,EJ35+EI36-ER35)))</f>
        <v>135.11142857142866</v>
      </c>
      <c r="EK36" s="17">
        <f>EJ36*VLOOKUP('Données projet'!$B$15,Paramètres!$A$1:$I$89,3,0)*VLOOKUP('Données projet'!$B$15,Paramètres!$A$1:$I$89,5,0)</f>
        <v>90.632746285714347</v>
      </c>
      <c r="EL36" s="13">
        <f t="shared" si="45"/>
        <v>24.717765882742459</v>
      </c>
      <c r="EM36" s="20">
        <f t="shared" si="19"/>
        <v>200.90214202672894</v>
      </c>
      <c r="EN36" s="59">
        <f t="shared" si="20"/>
        <v>494.23547536006225</v>
      </c>
      <c r="EO36" s="59">
        <f ca="1">AVERAGE(OFFSET($EN$3,0,0,'Données projet'!$E$15+1,1))-AVERAGE(OFFSET($H$3,0,0,'Données projet'!$E$15+1,1))</f>
        <v>482.99915419700773</v>
      </c>
      <c r="EP36" s="59">
        <f t="shared" si="46"/>
        <v>219.74157899604279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4.0942857142857143</v>
      </c>
      <c r="FE36" s="12">
        <f>IF('Données projet'!$A$218&gt;35,FE35+FD36-FM35,IF(A36&lt;'Données projet'!$A$218,$FB$205^A36,IF(A36='Données projet'!$A$218,'Données projet'!$B$218,FE35+FD36-FM35)))</f>
        <v>135.11142857142866</v>
      </c>
      <c r="FF36" s="17">
        <f>FE36*VLOOKUP('Données projet'!$B$16,Paramètres!$A$1:$I$89,3,0)*VLOOKUP('Données projet'!$B$16,Paramètres!$A$1:$I$89,5,0)</f>
        <v>128.5720354285715</v>
      </c>
      <c r="FG36" s="13">
        <f t="shared" si="47"/>
        <v>33.666186838514868</v>
      </c>
      <c r="FH36" s="20">
        <f t="shared" si="22"/>
        <v>282.56490378184208</v>
      </c>
      <c r="FI36" s="59">
        <f t="shared" si="23"/>
        <v>575.89823711517533</v>
      </c>
      <c r="FJ36" s="59">
        <f ca="1">AVERAGE(OFFSET($FI$3,0,0,'Données projet'!$E$16+1,1))-AVERAGE(OFFSET($H$3,0,0,'Données projet'!$E$16+1,1))</f>
        <v>666.1523645983184</v>
      </c>
      <c r="FK36" s="59">
        <f t="shared" si="48"/>
        <v>294.13851344047526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12.8</v>
      </c>
      <c r="N37" s="13">
        <f>IF('Données projet'!$A$36&gt;35,N36+M37-V36,IF(A37&lt;'Données projet'!$A$36,$K$205^A37,IF(A37='Données projet'!$A$36,'Données projet'!$B$36,N36+M37-V36)))</f>
        <v>193.19999999999996</v>
      </c>
      <c r="O37" s="13">
        <f>N37*VLOOKUP('Données projet'!$B$9,Paramètres!$A$1:$I$89,3,0)*VLOOKUP('Données projet'!$B$9,Paramètres!$A$1:$I$89,5,0)</f>
        <v>141.65423999999996</v>
      </c>
      <c r="P37" s="13">
        <f t="shared" si="33"/>
        <v>36.675709178601934</v>
      </c>
      <c r="Q37" s="20">
        <f t="shared" si="53"/>
        <v>310.59132815273165</v>
      </c>
      <c r="R37" s="59">
        <f t="shared" si="0"/>
        <v>603.92466148606491</v>
      </c>
      <c r="S37" s="59">
        <f ca="1">AVERAGE(OFFSET($R$3,0,0,'Données projet'!$E$9+1,1))-AVERAGE(OFFSET($H$3,0,0,'Données projet'!$E$9+1,1))</f>
        <v>328.55631138162721</v>
      </c>
      <c r="T37" s="59">
        <f t="shared" si="34"/>
        <v>321.81422611044985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2.8173619648119854</v>
      </c>
      <c r="AA37" s="21">
        <f>EXP(-LN(2)/25)*AA36+(1-EXP(-LN(2)/25))/(LN(2)/25)*Calculateur!V37*Calculateur!X37*VLOOKUP('Données projet'!$B$9,Paramètres!$A$1:$I$89,3,0)*0.475*44/12</f>
        <v>8.7859189417140851</v>
      </c>
      <c r="AB37" s="21">
        <f>EXP(-LN(2)/2)*AB36+(1-EXP(-LN(2)/2))/(LN(2)/2)*V37*Y37*VLOOKUP('Données projet'!$B$9,Paramètres!$A$1:$I$89,3,0)*0.475*44/12</f>
        <v>1.8357491833485011</v>
      </c>
      <c r="AC37" s="22">
        <f t="shared" si="3"/>
        <v>13.439030089874571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12.8</v>
      </c>
      <c r="AI37" s="13">
        <f>IF('Données projet'!$A$62&gt;35,AI36+AH37-AQ36,IF(A37&lt;'Données projet'!$A$62,$AF$205^A37,IF(A37='Données projet'!$A$62,'Données projet'!$B$62,AI36+AH37-AQ36)))</f>
        <v>193.19999999999996</v>
      </c>
      <c r="AJ37" s="13">
        <f>AI37*VLOOKUP('Données projet'!$B$10,Paramètres!$A$1:$I$89,3,0)*VLOOKUP('Données projet'!$B$10,Paramètres!$A$1:$I$89,5,0)</f>
        <v>153.70991999999998</v>
      </c>
      <c r="AK37" s="13">
        <f t="shared" si="35"/>
        <v>39.420475690379831</v>
      </c>
      <c r="AL37" s="20">
        <f t="shared" si="4"/>
        <v>336.3687724940782</v>
      </c>
      <c r="AM37" s="59">
        <f t="shared" si="5"/>
        <v>629.70210582741151</v>
      </c>
      <c r="AN37" s="59">
        <f ca="1">AVERAGE(OFFSET($AM$3,0,0,'Données projet'!$E$10+1,1))-AVERAGE(OFFSET($H$3,0,0,'Données projet'!$E$10+1,1))</f>
        <v>353.37479213497227</v>
      </c>
      <c r="AO37" s="59">
        <f t="shared" si="36"/>
        <v>345.4750813433123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3.7680996491275609</v>
      </c>
      <c r="AV37" s="21">
        <f>EXP(-LN(2)/25)*AV36+(1-EXP(-LN(2)/25))/(LN(2)/25)*Calculateur!AQ37*Calculateur!AS37*VLOOKUP('Données projet'!$B$10,Paramètres!$A$1:$I$89,3,0)*0.475*44/12</f>
        <v>11.750786194682421</v>
      </c>
      <c r="AW37" s="21">
        <f>EXP(-LN(2)/2)*AW36+(1-EXP(-LN(2)/2))/(LN(2)/2)*AQ37*AT37*VLOOKUP('Données projet'!$B$10,Paramètres!$A$1:$I$89,3,0)*0.475*44/12</f>
        <v>1.9919831563994377</v>
      </c>
      <c r="AX37" s="21">
        <f t="shared" si="6"/>
        <v>17.510869000209421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</v>
      </c>
      <c r="BD37" s="12">
        <f>IF('Données projet'!$A$88&gt;35,BD36+BC37-BL36,IF(A37&lt;'Données projet'!$A$88,$BA$205^A37,IF(A37='Données projet'!$A$88,'Données projet'!$B$88,BD36+BC37-BL36)))</f>
        <v>193.19999999999996</v>
      </c>
      <c r="BE37" s="13">
        <f>BD37*VLOOKUP('Données projet'!$B$11,Paramètres!$A$1:$I$89,3,0)*VLOOKUP('Données projet'!$B$11,Paramètres!$A$1:$I$89,5,0)</f>
        <v>156.72383999999997</v>
      </c>
      <c r="BF37" s="13">
        <f t="shared" si="37"/>
        <v>40.102680984620484</v>
      </c>
      <c r="BG37" s="20">
        <f t="shared" si="7"/>
        <v>342.80619071488059</v>
      </c>
      <c r="BH37" s="59">
        <f t="shared" si="8"/>
        <v>636.13952404821384</v>
      </c>
      <c r="BI37" s="59">
        <f ca="1">AVERAGE(OFFSET($BH$3,0,0,'Données projet'!$E$11+1,1))-AVERAGE(OFFSET($H$3,0,0,'Données projet'!$E$11+1,1))</f>
        <v>359.57284550600366</v>
      </c>
      <c r="BJ37" s="59">
        <f t="shared" si="38"/>
        <v>351.38386928091433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3.8419839559731996</v>
      </c>
      <c r="BQ37" s="21">
        <f>EXP(-LN(2)/25)*BQ36+(1-EXP(-LN(2)/25))/(LN(2)/25)*Calculateur!BL37*Calculateur!BN37*VLOOKUP('Données projet'!$B$11,Paramètres!$A$1:$I$89,3,0)*0.475*44/12</f>
        <v>11.981193767127175</v>
      </c>
      <c r="BR37" s="21">
        <f>EXP(-LN(2)/2)*BR36+(1-EXP(-LN(2)/2))/(LN(2)/2)*BL37*BO37*VLOOKUP('Données projet'!$B$11,Paramètres!$A$1:$I$89,3,0)*0.475*44/12</f>
        <v>2.0310416496621717</v>
      </c>
      <c r="BS37" s="22">
        <f t="shared" si="9"/>
        <v>17.854219372762547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3.0769230769230775</v>
      </c>
      <c r="BY37" s="12">
        <f>IF('Données projet'!$A$114&gt;35,BY36+BX37-CG36,IF(A37&lt;'Données projet'!$A$114,$BV$205^A37,IF(A37='Données projet'!$A$114,'Données projet'!$B$114,BY36+BX37-CG36)))</f>
        <v>60.38461538461538</v>
      </c>
      <c r="BZ37" s="13">
        <f>BY37*VLOOKUP('Données projet'!$B$12,Paramètres!$A$1:$I$89,3,0)*VLOOKUP('Données projet'!$B$12,Paramètres!$A$1:$I$89,5,0)</f>
        <v>48.984000000000002</v>
      </c>
      <c r="CA37" s="13">
        <f t="shared" si="39"/>
        <v>14.351060556422677</v>
      </c>
      <c r="CB37" s="20">
        <f t="shared" si="10"/>
        <v>110.30856380243615</v>
      </c>
      <c r="CC37" s="59">
        <f t="shared" si="11"/>
        <v>403.64189713576945</v>
      </c>
      <c r="CD37" s="59">
        <f ca="1">AVERAGE(OFFSET($CC$3,0,0,'Données projet'!$E$12+1,1))-AVERAGE(OFFSET($H$3,0,0,'Données projet'!$E$12+1,1))</f>
        <v>159.4660488566085</v>
      </c>
      <c r="CE37" s="59">
        <f t="shared" si="40"/>
        <v>135.33030558297088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1.2552558487567214</v>
      </c>
      <c r="CM37" s="21">
        <f>EXP(-LN(2)/2)*CM36+(1-EXP(-LN(2)/2))/(LN(2)/2)*CG37*CJ37*VLOOKUP('Données projet'!$B$12,Paramètres!$A$1:$I$89,3,0)*0.475*44/12</f>
        <v>0.32797237639660798</v>
      </c>
      <c r="CN37" s="22">
        <f t="shared" si="12"/>
        <v>1.5832282251533294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12.8</v>
      </c>
      <c r="CT37" s="12">
        <f>IF('Données projet'!$A$140&gt;35,CT36+CS37-DB36,IF(A37&lt;'Données projet'!$A$140,$CQ$205^A37,IF(A37='Données projet'!$A$140,'Données projet'!$B$140,CT36+CS37-DB36)))</f>
        <v>193.19999999999996</v>
      </c>
      <c r="CU37" s="17">
        <f>CT37*VLOOKUP('Données projet'!$B$13,Paramètres!$A$1:$I$89,3,0)*VLOOKUP('Données projet'!$B$13,Paramètres!$A$1:$I$89,5,0)</f>
        <v>153.70991999999998</v>
      </c>
      <c r="CV37" s="13">
        <f t="shared" si="41"/>
        <v>39.420475690379831</v>
      </c>
      <c r="CW37" s="20">
        <f t="shared" si="13"/>
        <v>336.3687724940782</v>
      </c>
      <c r="CX37" s="59">
        <f t="shared" si="14"/>
        <v>629.70210582741151</v>
      </c>
      <c r="CY37" s="59">
        <f ca="1">AVERAGE(OFFSET($CX$3,0,0,'Données projet'!$E$13+1,1))-AVERAGE(OFFSET($H$3,0,0,'Données projet'!$E$13+1,1))</f>
        <v>353.37479213497227</v>
      </c>
      <c r="CZ37" s="59">
        <f t="shared" si="42"/>
        <v>345.4750813433123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3.7680996491275609</v>
      </c>
      <c r="DG37" s="21">
        <f>EXP(-LN(2)/25)*DG36+(1-EXP(-LN(2)/25))/(LN(2)/25)*Calculateur!DB37*Calculateur!DD37*VLOOKUP('Données projet'!$B$13,Paramètres!$A$1:$I$89,3,0)*0.475*44/12</f>
        <v>11.750786194682421</v>
      </c>
      <c r="DH37" s="21">
        <f>EXP(-LN(2)/2)*DH36+(1-EXP(-LN(2)/2))/(LN(2)/2)*DB37*DE37*VLOOKUP('Données projet'!$B$13,Paramètres!$A$1:$I$89,3,0)*0.475*44/12</f>
        <v>1.9919831563994377</v>
      </c>
      <c r="DI37" s="22">
        <f t="shared" si="15"/>
        <v>17.510869000209421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4.0942857142857143</v>
      </c>
      <c r="DO37" s="12">
        <f>IF('Données projet'!$A$166&gt;35,DO36+DN37-DW36,IF(A37&lt;'Données projet'!$A$166,$DL$205^A37,IF(A37='Données projet'!$A$166,'Données projet'!$B$166,DO36+DN37-DW36)))</f>
        <v>139.20571428571438</v>
      </c>
      <c r="DP37" s="17">
        <f>DO37*VLOOKUP('Données projet'!$B$14,Paramètres!$A$1:$I$89,3,0)*VLOOKUP('Données projet'!$B$14,Paramètres!$A$1:$I$89,5,0)</f>
        <v>125.95333028571436</v>
      </c>
      <c r="DQ37" s="13">
        <f t="shared" si="43"/>
        <v>33.059578796189285</v>
      </c>
      <c r="DR37" s="20">
        <f t="shared" si="16"/>
        <v>276.94748331764885</v>
      </c>
      <c r="DS37" s="59">
        <f t="shared" si="17"/>
        <v>570.28081665098216</v>
      </c>
      <c r="DT37" s="59">
        <f ca="1">AVERAGE(OFFSET($DS$3,0,0,'Données projet'!$E$14+1,1))-AVERAGE(OFFSET($H$3,0,0,'Données projet'!$E$14+1,1))</f>
        <v>635.71275911100679</v>
      </c>
      <c r="DU37" s="59">
        <f t="shared" si="44"/>
        <v>281.7776857269169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4.0942857142857143</v>
      </c>
      <c r="EJ37" s="12">
        <f>IF('Données projet'!$A$192&gt;35,EJ36+EI37-ER36,IF(A37&lt;'Données projet'!$A$192,$EG$205^A37,IF(A37='Données projet'!$A$192,'Données projet'!$B$192,EJ36+EI37-ER36)))</f>
        <v>139.20571428571438</v>
      </c>
      <c r="EK37" s="17">
        <f>EJ37*VLOOKUP('Données projet'!$B$15,Paramètres!$A$1:$I$89,3,0)*VLOOKUP('Données projet'!$B$15,Paramètres!$A$1:$I$89,5,0)</f>
        <v>93.379193142857204</v>
      </c>
      <c r="EL37" s="13">
        <f t="shared" si="45"/>
        <v>25.378448505750285</v>
      </c>
      <c r="EM37" s="20">
        <f t="shared" si="19"/>
        <v>206.8362258713247</v>
      </c>
      <c r="EN37" s="59">
        <f t="shared" si="20"/>
        <v>500.16955920465801</v>
      </c>
      <c r="EO37" s="59">
        <f ca="1">AVERAGE(OFFSET($EN$3,0,0,'Données projet'!$E$15+1,1))-AVERAGE(OFFSET($H$3,0,0,'Données projet'!$E$15+1,1))</f>
        <v>482.99915419700773</v>
      </c>
      <c r="EP37" s="59">
        <f t="shared" si="46"/>
        <v>219.74157899604279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4.0942857142857143</v>
      </c>
      <c r="FE37" s="12">
        <f>IF('Données projet'!$A$218&gt;35,FE36+FD37-FM36,IF(A37&lt;'Données projet'!$A$218,$FB$205^A37,IF(A37='Données projet'!$A$218,'Données projet'!$B$218,FE36+FD37-FM36)))</f>
        <v>139.20571428571438</v>
      </c>
      <c r="FF37" s="17">
        <f>FE37*VLOOKUP('Données projet'!$B$16,Paramètres!$A$1:$I$89,3,0)*VLOOKUP('Données projet'!$B$16,Paramètres!$A$1:$I$89,5,0)</f>
        <v>132.46815771428581</v>
      </c>
      <c r="FG37" s="13">
        <f t="shared" si="47"/>
        <v>34.566052333343904</v>
      </c>
      <c r="FH37" s="20">
        <f t="shared" si="22"/>
        <v>290.91791583295509</v>
      </c>
      <c r="FI37" s="59">
        <f t="shared" si="23"/>
        <v>584.2512491662884</v>
      </c>
      <c r="FJ37" s="59">
        <f ca="1">AVERAGE(OFFSET($FI$3,0,0,'Données projet'!$E$16+1,1))-AVERAGE(OFFSET($H$3,0,0,'Données projet'!$E$16+1,1))</f>
        <v>666.1523645983184</v>
      </c>
      <c r="FK37" s="59">
        <f t="shared" si="48"/>
        <v>294.13851344047526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206</v>
      </c>
      <c r="L38" s="12">
        <f>VLOOKUP(A38,'Données projet'!$A$35:$I$55,9,0)</f>
        <v>12.8</v>
      </c>
      <c r="M38" s="12">
        <f t="array" ref="M38">INDEX(L:L,MIN(IF(ISNUMBER(L38:L234),ROW(L38:L234),"")))</f>
        <v>12.8</v>
      </c>
      <c r="N38" s="13">
        <f>IF('Données projet'!$A$36&gt;35,N37+M38-V37,IF(A38&lt;'Données projet'!$A$36,$K$205^A38,IF(A38='Données projet'!$A$36,'Données projet'!$B$36,N37+M38-V37)))</f>
        <v>205.99999999999997</v>
      </c>
      <c r="O38" s="13">
        <f>N38*VLOOKUP('Données projet'!$B$9,Paramètres!$A$1:$I$89,3,0)*VLOOKUP('Données projet'!$B$9,Paramètres!$A$1:$I$89,5,0)</f>
        <v>151.03919999999997</v>
      </c>
      <c r="P38" s="13">
        <f t="shared" si="33"/>
        <v>38.814652571726079</v>
      </c>
      <c r="Q38" s="20">
        <f t="shared" si="53"/>
        <v>330.66212656242288</v>
      </c>
      <c r="R38" s="59">
        <f t="shared" si="0"/>
        <v>623.9954598957562</v>
      </c>
      <c r="S38" s="59">
        <f ca="1">AVERAGE(OFFSET($R$3,0,0,'Données projet'!$E$9+1,1))-AVERAGE(OFFSET($H$3,0,0,'Données projet'!$E$9+1,1))</f>
        <v>328.55631138162721</v>
      </c>
      <c r="T38" s="59">
        <f t="shared" si="34"/>
        <v>321.81422611044985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35</v>
      </c>
      <c r="W38" s="16">
        <f>IF(ISNA(VLOOKUP(A38,'Données projet'!$A$35:$I$55,5,0)),0%,VLOOKUP(A38,'Données projet'!$A$35:$I$55,5,0)*VLOOKUP('Données projet'!$B$9,Paramètres!$A$1:$I$89,7,0))</f>
        <v>0.1075</v>
      </c>
      <c r="X38" s="16">
        <f>IF(ISNA(VLOOKUP(A38,'Données projet'!$A$35:$I$55,6,0)),0%,VLOOKUP(A38,'Données projet'!$A$35:$I$55,6,0)*VLOOKUP('Données projet'!$B$9,Paramètres!$A$1:$I$89,7,0))</f>
        <v>0.1075</v>
      </c>
      <c r="Y38" s="16">
        <f>IF(ISNA(VLOOKUP(A38,'Données projet'!$A$35:$I$55,7,0)),0%,VLOOKUP(A38,'Données projet'!$A$35:$I$55,7,0))</f>
        <v>0.25</v>
      </c>
      <c r="Z38" s="21">
        <f>EXP(-LN(2)/35)*Z37+(1-EXP(-LN(2)/35))/(LN(2)/35)*V38*W38*VLOOKUP('Données projet'!$B$9,Paramètres!$A$1:$I$89,3,0)*0.475*44/12</f>
        <v>5.811737659657406</v>
      </c>
      <c r="AA38" s="21">
        <f>EXP(-LN(2)/25)*AA37+(1-EXP(-LN(2)/25))/(LN(2)/25)*Calculateur!V38*Calculateur!X38*VLOOKUP('Données projet'!$B$9,Paramètres!$A$1:$I$89,3,0)*0.475*44/12</f>
        <v>11.583282445214321</v>
      </c>
      <c r="AB38" s="21">
        <f>EXP(-LN(2)/2)*AB37+(1-EXP(-LN(2)/2))/(LN(2)/2)*V38*Y38*VLOOKUP('Données projet'!$B$9,Paramètres!$A$1:$I$89,3,0)*0.475*44/12</f>
        <v>7.3512676167542601</v>
      </c>
      <c r="AC38" s="22">
        <f t="shared" si="3"/>
        <v>24.746287721625986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206</v>
      </c>
      <c r="AG38" s="12">
        <f>VLOOKUP(A38,'Données projet'!$A$61:$I$81,9,0)</f>
        <v>12.8</v>
      </c>
      <c r="AH38" s="12">
        <f t="array" ref="AH38">INDEX(AG:AG,MIN(IF(ISNUMBER(AG38:AG234),ROW(AG38:AG234),"")))</f>
        <v>12.8</v>
      </c>
      <c r="AI38" s="13">
        <f>IF('Données projet'!$A$62&gt;35,AI37+AH38-AQ37,IF(A38&lt;'Données projet'!$A$62,$AF$205^A38,IF(A38='Données projet'!$A$62,'Données projet'!$B$62,AI37+AH38-AQ37)))</f>
        <v>205.99999999999997</v>
      </c>
      <c r="AJ38" s="13">
        <f>AI38*VLOOKUP('Données projet'!$B$10,Paramètres!$A$1:$I$89,3,0)*VLOOKUP('Données projet'!$B$10,Paramètres!$A$1:$I$89,5,0)</f>
        <v>163.89359999999999</v>
      </c>
      <c r="AK38" s="13">
        <f t="shared" si="35"/>
        <v>41.71949506642347</v>
      </c>
      <c r="AL38" s="20">
        <f t="shared" si="4"/>
        <v>358.10947390735419</v>
      </c>
      <c r="AM38" s="59">
        <f t="shared" si="5"/>
        <v>651.44280724068744</v>
      </c>
      <c r="AN38" s="59">
        <f ca="1">AVERAGE(OFFSET($AM$3,0,0,'Données projet'!$E$10+1,1))-AVERAGE(OFFSET($H$3,0,0,'Données projet'!$E$10+1,1))</f>
        <v>353.37479213497227</v>
      </c>
      <c r="AO38" s="59">
        <f t="shared" si="36"/>
        <v>345.4750813433123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35</v>
      </c>
      <c r="AR38" s="16">
        <f>IF(ISNA(VLOOKUP(A38,'Données projet'!$A$61:$I$81,5,0)),0%,VLOOKUP(A38,'Données projet'!$A$61:$I$81,5,0)*VLOOKUP('Données projet'!$B$10,Paramètres!$A$1:$I$89,7,0))</f>
        <v>0.13250000000000001</v>
      </c>
      <c r="AS38" s="16">
        <f>IF(ISNA(VLOOKUP(A38,'Données projet'!$A$61:$I$81,6,0)),0%,VLOOKUP(A38,'Données projet'!$A$61:$I$81,6,0)*VLOOKUP('Données projet'!$B$10,Paramètres!$A$1:$I$89,7,0))</f>
        <v>0.13250000000000001</v>
      </c>
      <c r="AT38" s="16">
        <f>IF(ISNA(VLOOKUP(A38,'Données projet'!$A$61:$I$81,7,0)),0%,VLOOKUP(A38,'Données projet'!$A$61:$I$81,7,0))</f>
        <v>0.25</v>
      </c>
      <c r="AU38" s="21">
        <f>EXP(-LN(2)/35)*AU37+(1-EXP(-LN(2)/35))/(LN(2)/35)*AQ38*AR38*VLOOKUP('Données projet'!$B$10,Paramètres!$A$1:$I$89,3,0)*0.475*44/12</f>
        <v>7.7729474982948918</v>
      </c>
      <c r="AV38" s="21">
        <f>EXP(-LN(2)/25)*AV37+(1-EXP(-LN(2)/25))/(LN(2)/25)*Calculateur!AQ38*Calculateur!AS38*VLOOKUP('Données projet'!$B$10,Paramètres!$A$1:$I$89,3,0)*0.475*44/12</f>
        <v>15.492138767646864</v>
      </c>
      <c r="AW38" s="21">
        <f>EXP(-LN(2)/2)*AW37+(1-EXP(-LN(2)/2))/(LN(2)/2)*AQ38*AT38*VLOOKUP('Données projet'!$B$10,Paramètres!$A$1:$I$89,3,0)*0.475*44/12</f>
        <v>7.9769074139248364</v>
      </c>
      <c r="AX38" s="21">
        <f t="shared" si="6"/>
        <v>31.241993679866589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206</v>
      </c>
      <c r="BB38" s="12">
        <f>VLOOKUP(A38,'Données projet'!$A$87:$I$107,9,0)</f>
        <v>12.8</v>
      </c>
      <c r="BC38" s="12">
        <f t="array" ref="BC38">INDEX(BB:BB,MIN(IF(ISNUMBER(BB38:BB234),ROW(BB38:BB234),"")))</f>
        <v>12.8</v>
      </c>
      <c r="BD38" s="12">
        <f>IF('Données projet'!$A$88&gt;35,BD37+BC38-BL37,IF(A38&lt;'Données projet'!$A$88,$BA$205^A38,IF(A38='Données projet'!$A$88,'Données projet'!$B$88,BD37+BC38-BL37)))</f>
        <v>205.99999999999997</v>
      </c>
      <c r="BE38" s="13">
        <f>BD38*VLOOKUP('Données projet'!$B$11,Paramètres!$A$1:$I$89,3,0)*VLOOKUP('Données projet'!$B$11,Paramètres!$A$1:$I$89,5,0)</f>
        <v>167.10719999999998</v>
      </c>
      <c r="BF38" s="13">
        <f t="shared" si="37"/>
        <v>42.44148687166966</v>
      </c>
      <c r="BG38" s="20">
        <f t="shared" si="7"/>
        <v>364.96396296815789</v>
      </c>
      <c r="BH38" s="59">
        <f t="shared" si="8"/>
        <v>658.2972963014912</v>
      </c>
      <c r="BI38" s="59">
        <f ca="1">AVERAGE(OFFSET($BH$3,0,0,'Données projet'!$E$11+1,1))-AVERAGE(OFFSET($H$3,0,0,'Données projet'!$E$11+1,1))</f>
        <v>359.57284550600366</v>
      </c>
      <c r="BJ38" s="59">
        <f t="shared" si="38"/>
        <v>351.38386928091433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35</v>
      </c>
      <c r="BM38" s="16">
        <f>IF(ISNA(VLOOKUP(A38,'Données projet'!$A$87:$I$107,5,0)),0%,VLOOKUP(A38,'Données projet'!$A$87:$I$107,5,0)*VLOOKUP('Données projet'!$B$11,Paramètres!$A$1:$I$89,7,0))</f>
        <v>0.13250000000000001</v>
      </c>
      <c r="BN38" s="16">
        <f>IF(ISNA(VLOOKUP(A38,'Données projet'!$A$87:$I$107,6,0)),0%,VLOOKUP(A38,'Données projet'!$A$87:$I$107,6,0)*VLOOKUP('Données projet'!$B$11,Paramètres!$A$1:$I$89,7,0))</f>
        <v>0.13250000000000001</v>
      </c>
      <c r="BO38" s="16">
        <f>IF(ISNA(VLOOKUP(A38,'Données projet'!$A$87:$I$107,7,0)),0%,VLOOKUP(A38,'Données projet'!$A$87:$I$107,7,0))</f>
        <v>0.25</v>
      </c>
      <c r="BP38" s="21">
        <f>EXP(-LN(2)/35)*BP37+(1-EXP(-LN(2)/35))/(LN(2)/35)*BL38*BM38*VLOOKUP('Données projet'!$B$11,Paramètres!$A$1:$I$89,3,0)*0.475*44/12</f>
        <v>7.9253582335555759</v>
      </c>
      <c r="BQ38" s="21">
        <f>EXP(-LN(2)/25)*BQ37+(1-EXP(-LN(2)/25))/(LN(2)/25)*Calculateur!BL38*Calculateur!BN38*VLOOKUP('Données projet'!$B$11,Paramètres!$A$1:$I$89,3,0)*0.475*44/12</f>
        <v>15.795906194463472</v>
      </c>
      <c r="BR38" s="21">
        <f>EXP(-LN(2)/2)*BR37+(1-EXP(-LN(2)/2))/(LN(2)/2)*BL38*BO38*VLOOKUP('Données projet'!$B$11,Paramètres!$A$1:$I$89,3,0)*0.475*44/12</f>
        <v>8.1333173632174791</v>
      </c>
      <c r="BS38" s="22">
        <f t="shared" si="9"/>
        <v>31.854581791236527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63.46153846153846</v>
      </c>
      <c r="BW38" s="12">
        <f>VLOOKUP(A38,'Données projet'!$A$113:$I$133,9,0)</f>
        <v>3.0769230769230775</v>
      </c>
      <c r="BX38" s="12">
        <f t="array" ref="BX38">INDEX(BW:BW,MIN(IF(ISNUMBER(BW38:BW234),ROW(BW38:BW234),"")))</f>
        <v>3.0769230769230775</v>
      </c>
      <c r="BY38" s="12">
        <f>IF('Données projet'!$A$114&gt;35,BY37+BX38-CG37,IF(A38&lt;'Données projet'!$A$114,$BV$205^A38,IF(A38='Données projet'!$A$114,'Données projet'!$B$114,BY37+BX38-CG37)))</f>
        <v>63.46153846153846</v>
      </c>
      <c r="BZ38" s="13">
        <f>BY38*VLOOKUP('Données projet'!$B$12,Paramètres!$A$1:$I$89,3,0)*VLOOKUP('Données projet'!$B$12,Paramètres!$A$1:$I$89,5,0)</f>
        <v>51.480000000000004</v>
      </c>
      <c r="CA38" s="13">
        <f t="shared" si="39"/>
        <v>14.995324806875232</v>
      </c>
      <c r="CB38" s="20">
        <f t="shared" si="10"/>
        <v>115.77785737197435</v>
      </c>
      <c r="CC38" s="59">
        <f t="shared" si="11"/>
        <v>409.11119070530765</v>
      </c>
      <c r="CD38" s="59">
        <f ca="1">AVERAGE(OFFSET($CC$3,0,0,'Données projet'!$E$12+1,1))-AVERAGE(OFFSET($H$3,0,0,'Données projet'!$E$12+1,1))</f>
        <v>159.4660488566085</v>
      </c>
      <c r="CE38" s="59">
        <f t="shared" si="40"/>
        <v>135.33030558297088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6.4102564102564097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0.1075</v>
      </c>
      <c r="CJ38" s="16">
        <f>IF(ISNA(VLOOKUP(A38,'Données projet'!$A$113:$I$133,7,0)),0%,VLOOKUP(A38,'Données projet'!$A$113:$I$133,7,0))</f>
        <v>0.25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1.8364556178416365</v>
      </c>
      <c r="CM38" s="21">
        <f>EXP(-LN(2)/2)*CM37+(1-EXP(-LN(2)/2))/(LN(2)/2)*CG38*CJ38*VLOOKUP('Données projet'!$B$12,Paramètres!$A$1:$I$89,3,0)*0.475*44/12</f>
        <v>1.4584964803789129</v>
      </c>
      <c r="CN38" s="22">
        <f t="shared" si="12"/>
        <v>3.2949520982205494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206</v>
      </c>
      <c r="CR38" s="12">
        <f>VLOOKUP(A38,'Données projet'!$A$139:$I$159,9,0)</f>
        <v>12.8</v>
      </c>
      <c r="CS38" s="12">
        <f t="array" ref="CS38">INDEX(CR:CR,MIN(IF(ISNUMBER(CR38:CR234),ROW(CR38:CR234),"")))</f>
        <v>12.8</v>
      </c>
      <c r="CT38" s="12">
        <f>IF('Données projet'!$A$140&gt;35,CT37+CS38-DB37,IF(A38&lt;'Données projet'!$A$140,$CQ$205^A38,IF(A38='Données projet'!$A$140,'Données projet'!$B$140,CT37+CS38-DB37)))</f>
        <v>205.99999999999997</v>
      </c>
      <c r="CU38" s="17">
        <f>CT38*VLOOKUP('Données projet'!$B$13,Paramètres!$A$1:$I$89,3,0)*VLOOKUP('Données projet'!$B$13,Paramètres!$A$1:$I$89,5,0)</f>
        <v>163.89359999999999</v>
      </c>
      <c r="CV38" s="13">
        <f t="shared" si="41"/>
        <v>41.71949506642347</v>
      </c>
      <c r="CW38" s="20">
        <f t="shared" si="13"/>
        <v>358.10947390735419</v>
      </c>
      <c r="CX38" s="59">
        <f t="shared" si="14"/>
        <v>651.44280724068744</v>
      </c>
      <c r="CY38" s="59">
        <f ca="1">AVERAGE(OFFSET($CX$3,0,0,'Données projet'!$E$13+1,1))-AVERAGE(OFFSET($H$3,0,0,'Données projet'!$E$13+1,1))</f>
        <v>353.37479213497227</v>
      </c>
      <c r="CZ38" s="59">
        <f t="shared" si="42"/>
        <v>345.4750813433123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35</v>
      </c>
      <c r="DC38" s="16">
        <f>IF(ISNA(VLOOKUP(A38,'Données projet'!$A$139:$I$159,5,0)),0%,VLOOKUP(A38,'Données projet'!$A$139:$I$159,5,0)*VLOOKUP('Données projet'!$B$13,Paramètres!$A$1:$I$89,7,0))</f>
        <v>0.13250000000000001</v>
      </c>
      <c r="DD38" s="16">
        <f>IF(ISNA(VLOOKUP(A38,'Données projet'!$A$139:$I$159,6,0)),0%,VLOOKUP(A38,'Données projet'!$A$139:$I$159,6,0)*VLOOKUP('Données projet'!$B$13,Paramètres!$A$1:$I$89,7,0))</f>
        <v>0.13250000000000001</v>
      </c>
      <c r="DE38" s="16">
        <f>IF(ISNA(VLOOKUP(A38,'Données projet'!$A$139:$I$159,7,0)),0%,VLOOKUP(A38,'Données projet'!$A$139:$I$159,7,0))</f>
        <v>0.25</v>
      </c>
      <c r="DF38" s="21">
        <f>EXP(-LN(2)/35)*DF37+(1-EXP(-LN(2)/35))/(LN(2)/35)*DB38*DC38*VLOOKUP('Données projet'!$B$13,Paramètres!$A$1:$I$89,3,0)*0.475*44/12</f>
        <v>7.7729474982948918</v>
      </c>
      <c r="DG38" s="21">
        <f>EXP(-LN(2)/25)*DG37+(1-EXP(-LN(2)/25))/(LN(2)/25)*Calculateur!DB38*Calculateur!DD38*VLOOKUP('Données projet'!$B$13,Paramètres!$A$1:$I$89,3,0)*0.475*44/12</f>
        <v>15.492138767646864</v>
      </c>
      <c r="DH38" s="21">
        <f>EXP(-LN(2)/2)*DH37+(1-EXP(-LN(2)/2))/(LN(2)/2)*DB38*DE38*VLOOKUP('Données projet'!$B$13,Paramètres!$A$1:$I$89,3,0)*0.475*44/12</f>
        <v>7.9769074139248364</v>
      </c>
      <c r="DI38" s="22">
        <f t="shared" si="15"/>
        <v>31.241993679866589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4.0942857142857143</v>
      </c>
      <c r="DO38" s="12">
        <f>IF('Données projet'!$A$166&gt;35,DO37+DN38-DW37,IF(A38&lt;'Données projet'!$A$166,$DL$205^A38,IF(A38='Données projet'!$A$166,'Données projet'!$B$166,DO37+DN38-DW37)))</f>
        <v>143.3000000000001</v>
      </c>
      <c r="DP38" s="17">
        <f>DO38*VLOOKUP('Données projet'!$B$14,Paramètres!$A$1:$I$89,3,0)*VLOOKUP('Données projet'!$B$14,Paramètres!$A$1:$I$89,5,0)</f>
        <v>129.65784000000008</v>
      </c>
      <c r="DQ38" s="13">
        <f t="shared" si="43"/>
        <v>33.917284079455818</v>
      </c>
      <c r="DR38" s="20">
        <f t="shared" si="16"/>
        <v>284.89334110505234</v>
      </c>
      <c r="DS38" s="59">
        <f t="shared" si="17"/>
        <v>578.22667443838566</v>
      </c>
      <c r="DT38" s="59">
        <f ca="1">AVERAGE(OFFSET($DS$3,0,0,'Données projet'!$E$14+1,1))-AVERAGE(OFFSET($H$3,0,0,'Données projet'!$E$14+1,1))</f>
        <v>635.71275911100679</v>
      </c>
      <c r="DU38" s="59">
        <f t="shared" si="44"/>
        <v>281.7776857269169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4.0942857142857143</v>
      </c>
      <c r="EJ38" s="12">
        <f>IF('Données projet'!$A$192&gt;35,EJ37+EI38-ER37,IF(A38&lt;'Données projet'!$A$192,$EG$205^A38,IF(A38='Données projet'!$A$192,'Données projet'!$B$192,EJ37+EI38-ER37)))</f>
        <v>143.3000000000001</v>
      </c>
      <c r="EK38" s="17">
        <f>EJ38*VLOOKUP('Données projet'!$B$15,Paramètres!$A$1:$I$89,3,0)*VLOOKUP('Données projet'!$B$15,Paramètres!$A$1:$I$89,5,0)</f>
        <v>96.125640000000075</v>
      </c>
      <c r="EL38" s="13">
        <f t="shared" si="45"/>
        <v>26.036872785705079</v>
      </c>
      <c r="EM38" s="20">
        <f t="shared" si="19"/>
        <v>212.76637643510313</v>
      </c>
      <c r="EN38" s="59">
        <f t="shared" si="20"/>
        <v>506.09970976843647</v>
      </c>
      <c r="EO38" s="59">
        <f ca="1">AVERAGE(OFFSET($EN$3,0,0,'Données projet'!$E$15+1,1))-AVERAGE(OFFSET($H$3,0,0,'Données projet'!$E$15+1,1))</f>
        <v>482.99915419700773</v>
      </c>
      <c r="EP38" s="59">
        <f t="shared" si="46"/>
        <v>219.74157899604279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4.0942857142857143</v>
      </c>
      <c r="FE38" s="12">
        <f>IF('Données projet'!$A$218&gt;35,FE37+FD38-FM37,IF(A38&lt;'Données projet'!$A$218,$FB$205^A38,IF(A38='Données projet'!$A$218,'Données projet'!$B$218,FE37+FD38-FM37)))</f>
        <v>143.3000000000001</v>
      </c>
      <c r="FF38" s="17">
        <f>FE38*VLOOKUP('Données projet'!$B$16,Paramètres!$A$1:$I$89,3,0)*VLOOKUP('Données projet'!$B$16,Paramètres!$A$1:$I$89,5,0)</f>
        <v>136.36428000000009</v>
      </c>
      <c r="FG38" s="13">
        <f t="shared" si="47"/>
        <v>35.462841911056067</v>
      </c>
      <c r="FH38" s="20">
        <f t="shared" si="22"/>
        <v>299.26557066175616</v>
      </c>
      <c r="FI38" s="59">
        <f t="shared" si="23"/>
        <v>592.59890399508947</v>
      </c>
      <c r="FJ38" s="59">
        <f ca="1">AVERAGE(OFFSET($FI$3,0,0,'Données projet'!$E$16+1,1))-AVERAGE(OFFSET($H$3,0,0,'Données projet'!$E$16+1,1))</f>
        <v>666.1523645983184</v>
      </c>
      <c r="FK38" s="59">
        <f t="shared" si="48"/>
        <v>294.13851344047526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11.4</v>
      </c>
      <c r="N39" s="13">
        <f>IF('Données projet'!$A$36&gt;35,N38+M39-V38,IF(A39&lt;'Données projet'!$A$36,$K$205^A39,IF(A39='Données projet'!$A$36,'Données projet'!$B$36,N38+M39-V38)))</f>
        <v>182.39999999999998</v>
      </c>
      <c r="O39" s="13">
        <f>N39*VLOOKUP('Données projet'!$B$9,Paramètres!$A$1:$I$89,3,0)*VLOOKUP('Données projet'!$B$9,Paramètres!$A$1:$I$89,5,0)</f>
        <v>133.73567999999997</v>
      </c>
      <c r="P39" s="13">
        <f t="shared" si="33"/>
        <v>34.858136849359212</v>
      </c>
      <c r="Q39" s="20">
        <f t="shared" si="53"/>
        <v>293.6342310126339</v>
      </c>
      <c r="R39" s="59">
        <f t="shared" si="0"/>
        <v>586.96756434596728</v>
      </c>
      <c r="S39" s="59">
        <f ca="1">AVERAGE(OFFSET($R$3,0,0,'Données projet'!$E$9+1,1))-AVERAGE(OFFSET($H$3,0,0,'Données projet'!$E$9+1,1))</f>
        <v>328.55631138162721</v>
      </c>
      <c r="T39" s="59">
        <f t="shared" si="34"/>
        <v>321.81422611044985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5.6977730289614756</v>
      </c>
      <c r="AA39" s="21">
        <f>EXP(-LN(2)/25)*AA38+(1-EXP(-LN(2)/25))/(LN(2)/25)*Calculateur!V39*Calculateur!X39*VLOOKUP('Données projet'!$B$9,Paramètres!$A$1:$I$89,3,0)*0.475*44/12</f>
        <v>11.266536977611585</v>
      </c>
      <c r="AB39" s="21">
        <f>EXP(-LN(2)/2)*AB38+(1-EXP(-LN(2)/2))/(LN(2)/2)*V39*Y39*VLOOKUP('Données projet'!$B$9,Paramètres!$A$1:$I$89,3,0)*0.475*44/12</f>
        <v>5.1981311821240075</v>
      </c>
      <c r="AC39" s="22">
        <f t="shared" si="3"/>
        <v>22.16244118869707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11.4</v>
      </c>
      <c r="AI39" s="13">
        <f>IF('Données projet'!$A$62&gt;35,AI38+AH39-AQ38,IF(A39&lt;'Données projet'!$A$62,$AF$205^A39,IF(A39='Données projet'!$A$62,'Données projet'!$B$62,AI38+AH39-AQ38)))</f>
        <v>182.39999999999998</v>
      </c>
      <c r="AJ39" s="13">
        <f>AI39*VLOOKUP('Données projet'!$B$10,Paramètres!$A$1:$I$89,3,0)*VLOOKUP('Données projet'!$B$10,Paramètres!$A$1:$I$89,5,0)</f>
        <v>145.11743999999999</v>
      </c>
      <c r="AK39" s="13">
        <f t="shared" si="35"/>
        <v>37.466878406916173</v>
      </c>
      <c r="AL39" s="20">
        <f t="shared" si="4"/>
        <v>318.00102122537896</v>
      </c>
      <c r="AM39" s="59">
        <f t="shared" si="5"/>
        <v>611.33435455871222</v>
      </c>
      <c r="AN39" s="59">
        <f ca="1">AVERAGE(OFFSET($AM$3,0,0,'Données projet'!$E$10+1,1))-AVERAGE(OFFSET($H$3,0,0,'Données projet'!$E$10+1,1))</f>
        <v>353.37479213497227</v>
      </c>
      <c r="AO39" s="59">
        <f t="shared" si="36"/>
        <v>345.4750813433123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7.620524738883165</v>
      </c>
      <c r="AV39" s="21">
        <f>EXP(-LN(2)/25)*AV38+(1-EXP(-LN(2)/25))/(LN(2)/25)*Calculateur!AQ39*Calculateur!AS39*VLOOKUP('Données projet'!$B$10,Paramètres!$A$1:$I$89,3,0)*0.475*44/12</f>
        <v>15.068505418349391</v>
      </c>
      <c r="AW39" s="21">
        <f>EXP(-LN(2)/2)*AW38+(1-EXP(-LN(2)/2))/(LN(2)/2)*AQ39*AT39*VLOOKUP('Données projet'!$B$10,Paramètres!$A$1:$I$89,3,0)*0.475*44/12</f>
        <v>5.6405253252834981</v>
      </c>
      <c r="AX39" s="21">
        <f t="shared" si="6"/>
        <v>28.329555482516053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</v>
      </c>
      <c r="BD39" s="12">
        <f>IF('Données projet'!$A$88&gt;35,BD38+BC39-BL38,IF(A39&lt;'Données projet'!$A$88,$BA$205^A39,IF(A39='Données projet'!$A$88,'Données projet'!$B$88,BD38+BC39-BL38)))</f>
        <v>182.39999999999998</v>
      </c>
      <c r="BE39" s="13">
        <f>BD39*VLOOKUP('Données projet'!$B$11,Paramètres!$A$1:$I$89,3,0)*VLOOKUP('Données projet'!$B$11,Paramètres!$A$1:$I$89,5,0)</f>
        <v>147.96287999999998</v>
      </c>
      <c r="BF39" s="13">
        <f t="shared" si="37"/>
        <v>38.115275017059226</v>
      </c>
      <c r="BG39" s="20">
        <f t="shared" si="7"/>
        <v>324.08611998804474</v>
      </c>
      <c r="BH39" s="59">
        <f t="shared" si="8"/>
        <v>617.41945332137811</v>
      </c>
      <c r="BI39" s="59">
        <f ca="1">AVERAGE(OFFSET($BH$3,0,0,'Données projet'!$E$11+1,1))-AVERAGE(OFFSET($H$3,0,0,'Données projet'!$E$11+1,1))</f>
        <v>359.57284550600366</v>
      </c>
      <c r="BJ39" s="59">
        <f t="shared" si="38"/>
        <v>351.38386928091433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7.7699467925867562</v>
      </c>
      <c r="BQ39" s="21">
        <f>EXP(-LN(2)/25)*BQ38+(1-EXP(-LN(2)/25))/(LN(2)/25)*Calculateur!BL39*Calculateur!BN39*VLOOKUP('Données projet'!$B$11,Paramètres!$A$1:$I$89,3,0)*0.475*44/12</f>
        <v>15.363966308905264</v>
      </c>
      <c r="BR39" s="21">
        <f>EXP(-LN(2)/2)*BR38+(1-EXP(-LN(2)/2))/(LN(2)/2)*BL39*BO39*VLOOKUP('Données projet'!$B$11,Paramètres!$A$1:$I$89,3,0)*0.475*44/12</f>
        <v>5.7511238610733697</v>
      </c>
      <c r="BS39" s="22">
        <f t="shared" si="9"/>
        <v>28.88503696256539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3.0769230769230758</v>
      </c>
      <c r="BY39" s="12">
        <f>IF('Données projet'!$A$114&gt;35,BY38+BX39-CG38,IF(A39&lt;'Données projet'!$A$114,$BV$205^A39,IF(A39='Données projet'!$A$114,'Données projet'!$B$114,BY38+BX39-CG38)))</f>
        <v>60.128205128205124</v>
      </c>
      <c r="BZ39" s="13">
        <f>BY39*VLOOKUP('Données projet'!$B$12,Paramètres!$A$1:$I$89,3,0)*VLOOKUP('Données projet'!$B$12,Paramètres!$A$1:$I$89,5,0)</f>
        <v>48.776000000000003</v>
      </c>
      <c r="CA39" s="13">
        <f t="shared" si="39"/>
        <v>14.297201805363601</v>
      </c>
      <c r="CB39" s="20">
        <f t="shared" si="10"/>
        <v>109.85249314434161</v>
      </c>
      <c r="CC39" s="59">
        <f t="shared" si="11"/>
        <v>403.18582647767494</v>
      </c>
      <c r="CD39" s="59">
        <f ca="1">AVERAGE(OFFSET($CC$3,0,0,'Données projet'!$E$12+1,1))-AVERAGE(OFFSET($H$3,0,0,'Données projet'!$E$12+1,1))</f>
        <v>159.4660488566085</v>
      </c>
      <c r="CE39" s="59">
        <f t="shared" si="40"/>
        <v>135.33030558297088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1.7862376423967532</v>
      </c>
      <c r="CM39" s="21">
        <f>EXP(-LN(2)/2)*CM38+(1-EXP(-LN(2)/2))/(LN(2)/2)*CG39*CJ39*VLOOKUP('Données projet'!$B$12,Paramètres!$A$1:$I$89,3,0)*0.475*44/12</f>
        <v>1.0313127516126417</v>
      </c>
      <c r="CN39" s="22">
        <f t="shared" si="12"/>
        <v>2.8175503940093947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11.4</v>
      </c>
      <c r="CT39" s="12">
        <f>IF('Données projet'!$A$140&gt;35,CT38+CS39-DB38,IF(A39&lt;'Données projet'!$A$140,$CQ$205^A39,IF(A39='Données projet'!$A$140,'Données projet'!$B$140,CT38+CS39-DB38)))</f>
        <v>182.39999999999998</v>
      </c>
      <c r="CU39" s="17">
        <f>CT39*VLOOKUP('Données projet'!$B$13,Paramètres!$A$1:$I$89,3,0)*VLOOKUP('Données projet'!$B$13,Paramètres!$A$1:$I$89,5,0)</f>
        <v>145.11743999999999</v>
      </c>
      <c r="CV39" s="13">
        <f t="shared" si="41"/>
        <v>37.466878406916173</v>
      </c>
      <c r="CW39" s="20">
        <f t="shared" si="13"/>
        <v>318.00102122537896</v>
      </c>
      <c r="CX39" s="59">
        <f t="shared" si="14"/>
        <v>611.33435455871222</v>
      </c>
      <c r="CY39" s="59">
        <f ca="1">AVERAGE(OFFSET($CX$3,0,0,'Données projet'!$E$13+1,1))-AVERAGE(OFFSET($H$3,0,0,'Données projet'!$E$13+1,1))</f>
        <v>353.37479213497227</v>
      </c>
      <c r="CZ39" s="59">
        <f t="shared" si="42"/>
        <v>345.4750813433123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7.620524738883165</v>
      </c>
      <c r="DG39" s="21">
        <f>EXP(-LN(2)/25)*DG38+(1-EXP(-LN(2)/25))/(LN(2)/25)*Calculateur!DB39*Calculateur!DD39*VLOOKUP('Données projet'!$B$13,Paramètres!$A$1:$I$89,3,0)*0.475*44/12</f>
        <v>15.068505418349391</v>
      </c>
      <c r="DH39" s="21">
        <f>EXP(-LN(2)/2)*DH38+(1-EXP(-LN(2)/2))/(LN(2)/2)*DB39*DE39*VLOOKUP('Données projet'!$B$13,Paramètres!$A$1:$I$89,3,0)*0.475*44/12</f>
        <v>5.6405253252834981</v>
      </c>
      <c r="DI39" s="22">
        <f t="shared" si="15"/>
        <v>28.329555482516053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4.0942857142857143</v>
      </c>
      <c r="DO39" s="12">
        <f>IF('Données projet'!$A$166&gt;35,DO38+DN39-DW38,IF(A39&lt;'Données projet'!$A$166,$DL$205^A39,IF(A39='Données projet'!$A$166,'Données projet'!$B$166,DO38+DN39-DW38)))</f>
        <v>147.39428571428581</v>
      </c>
      <c r="DP39" s="17">
        <f>DO39*VLOOKUP('Données projet'!$B$14,Paramètres!$A$1:$I$89,3,0)*VLOOKUP('Données projet'!$B$14,Paramètres!$A$1:$I$89,5,0)</f>
        <v>133.36234971428578</v>
      </c>
      <c r="DQ39" s="13">
        <f t="shared" si="43"/>
        <v>34.772141208569977</v>
      </c>
      <c r="DR39" s="20">
        <f t="shared" si="16"/>
        <v>292.83423835730713</v>
      </c>
      <c r="DS39" s="59">
        <f t="shared" si="17"/>
        <v>586.16757169064044</v>
      </c>
      <c r="DT39" s="59">
        <f ca="1">AVERAGE(OFFSET($DS$3,0,0,'Données projet'!$E$14+1,1))-AVERAGE(OFFSET($H$3,0,0,'Données projet'!$E$14+1,1))</f>
        <v>635.71275911100679</v>
      </c>
      <c r="DU39" s="59">
        <f t="shared" si="44"/>
        <v>281.7776857269169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4.0942857142857143</v>
      </c>
      <c r="EJ39" s="12">
        <f>IF('Données projet'!$A$192&gt;35,EJ38+EI39-ER38,IF(A39&lt;'Données projet'!$A$192,$EG$205^A39,IF(A39='Données projet'!$A$192,'Données projet'!$B$192,EJ38+EI39-ER38)))</f>
        <v>147.39428571428581</v>
      </c>
      <c r="EK39" s="17">
        <f>EJ39*VLOOKUP('Données projet'!$B$15,Paramètres!$A$1:$I$89,3,0)*VLOOKUP('Données projet'!$B$15,Paramètres!$A$1:$I$89,5,0)</f>
        <v>98.872086857142932</v>
      </c>
      <c r="EL39" s="13">
        <f t="shared" si="45"/>
        <v>26.693110657480318</v>
      </c>
      <c r="EM39" s="20">
        <f t="shared" si="19"/>
        <v>218.69271900463548</v>
      </c>
      <c r="EN39" s="59">
        <f t="shared" si="20"/>
        <v>512.02605233796885</v>
      </c>
      <c r="EO39" s="59">
        <f ca="1">AVERAGE(OFFSET($EN$3,0,0,'Données projet'!$E$15+1,1))-AVERAGE(OFFSET($H$3,0,0,'Données projet'!$E$15+1,1))</f>
        <v>482.99915419700773</v>
      </c>
      <c r="EP39" s="59">
        <f t="shared" si="46"/>
        <v>219.74157899604279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4.0942857142857143</v>
      </c>
      <c r="FE39" s="12">
        <f>IF('Données projet'!$A$218&gt;35,FE38+FD39-FM38,IF(A39&lt;'Données projet'!$A$218,$FB$205^A39,IF(A39='Données projet'!$A$218,'Données projet'!$B$218,FE38+FD39-FM38)))</f>
        <v>147.39428571428581</v>
      </c>
      <c r="FF39" s="17">
        <f>FE39*VLOOKUP('Données projet'!$B$16,Paramètres!$A$1:$I$89,3,0)*VLOOKUP('Données projet'!$B$16,Paramètres!$A$1:$I$89,5,0)</f>
        <v>140.26040228571438</v>
      </c>
      <c r="FG39" s="13">
        <f t="shared" si="47"/>
        <v>36.356653548665221</v>
      </c>
      <c r="FH39" s="20">
        <f t="shared" si="22"/>
        <v>307.60803891154438</v>
      </c>
      <c r="FI39" s="59">
        <f t="shared" si="23"/>
        <v>600.9413722448777</v>
      </c>
      <c r="FJ39" s="59">
        <f ca="1">AVERAGE(OFFSET($FI$3,0,0,'Données projet'!$E$16+1,1))-AVERAGE(OFFSET($H$3,0,0,'Données projet'!$E$16+1,1))</f>
        <v>666.1523645983184</v>
      </c>
      <c r="FK39" s="59">
        <f t="shared" si="48"/>
        <v>294.13851344047526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11.4</v>
      </c>
      <c r="N40" s="13">
        <f>IF('Données projet'!$A$36&gt;35,N39+M40-V39,IF(A40&lt;'Données projet'!$A$36,$K$205^A40,IF(A40='Données projet'!$A$36,'Données projet'!$B$36,N39+M40-V39)))</f>
        <v>193.79999999999998</v>
      </c>
      <c r="O40" s="13">
        <f>N40*VLOOKUP('Données projet'!$B$9,Paramètres!$A$1:$I$89,3,0)*VLOOKUP('Données projet'!$B$9,Paramètres!$A$1:$I$89,5,0)</f>
        <v>142.09415999999999</v>
      </c>
      <c r="P40" s="13">
        <f t="shared" si="33"/>
        <v>36.77633279983236</v>
      </c>
      <c r="Q40" s="20">
        <f t="shared" si="53"/>
        <v>311.53277495970798</v>
      </c>
      <c r="R40" s="59">
        <f t="shared" si="0"/>
        <v>604.86610829304129</v>
      </c>
      <c r="S40" s="59">
        <f ca="1">AVERAGE(OFFSET($R$3,0,0,'Données projet'!$E$9+1,1))-AVERAGE(OFFSET($H$3,0,0,'Données projet'!$E$9+1,1))</f>
        <v>328.55631138162721</v>
      </c>
      <c r="T40" s="59">
        <f t="shared" si="34"/>
        <v>321.81422611044985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5.5860431751619313</v>
      </c>
      <c r="AA40" s="21">
        <f>EXP(-LN(2)/25)*AA39+(1-EXP(-LN(2)/25))/(LN(2)/25)*Calculateur!V40*Calculateur!X40*VLOOKUP('Données projet'!$B$9,Paramètres!$A$1:$I$89,3,0)*0.475*44/12</f>
        <v>10.958452931477366</v>
      </c>
      <c r="AB40" s="21">
        <f>EXP(-LN(2)/2)*AB39+(1-EXP(-LN(2)/2))/(LN(2)/2)*V40*Y40*VLOOKUP('Données projet'!$B$9,Paramètres!$A$1:$I$89,3,0)*0.475*44/12</f>
        <v>3.6756338083771305</v>
      </c>
      <c r="AC40" s="22">
        <f t="shared" si="3"/>
        <v>20.220129915016429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11.4</v>
      </c>
      <c r="AI40" s="13">
        <f>IF('Données projet'!$A$62&gt;35,AI39+AH40-AQ39,IF(A40&lt;'Données projet'!$A$62,$AF$205^A40,IF(A40='Données projet'!$A$62,'Données projet'!$B$62,AI39+AH40-AQ39)))</f>
        <v>193.79999999999998</v>
      </c>
      <c r="AJ40" s="13">
        <f>AI40*VLOOKUP('Données projet'!$B$10,Paramètres!$A$1:$I$89,3,0)*VLOOKUP('Données projet'!$B$10,Paramètres!$A$1:$I$89,5,0)</f>
        <v>154.18727999999999</v>
      </c>
      <c r="AK40" s="13">
        <f t="shared" si="35"/>
        <v>39.528629863903078</v>
      </c>
      <c r="AL40" s="20">
        <f t="shared" si="4"/>
        <v>337.38854301296448</v>
      </c>
      <c r="AM40" s="59">
        <f t="shared" si="5"/>
        <v>630.72187634629779</v>
      </c>
      <c r="AN40" s="59">
        <f ca="1">AVERAGE(OFFSET($AM$3,0,0,'Données projet'!$E$10+1,1))-AVERAGE(OFFSET($H$3,0,0,'Données projet'!$E$10+1,1))</f>
        <v>353.37479213497227</v>
      </c>
      <c r="AO40" s="59">
        <f t="shared" si="36"/>
        <v>345.4750813433123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7.4710908968147987</v>
      </c>
      <c r="AV40" s="21">
        <f>EXP(-LN(2)/25)*AV39+(1-EXP(-LN(2)/25))/(LN(2)/25)*Calculateur!AQ40*Calculateur!AS40*VLOOKUP('Données projet'!$B$10,Paramètres!$A$1:$I$89,3,0)*0.475*44/12</f>
        <v>14.656456345266367</v>
      </c>
      <c r="AW40" s="21">
        <f>EXP(-LN(2)/2)*AW39+(1-EXP(-LN(2)/2))/(LN(2)/2)*AQ40*AT40*VLOOKUP('Données projet'!$B$10,Paramètres!$A$1:$I$89,3,0)*0.475*44/12</f>
        <v>3.9884537069624186</v>
      </c>
      <c r="AX40" s="21">
        <f t="shared" si="6"/>
        <v>26.116000949043581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</v>
      </c>
      <c r="BD40" s="12">
        <f>IF('Données projet'!$A$88&gt;35,BD39+BC40-BL39,IF(A40&lt;'Données projet'!$A$88,$BA$205^A40,IF(A40='Données projet'!$A$88,'Données projet'!$B$88,BD39+BC40-BL39)))</f>
        <v>193.79999999999998</v>
      </c>
      <c r="BE40" s="13">
        <f>BD40*VLOOKUP('Données projet'!$B$11,Paramètres!$A$1:$I$89,3,0)*VLOOKUP('Données projet'!$B$11,Paramètres!$A$1:$I$89,5,0)</f>
        <v>157.21055999999999</v>
      </c>
      <c r="BF40" s="13">
        <f t="shared" si="37"/>
        <v>40.212706859296013</v>
      </c>
      <c r="BG40" s="20">
        <f t="shared" si="7"/>
        <v>343.84552311327383</v>
      </c>
      <c r="BH40" s="59">
        <f t="shared" si="8"/>
        <v>637.17885644660714</v>
      </c>
      <c r="BI40" s="59">
        <f ca="1">AVERAGE(OFFSET($BH$3,0,0,'Données projet'!$E$11+1,1))-AVERAGE(OFFSET($H$3,0,0,'Données projet'!$E$11+1,1))</f>
        <v>359.57284550600366</v>
      </c>
      <c r="BJ40" s="59">
        <f t="shared" si="38"/>
        <v>351.38386928091433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7.6175828751837162</v>
      </c>
      <c r="BQ40" s="21">
        <f>EXP(-LN(2)/25)*BQ39+(1-EXP(-LN(2)/25))/(LN(2)/25)*Calculateur!BL40*Calculateur!BN40*VLOOKUP('Données projet'!$B$11,Paramètres!$A$1:$I$89,3,0)*0.475*44/12</f>
        <v>14.943837842232377</v>
      </c>
      <c r="BR40" s="21">
        <f>EXP(-LN(2)/2)*BR39+(1-EXP(-LN(2)/2))/(LN(2)/2)*BL40*BO40*VLOOKUP('Données projet'!$B$11,Paramètres!$A$1:$I$89,3,0)*0.475*44/12</f>
        <v>4.0666586816087396</v>
      </c>
      <c r="BS40" s="22">
        <f t="shared" si="9"/>
        <v>26.628079399024831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3.0769230769230758</v>
      </c>
      <c r="BY40" s="12">
        <f>IF('Données projet'!$A$114&gt;35,BY39+BX40-CG39,IF(A40&lt;'Données projet'!$A$114,$BV$205^A40,IF(A40='Données projet'!$A$114,'Données projet'!$B$114,BY39+BX40-CG39)))</f>
        <v>63.205128205128197</v>
      </c>
      <c r="BZ40" s="13">
        <f>BY40*VLOOKUP('Données projet'!$B$12,Paramètres!$A$1:$I$89,3,0)*VLOOKUP('Données projet'!$B$12,Paramètres!$A$1:$I$89,5,0)</f>
        <v>51.272000000000006</v>
      </c>
      <c r="CA40" s="13">
        <f t="shared" si="39"/>
        <v>14.941777374871691</v>
      </c>
      <c r="CB40" s="20">
        <f t="shared" si="10"/>
        <v>115.32232892790154</v>
      </c>
      <c r="CC40" s="59">
        <f t="shared" si="11"/>
        <v>408.65566226123485</v>
      </c>
      <c r="CD40" s="59">
        <f ca="1">AVERAGE(OFFSET($CC$3,0,0,'Données projet'!$E$12+1,1))-AVERAGE(OFFSET($H$3,0,0,'Données projet'!$E$12+1,1))</f>
        <v>159.4660488566085</v>
      </c>
      <c r="CE40" s="59">
        <f t="shared" si="40"/>
        <v>135.33030558297088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1.7373928801312588</v>
      </c>
      <c r="CM40" s="21">
        <f>EXP(-LN(2)/2)*CM39+(1-EXP(-LN(2)/2))/(LN(2)/2)*CG40*CJ40*VLOOKUP('Données projet'!$B$12,Paramètres!$A$1:$I$89,3,0)*0.475*44/12</f>
        <v>0.72924824018945655</v>
      </c>
      <c r="CN40" s="22">
        <f t="shared" si="12"/>
        <v>2.4666411203207153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11.4</v>
      </c>
      <c r="CT40" s="12">
        <f>IF('Données projet'!$A$140&gt;35,CT39+CS40-DB39,IF(A40&lt;'Données projet'!$A$140,$CQ$205^A40,IF(A40='Données projet'!$A$140,'Données projet'!$B$140,CT39+CS40-DB39)))</f>
        <v>193.79999999999998</v>
      </c>
      <c r="CU40" s="17">
        <f>CT40*VLOOKUP('Données projet'!$B$13,Paramètres!$A$1:$I$89,3,0)*VLOOKUP('Données projet'!$B$13,Paramètres!$A$1:$I$89,5,0)</f>
        <v>154.18727999999999</v>
      </c>
      <c r="CV40" s="13">
        <f t="shared" si="41"/>
        <v>39.528629863903078</v>
      </c>
      <c r="CW40" s="20">
        <f t="shared" si="13"/>
        <v>337.38854301296448</v>
      </c>
      <c r="CX40" s="59">
        <f t="shared" si="14"/>
        <v>630.72187634629779</v>
      </c>
      <c r="CY40" s="59">
        <f ca="1">AVERAGE(OFFSET($CX$3,0,0,'Données projet'!$E$13+1,1))-AVERAGE(OFFSET($H$3,0,0,'Données projet'!$E$13+1,1))</f>
        <v>353.37479213497227</v>
      </c>
      <c r="CZ40" s="59">
        <f t="shared" si="42"/>
        <v>345.4750813433123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7.4710908968147987</v>
      </c>
      <c r="DG40" s="21">
        <f>EXP(-LN(2)/25)*DG39+(1-EXP(-LN(2)/25))/(LN(2)/25)*Calculateur!DB40*Calculateur!DD40*VLOOKUP('Données projet'!$B$13,Paramètres!$A$1:$I$89,3,0)*0.475*44/12</f>
        <v>14.656456345266367</v>
      </c>
      <c r="DH40" s="21">
        <f>EXP(-LN(2)/2)*DH39+(1-EXP(-LN(2)/2))/(LN(2)/2)*DB40*DE40*VLOOKUP('Données projet'!$B$13,Paramètres!$A$1:$I$89,3,0)*0.475*44/12</f>
        <v>3.9884537069624186</v>
      </c>
      <c r="DI40" s="22">
        <f t="shared" si="15"/>
        <v>26.116000949043581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4.0942857142857143</v>
      </c>
      <c r="DO40" s="12">
        <f>IF('Données projet'!$A$166&gt;35,DO39+DN40-DW39,IF(A40&lt;'Données projet'!$A$166,$DL$205^A40,IF(A40='Données projet'!$A$166,'Données projet'!$B$166,DO39+DN40-DW39)))</f>
        <v>151.48857142857153</v>
      </c>
      <c r="DP40" s="17">
        <f>DO40*VLOOKUP('Données projet'!$B$14,Paramètres!$A$1:$I$89,3,0)*VLOOKUP('Données projet'!$B$14,Paramètres!$A$1:$I$89,5,0)</f>
        <v>137.06685942857152</v>
      </c>
      <c r="DQ40" s="13">
        <f t="shared" si="43"/>
        <v>35.624238388297236</v>
      </c>
      <c r="DR40" s="20">
        <f t="shared" si="16"/>
        <v>300.77032869771307</v>
      </c>
      <c r="DS40" s="59">
        <f t="shared" si="17"/>
        <v>594.10366203104638</v>
      </c>
      <c r="DT40" s="59">
        <f ca="1">AVERAGE(OFFSET($DS$3,0,0,'Données projet'!$E$14+1,1))-AVERAGE(OFFSET($H$3,0,0,'Données projet'!$E$14+1,1))</f>
        <v>635.71275911100679</v>
      </c>
      <c r="DU40" s="59">
        <f t="shared" si="44"/>
        <v>281.7776857269169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4.0942857142857143</v>
      </c>
      <c r="EJ40" s="12">
        <f>IF('Données projet'!$A$192&gt;35,EJ39+EI40-ER39,IF(A40&lt;'Données projet'!$A$192,$EG$205^A40,IF(A40='Données projet'!$A$192,'Données projet'!$B$192,EJ39+EI40-ER39)))</f>
        <v>151.48857142857153</v>
      </c>
      <c r="EK40" s="17">
        <f>EJ40*VLOOKUP('Données projet'!$B$15,Paramètres!$A$1:$I$89,3,0)*VLOOKUP('Données projet'!$B$15,Paramètres!$A$1:$I$89,5,0)</f>
        <v>101.61853371428579</v>
      </c>
      <c r="EL40" s="13">
        <f t="shared" si="45"/>
        <v>27.34722983216551</v>
      </c>
      <c r="EM40" s="20">
        <f t="shared" si="19"/>
        <v>224.61537151006931</v>
      </c>
      <c r="EN40" s="59">
        <f t="shared" si="20"/>
        <v>517.94870484340265</v>
      </c>
      <c r="EO40" s="59">
        <f ca="1">AVERAGE(OFFSET($EN$3,0,0,'Données projet'!$E$15+1,1))-AVERAGE(OFFSET($H$3,0,0,'Données projet'!$E$15+1,1))</f>
        <v>482.99915419700773</v>
      </c>
      <c r="EP40" s="59">
        <f t="shared" si="46"/>
        <v>219.74157899604279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4.0942857142857143</v>
      </c>
      <c r="FE40" s="12">
        <f>IF('Données projet'!$A$218&gt;35,FE39+FD40-FM39,IF(A40&lt;'Données projet'!$A$218,$FB$205^A40,IF(A40='Données projet'!$A$218,'Données projet'!$B$218,FE39+FD40-FM39)))</f>
        <v>151.48857142857153</v>
      </c>
      <c r="FF40" s="17">
        <f>FE40*VLOOKUP('Données projet'!$B$16,Paramètres!$A$1:$I$89,3,0)*VLOOKUP('Données projet'!$B$16,Paramètres!$A$1:$I$89,5,0)</f>
        <v>144.15652457142866</v>
      </c>
      <c r="FG40" s="13">
        <f t="shared" si="47"/>
        <v>37.247579470290766</v>
      </c>
      <c r="FH40" s="20">
        <f t="shared" si="22"/>
        <v>315.94548120599461</v>
      </c>
      <c r="FI40" s="59">
        <f t="shared" si="23"/>
        <v>609.27881453932787</v>
      </c>
      <c r="FJ40" s="59">
        <f ca="1">AVERAGE(OFFSET($FI$3,0,0,'Données projet'!$E$16+1,1))-AVERAGE(OFFSET($H$3,0,0,'Données projet'!$E$16+1,1))</f>
        <v>666.1523645983184</v>
      </c>
      <c r="FK40" s="59">
        <f t="shared" si="48"/>
        <v>294.13851344047526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11.4</v>
      </c>
      <c r="N41" s="13">
        <f>IF('Données projet'!$A$36&gt;35,N40+M41-V40,IF(A41&lt;'Données projet'!$A$36,$K$205^A41,IF(A41='Données projet'!$A$36,'Données projet'!$B$36,N40+M41-V40)))</f>
        <v>205.2</v>
      </c>
      <c r="O41" s="13">
        <f>N41*VLOOKUP('Données projet'!$B$9,Paramètres!$A$1:$I$89,3,0)*VLOOKUP('Données projet'!$B$9,Paramètres!$A$1:$I$89,5,0)</f>
        <v>150.45263999999997</v>
      </c>
      <c r="P41" s="13">
        <f t="shared" si="33"/>
        <v>38.681431639913605</v>
      </c>
      <c r="Q41" s="20">
        <f t="shared" si="53"/>
        <v>329.40850810618275</v>
      </c>
      <c r="R41" s="59">
        <f t="shared" si="0"/>
        <v>622.74184143951607</v>
      </c>
      <c r="S41" s="59">
        <f ca="1">AVERAGE(OFFSET($R$3,0,0,'Données projet'!$E$9+1,1))-AVERAGE(OFFSET($H$3,0,0,'Données projet'!$E$9+1,1))</f>
        <v>328.55631138162721</v>
      </c>
      <c r="T41" s="59">
        <f t="shared" si="34"/>
        <v>321.81422611044985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5.4765042756469144</v>
      </c>
      <c r="AA41" s="21">
        <f>EXP(-LN(2)/25)*AA40+(1-EXP(-LN(2)/25))/(LN(2)/25)*Calculateur!V41*Calculateur!X41*VLOOKUP('Données projet'!$B$9,Paramètres!$A$1:$I$89,3,0)*0.475*44/12</f>
        <v>10.658793459786123</v>
      </c>
      <c r="AB41" s="21">
        <f>EXP(-LN(2)/2)*AB40+(1-EXP(-LN(2)/2))/(LN(2)/2)*V41*Y41*VLOOKUP('Données projet'!$B$9,Paramètres!$A$1:$I$89,3,0)*0.475*44/12</f>
        <v>2.5990655910620042</v>
      </c>
      <c r="AC41" s="22">
        <f t="shared" si="3"/>
        <v>18.734363326495043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11.4</v>
      </c>
      <c r="AI41" s="13">
        <f>IF('Données projet'!$A$62&gt;35,AI40+AH41-AQ40,IF(A41&lt;'Données projet'!$A$62,$AF$205^A41,IF(A41='Données projet'!$A$62,'Données projet'!$B$62,AI40+AH41-AQ40)))</f>
        <v>205.2</v>
      </c>
      <c r="AJ41" s="13">
        <f>AI41*VLOOKUP('Données projet'!$B$10,Paramètres!$A$1:$I$89,3,0)*VLOOKUP('Données projet'!$B$10,Paramètres!$A$1:$I$89,5,0)</f>
        <v>163.25712000000001</v>
      </c>
      <c r="AK41" s="13">
        <f t="shared" si="35"/>
        <v>41.576304038313076</v>
      </c>
      <c r="AL41" s="20">
        <f t="shared" si="4"/>
        <v>356.75154686672863</v>
      </c>
      <c r="AM41" s="59">
        <f t="shared" si="5"/>
        <v>650.08488020006189</v>
      </c>
      <c r="AN41" s="59">
        <f ca="1">AVERAGE(OFFSET($AM$3,0,0,'Données projet'!$E$10+1,1))-AVERAGE(OFFSET($H$3,0,0,'Données projet'!$E$10+1,1))</f>
        <v>353.37479213497227</v>
      </c>
      <c r="AO41" s="59">
        <f t="shared" si="36"/>
        <v>345.4750813433123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7.3245873612437498</v>
      </c>
      <c r="AV41" s="21">
        <f>EXP(-LN(2)/25)*AV40+(1-EXP(-LN(2)/25))/(LN(2)/25)*Calculateur!AQ41*Calculateur!AS41*VLOOKUP('Données projet'!$B$10,Paramètres!$A$1:$I$89,3,0)*0.475*44/12</f>
        <v>14.255674775755518</v>
      </c>
      <c r="AW41" s="21">
        <f>EXP(-LN(2)/2)*AW40+(1-EXP(-LN(2)/2))/(LN(2)/2)*AQ41*AT41*VLOOKUP('Données projet'!$B$10,Paramètres!$A$1:$I$89,3,0)*0.475*44/12</f>
        <v>2.8202626626417495</v>
      </c>
      <c r="AX41" s="21">
        <f t="shared" si="6"/>
        <v>24.400524799641016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</v>
      </c>
      <c r="BD41" s="12">
        <f>IF('Données projet'!$A$88&gt;35,BD40+BC41-BL40,IF(A41&lt;'Données projet'!$A$88,$BA$205^A41,IF(A41='Données projet'!$A$88,'Données projet'!$B$88,BD40+BC41-BL40)))</f>
        <v>205.2</v>
      </c>
      <c r="BE41" s="13">
        <f>BD41*VLOOKUP('Données projet'!$B$11,Paramètres!$A$1:$I$89,3,0)*VLOOKUP('Données projet'!$B$11,Paramètres!$A$1:$I$89,5,0)</f>
        <v>166.45823999999999</v>
      </c>
      <c r="BF41" s="13">
        <f t="shared" si="37"/>
        <v>42.295817799452642</v>
      </c>
      <c r="BG41" s="20">
        <f t="shared" si="7"/>
        <v>363.5799840007133</v>
      </c>
      <c r="BH41" s="59">
        <f t="shared" si="8"/>
        <v>656.91331733404661</v>
      </c>
      <c r="BI41" s="59">
        <f ca="1">AVERAGE(OFFSET($BH$3,0,0,'Données projet'!$E$11+1,1))-AVERAGE(OFFSET($H$3,0,0,'Données projet'!$E$11+1,1))</f>
        <v>359.57284550600366</v>
      </c>
      <c r="BJ41" s="59">
        <f t="shared" si="38"/>
        <v>351.38386928091433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7.4682067212681371</v>
      </c>
      <c r="BQ41" s="21">
        <f>EXP(-LN(2)/25)*BQ40+(1-EXP(-LN(2)/25))/(LN(2)/25)*Calculateur!BL41*Calculateur!BN41*VLOOKUP('Données projet'!$B$11,Paramètres!$A$1:$I$89,3,0)*0.475*44/12</f>
        <v>14.535197810574255</v>
      </c>
      <c r="BR41" s="21">
        <f>EXP(-LN(2)/2)*BR40+(1-EXP(-LN(2)/2))/(LN(2)/2)*BL41*BO41*VLOOKUP('Données projet'!$B$11,Paramètres!$A$1:$I$89,3,0)*0.475*44/12</f>
        <v>2.8755619305366849</v>
      </c>
      <c r="BS41" s="22">
        <f t="shared" si="9"/>
        <v>24.878966462379076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3.0769230769230758</v>
      </c>
      <c r="BY41" s="12">
        <f>IF('Données projet'!$A$114&gt;35,BY40+BX41-CG40,IF(A41&lt;'Données projet'!$A$114,$BV$205^A41,IF(A41='Données projet'!$A$114,'Données projet'!$B$114,BY40+BX41-CG40)))</f>
        <v>66.28205128205127</v>
      </c>
      <c r="BZ41" s="13">
        <f>BY41*VLOOKUP('Données projet'!$B$12,Paramètres!$A$1:$I$89,3,0)*VLOOKUP('Données projet'!$B$12,Paramètres!$A$1:$I$89,5,0)</f>
        <v>53.767999999999994</v>
      </c>
      <c r="CA41" s="13">
        <f t="shared" si="39"/>
        <v>15.582709246136304</v>
      </c>
      <c r="CB41" s="20">
        <f t="shared" si="10"/>
        <v>120.78581860368736</v>
      </c>
      <c r="CC41" s="59">
        <f t="shared" si="11"/>
        <v>414.11915193702066</v>
      </c>
      <c r="CD41" s="59">
        <f ca="1">AVERAGE(OFFSET($CC$3,0,0,'Données projet'!$E$12+1,1))-AVERAGE(OFFSET($H$3,0,0,'Données projet'!$E$12+1,1))</f>
        <v>159.4660488566085</v>
      </c>
      <c r="CE41" s="59">
        <f t="shared" si="40"/>
        <v>135.33030558297088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1.6898837804585489</v>
      </c>
      <c r="CM41" s="21">
        <f>EXP(-LN(2)/2)*CM40+(1-EXP(-LN(2)/2))/(LN(2)/2)*CG41*CJ41*VLOOKUP('Données projet'!$B$12,Paramètres!$A$1:$I$89,3,0)*0.475*44/12</f>
        <v>0.51565637580632095</v>
      </c>
      <c r="CN41" s="22">
        <f t="shared" si="12"/>
        <v>2.20554015626487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11.4</v>
      </c>
      <c r="CT41" s="12">
        <f>IF('Données projet'!$A$140&gt;35,CT40+CS41-DB40,IF(A41&lt;'Données projet'!$A$140,$CQ$205^A41,IF(A41='Données projet'!$A$140,'Données projet'!$B$140,CT40+CS41-DB40)))</f>
        <v>205.2</v>
      </c>
      <c r="CU41" s="17">
        <f>CT41*VLOOKUP('Données projet'!$B$13,Paramètres!$A$1:$I$89,3,0)*VLOOKUP('Données projet'!$B$13,Paramètres!$A$1:$I$89,5,0)</f>
        <v>163.25712000000001</v>
      </c>
      <c r="CV41" s="13">
        <f t="shared" si="41"/>
        <v>41.576304038313076</v>
      </c>
      <c r="CW41" s="20">
        <f t="shared" si="13"/>
        <v>356.75154686672863</v>
      </c>
      <c r="CX41" s="59">
        <f t="shared" si="14"/>
        <v>650.08488020006189</v>
      </c>
      <c r="CY41" s="59">
        <f ca="1">AVERAGE(OFFSET($CX$3,0,0,'Données projet'!$E$13+1,1))-AVERAGE(OFFSET($H$3,0,0,'Données projet'!$E$13+1,1))</f>
        <v>353.37479213497227</v>
      </c>
      <c r="CZ41" s="59">
        <f t="shared" si="42"/>
        <v>345.4750813433123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7.3245873612437498</v>
      </c>
      <c r="DG41" s="21">
        <f>EXP(-LN(2)/25)*DG40+(1-EXP(-LN(2)/25))/(LN(2)/25)*Calculateur!DB41*Calculateur!DD41*VLOOKUP('Données projet'!$B$13,Paramètres!$A$1:$I$89,3,0)*0.475*44/12</f>
        <v>14.255674775755518</v>
      </c>
      <c r="DH41" s="21">
        <f>EXP(-LN(2)/2)*DH40+(1-EXP(-LN(2)/2))/(LN(2)/2)*DB41*DE41*VLOOKUP('Données projet'!$B$13,Paramètres!$A$1:$I$89,3,0)*0.475*44/12</f>
        <v>2.8202626626417495</v>
      </c>
      <c r="DI41" s="22">
        <f t="shared" si="15"/>
        <v>24.400524799641016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4.0942857142857143</v>
      </c>
      <c r="DO41" s="12">
        <f>IF('Données projet'!$A$166&gt;35,DO40+DN41-DW40,IF(A41&lt;'Données projet'!$A$166,$DL$205^A41,IF(A41='Données projet'!$A$166,'Données projet'!$B$166,DO40+DN41-DW40)))</f>
        <v>155.58285714285725</v>
      </c>
      <c r="DP41" s="17">
        <f>DO41*VLOOKUP('Données projet'!$B$14,Paramètres!$A$1:$I$89,3,0)*VLOOKUP('Données projet'!$B$14,Paramètres!$A$1:$I$89,5,0)</f>
        <v>140.77136914285722</v>
      </c>
      <c r="DQ41" s="13">
        <f t="shared" si="43"/>
        <v>36.473658784165018</v>
      </c>
      <c r="DR41" s="20">
        <f t="shared" si="16"/>
        <v>308.70175697289704</v>
      </c>
      <c r="DS41" s="59">
        <f t="shared" si="17"/>
        <v>602.03509030623036</v>
      </c>
      <c r="DT41" s="59">
        <f ca="1">AVERAGE(OFFSET($DS$3,0,0,'Données projet'!$E$14+1,1))-AVERAGE(OFFSET($H$3,0,0,'Données projet'!$E$14+1,1))</f>
        <v>635.71275911100679</v>
      </c>
      <c r="DU41" s="59">
        <f t="shared" si="44"/>
        <v>281.7776857269169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4.0942857142857143</v>
      </c>
      <c r="EJ41" s="12">
        <f>IF('Données projet'!$A$192&gt;35,EJ40+EI41-ER40,IF(A41&lt;'Données projet'!$A$192,$EG$205^A41,IF(A41='Données projet'!$A$192,'Données projet'!$B$192,EJ40+EI41-ER40)))</f>
        <v>155.58285714285725</v>
      </c>
      <c r="EK41" s="17">
        <f>EJ41*VLOOKUP('Données projet'!$B$15,Paramètres!$A$1:$I$89,3,0)*VLOOKUP('Données projet'!$B$15,Paramètres!$A$1:$I$89,5,0)</f>
        <v>104.36498057142863</v>
      </c>
      <c r="EL41" s="13">
        <f t="shared" si="45"/>
        <v>27.999294152438981</v>
      </c>
      <c r="EM41" s="20">
        <f t="shared" si="19"/>
        <v>230.53444514406942</v>
      </c>
      <c r="EN41" s="59">
        <f t="shared" si="20"/>
        <v>523.86777847740268</v>
      </c>
      <c r="EO41" s="59">
        <f ca="1">AVERAGE(OFFSET($EN$3,0,0,'Données projet'!$E$15+1,1))-AVERAGE(OFFSET($H$3,0,0,'Données projet'!$E$15+1,1))</f>
        <v>482.99915419700773</v>
      </c>
      <c r="EP41" s="59">
        <f t="shared" si="46"/>
        <v>219.74157899604279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4.0942857142857143</v>
      </c>
      <c r="FE41" s="12">
        <f>IF('Données projet'!$A$218&gt;35,FE40+FD41-FM40,IF(A41&lt;'Données projet'!$A$218,$FB$205^A41,IF(A41='Données projet'!$A$218,'Données projet'!$B$218,FE40+FD41-FM40)))</f>
        <v>155.58285714285725</v>
      </c>
      <c r="FF41" s="17">
        <f>FE41*VLOOKUP('Données projet'!$B$16,Paramètres!$A$1:$I$89,3,0)*VLOOKUP('Données projet'!$B$16,Paramètres!$A$1:$I$89,5,0)</f>
        <v>148.05264685714295</v>
      </c>
      <c r="FG41" s="13">
        <f t="shared" si="47"/>
        <v>38.135706631183687</v>
      </c>
      <c r="FH41" s="20">
        <f t="shared" si="22"/>
        <v>324.27804899216886</v>
      </c>
      <c r="FI41" s="59">
        <f t="shared" si="23"/>
        <v>617.61138232550218</v>
      </c>
      <c r="FJ41" s="59">
        <f ca="1">AVERAGE(OFFSET($FI$3,0,0,'Données projet'!$E$16+1,1))-AVERAGE(OFFSET($H$3,0,0,'Données projet'!$E$16+1,1))</f>
        <v>666.1523645983184</v>
      </c>
      <c r="FK41" s="59">
        <f t="shared" si="48"/>
        <v>294.13851344047526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11.4</v>
      </c>
      <c r="N42" s="13">
        <f>IF('Données projet'!$A$36&gt;35,N41+M42-V41,IF(A42&lt;'Données projet'!$A$36,$K$205^A42,IF(A42='Données projet'!$A$36,'Données projet'!$B$36,N41+M42-V41)))</f>
        <v>216.6</v>
      </c>
      <c r="O42" s="13">
        <f>N42*VLOOKUP('Données projet'!$B$9,Paramètres!$A$1:$I$89,3,0)*VLOOKUP('Données projet'!$B$9,Paramètres!$A$1:$I$89,5,0)</f>
        <v>158.81111999999999</v>
      </c>
      <c r="P42" s="13">
        <f t="shared" si="33"/>
        <v>40.57424391712447</v>
      </c>
      <c r="Q42" s="20">
        <f t="shared" si="53"/>
        <v>347.26284215565846</v>
      </c>
      <c r="R42" s="59">
        <f t="shared" si="0"/>
        <v>640.59617548899178</v>
      </c>
      <c r="S42" s="59">
        <f ca="1">AVERAGE(OFFSET($R$3,0,0,'Données projet'!$E$9+1,1))-AVERAGE(OFFSET($H$3,0,0,'Données projet'!$E$9+1,1))</f>
        <v>328.55631138162721</v>
      </c>
      <c r="T42" s="59">
        <f t="shared" si="34"/>
        <v>321.81422611044985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5.3691133671392555</v>
      </c>
      <c r="AA42" s="21">
        <f>EXP(-LN(2)/25)*AA41+(1-EXP(-LN(2)/25))/(LN(2)/25)*Calculateur!V42*Calculateur!X42*VLOOKUP('Données projet'!$B$9,Paramètres!$A$1:$I$89,3,0)*0.475*44/12</f>
        <v>10.367328192106685</v>
      </c>
      <c r="AB42" s="21">
        <f>EXP(-LN(2)/2)*AB41+(1-EXP(-LN(2)/2))/(LN(2)/2)*V42*Y42*VLOOKUP('Données projet'!$B$9,Paramètres!$A$1:$I$89,3,0)*0.475*44/12</f>
        <v>1.8378169041885655</v>
      </c>
      <c r="AC42" s="22">
        <f t="shared" si="3"/>
        <v>17.574258463434504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11.4</v>
      </c>
      <c r="AI42" s="13">
        <f>IF('Données projet'!$A$62&gt;35,AI41+AH42-AQ41,IF(A42&lt;'Données projet'!$A$62,$AF$205^A42,IF(A42='Données projet'!$A$62,'Données projet'!$B$62,AI41+AH42-AQ41)))</f>
        <v>216.6</v>
      </c>
      <c r="AJ42" s="13">
        <f>AI42*VLOOKUP('Données projet'!$B$10,Paramètres!$A$1:$I$89,3,0)*VLOOKUP('Données projet'!$B$10,Paramètres!$A$1:$I$89,5,0)</f>
        <v>172.32695999999999</v>
      </c>
      <c r="AK42" s="13">
        <f t="shared" si="35"/>
        <v>43.61077213808133</v>
      </c>
      <c r="AL42" s="20">
        <f t="shared" si="4"/>
        <v>376.09155014049156</v>
      </c>
      <c r="AM42" s="59">
        <f t="shared" si="5"/>
        <v>669.42488347382482</v>
      </c>
      <c r="AN42" s="59">
        <f ca="1">AVERAGE(OFFSET($AM$3,0,0,'Données projet'!$E$10+1,1))-AVERAGE(OFFSET($H$3,0,0,'Données projet'!$E$10+1,1))</f>
        <v>353.37479213497227</v>
      </c>
      <c r="AO42" s="59">
        <f t="shared" si="36"/>
        <v>345.4750813433123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7.1809566706469159</v>
      </c>
      <c r="AV42" s="21">
        <f>EXP(-LN(2)/25)*AV41+(1-EXP(-LN(2)/25))/(LN(2)/25)*Calculateur!AQ42*Calculateur!AS42*VLOOKUP('Données projet'!$B$10,Paramètres!$A$1:$I$89,3,0)*0.475*44/12</f>
        <v>13.865852599339128</v>
      </c>
      <c r="AW42" s="21">
        <f>EXP(-LN(2)/2)*AW41+(1-EXP(-LN(2)/2))/(LN(2)/2)*AQ42*AT42*VLOOKUP('Données projet'!$B$10,Paramètres!$A$1:$I$89,3,0)*0.475*44/12</f>
        <v>1.9942268534812095</v>
      </c>
      <c r="AX42" s="21">
        <f t="shared" si="6"/>
        <v>23.041036123467251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</v>
      </c>
      <c r="BD42" s="12">
        <f>IF('Données projet'!$A$88&gt;35,BD41+BC42-BL41,IF(A42&lt;'Données projet'!$A$88,$BA$205^A42,IF(A42='Données projet'!$A$88,'Données projet'!$B$88,BD41+BC42-BL41)))</f>
        <v>216.6</v>
      </c>
      <c r="BE42" s="13">
        <f>BD42*VLOOKUP('Données projet'!$B$11,Paramètres!$A$1:$I$89,3,0)*VLOOKUP('Données projet'!$B$11,Paramètres!$A$1:$I$89,5,0)</f>
        <v>175.70592000000002</v>
      </c>
      <c r="BF42" s="13">
        <f t="shared" si="37"/>
        <v>44.365494122468341</v>
      </c>
      <c r="BG42" s="20">
        <f t="shared" si="7"/>
        <v>383.29104626329899</v>
      </c>
      <c r="BH42" s="59">
        <f t="shared" si="8"/>
        <v>676.62437959663225</v>
      </c>
      <c r="BI42" s="59">
        <f ca="1">AVERAGE(OFFSET($BH$3,0,0,'Données projet'!$E$11+1,1))-AVERAGE(OFFSET($H$3,0,0,'Données projet'!$E$11+1,1))</f>
        <v>359.57284550600366</v>
      </c>
      <c r="BJ42" s="59">
        <f t="shared" si="38"/>
        <v>351.38386928091433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7.3217597426203849</v>
      </c>
      <c r="BQ42" s="21">
        <f>EXP(-LN(2)/25)*BQ41+(1-EXP(-LN(2)/25))/(LN(2)/25)*Calculateur!BL42*Calculateur!BN42*VLOOKUP('Données projet'!$B$11,Paramètres!$A$1:$I$89,3,0)*0.475*44/12</f>
        <v>14.137732062071271</v>
      </c>
      <c r="BR42" s="21">
        <f>EXP(-LN(2)/2)*BR41+(1-EXP(-LN(2)/2))/(LN(2)/2)*BL42*BO42*VLOOKUP('Données projet'!$B$11,Paramètres!$A$1:$I$89,3,0)*0.475*44/12</f>
        <v>2.0333293408043698</v>
      </c>
      <c r="BS42" s="22">
        <f t="shared" si="9"/>
        <v>23.492821145496023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3.0769230769230758</v>
      </c>
      <c r="BY42" s="12">
        <f>IF('Données projet'!$A$114&gt;35,BY41+BX42-CG41,IF(A42&lt;'Données projet'!$A$114,$BV$205^A42,IF(A42='Données projet'!$A$114,'Données projet'!$B$114,BY41+BX42-CG41)))</f>
        <v>69.358974358974351</v>
      </c>
      <c r="BZ42" s="13">
        <f>BY42*VLOOKUP('Données projet'!$B$12,Paramètres!$A$1:$I$89,3,0)*VLOOKUP('Données projet'!$B$12,Paramètres!$A$1:$I$89,5,0)</f>
        <v>56.263999999999996</v>
      </c>
      <c r="CA42" s="13">
        <f t="shared" si="39"/>
        <v>16.220185883468393</v>
      </c>
      <c r="CB42" s="20">
        <f t="shared" si="10"/>
        <v>126.24329041370743</v>
      </c>
      <c r="CC42" s="59">
        <f t="shared" si="11"/>
        <v>419.57662374704074</v>
      </c>
      <c r="CD42" s="59">
        <f ca="1">AVERAGE(OFFSET($CC$3,0,0,'Données projet'!$E$12+1,1))-AVERAGE(OFFSET($H$3,0,0,'Données projet'!$E$12+1,1))</f>
        <v>159.4660488566085</v>
      </c>
      <c r="CE42" s="59">
        <f t="shared" si="40"/>
        <v>135.33030558297088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1.6436738196147842</v>
      </c>
      <c r="CM42" s="21">
        <f>EXP(-LN(2)/2)*CM41+(1-EXP(-LN(2)/2))/(LN(2)/2)*CG42*CJ42*VLOOKUP('Données projet'!$B$12,Paramètres!$A$1:$I$89,3,0)*0.475*44/12</f>
        <v>0.36462412009472833</v>
      </c>
      <c r="CN42" s="22">
        <f t="shared" si="12"/>
        <v>2.0082979397095126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11.4</v>
      </c>
      <c r="CT42" s="12">
        <f>IF('Données projet'!$A$140&gt;35,CT41+CS42-DB41,IF(A42&lt;'Données projet'!$A$140,$CQ$205^A42,IF(A42='Données projet'!$A$140,'Données projet'!$B$140,CT41+CS42-DB41)))</f>
        <v>216.6</v>
      </c>
      <c r="CU42" s="17">
        <f>CT42*VLOOKUP('Données projet'!$B$13,Paramètres!$A$1:$I$89,3,0)*VLOOKUP('Données projet'!$B$13,Paramètres!$A$1:$I$89,5,0)</f>
        <v>172.32695999999999</v>
      </c>
      <c r="CV42" s="13">
        <f t="shared" si="41"/>
        <v>43.61077213808133</v>
      </c>
      <c r="CW42" s="20">
        <f t="shared" si="13"/>
        <v>376.09155014049156</v>
      </c>
      <c r="CX42" s="59">
        <f t="shared" si="14"/>
        <v>669.42488347382482</v>
      </c>
      <c r="CY42" s="59">
        <f ca="1">AVERAGE(OFFSET($CX$3,0,0,'Données projet'!$E$13+1,1))-AVERAGE(OFFSET($H$3,0,0,'Données projet'!$E$13+1,1))</f>
        <v>353.37479213497227</v>
      </c>
      <c r="CZ42" s="59">
        <f t="shared" si="42"/>
        <v>345.4750813433123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7.1809566706469159</v>
      </c>
      <c r="DG42" s="21">
        <f>EXP(-LN(2)/25)*DG41+(1-EXP(-LN(2)/25))/(LN(2)/25)*Calculateur!DB42*Calculateur!DD42*VLOOKUP('Données projet'!$B$13,Paramètres!$A$1:$I$89,3,0)*0.475*44/12</f>
        <v>13.865852599339128</v>
      </c>
      <c r="DH42" s="21">
        <f>EXP(-LN(2)/2)*DH41+(1-EXP(-LN(2)/2))/(LN(2)/2)*DB42*DE42*VLOOKUP('Données projet'!$B$13,Paramètres!$A$1:$I$89,3,0)*0.475*44/12</f>
        <v>1.9942268534812095</v>
      </c>
      <c r="DI42" s="22">
        <f t="shared" si="15"/>
        <v>23.041036123467251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4.0942857142857143</v>
      </c>
      <c r="DO42" s="12">
        <f>IF('Données projet'!$A$166&gt;35,DO41+DN42-DW41,IF(A42&lt;'Données projet'!$A$166,$DL$205^A42,IF(A42='Données projet'!$A$166,'Données projet'!$B$166,DO41+DN42-DW41)))</f>
        <v>159.67714285714297</v>
      </c>
      <c r="DP42" s="17">
        <f>DO42*VLOOKUP('Données projet'!$B$14,Paramètres!$A$1:$I$89,3,0)*VLOOKUP('Données projet'!$B$14,Paramètres!$A$1:$I$89,5,0)</f>
        <v>144.47587885714296</v>
      </c>
      <c r="DQ42" s="13">
        <f t="shared" si="43"/>
        <v>37.320480935293446</v>
      </c>
      <c r="DR42" s="20">
        <f t="shared" si="16"/>
        <v>316.62865997182678</v>
      </c>
      <c r="DS42" s="59">
        <f t="shared" si="17"/>
        <v>609.96199330516015</v>
      </c>
      <c r="DT42" s="59">
        <f ca="1">AVERAGE(OFFSET($DS$3,0,0,'Données projet'!$E$14+1,1))-AVERAGE(OFFSET($H$3,0,0,'Données projet'!$E$14+1,1))</f>
        <v>635.71275911100679</v>
      </c>
      <c r="DU42" s="59">
        <f t="shared" si="44"/>
        <v>281.7776857269169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4.0942857142857143</v>
      </c>
      <c r="EJ42" s="12">
        <f>IF('Données projet'!$A$192&gt;35,EJ41+EI42-ER41,IF(A42&lt;'Données projet'!$A$192,$EG$205^A42,IF(A42='Données projet'!$A$192,'Données projet'!$B$192,EJ41+EI42-ER41)))</f>
        <v>159.67714285714297</v>
      </c>
      <c r="EK42" s="17">
        <f>EJ42*VLOOKUP('Données projet'!$B$15,Paramètres!$A$1:$I$89,3,0)*VLOOKUP('Données projet'!$B$15,Paramètres!$A$1:$I$89,5,0)</f>
        <v>107.1114274285715</v>
      </c>
      <c r="EL42" s="13">
        <f t="shared" si="45"/>
        <v>28.649363909480709</v>
      </c>
      <c r="EM42" s="20">
        <f t="shared" si="19"/>
        <v>236.45004491377424</v>
      </c>
      <c r="EN42" s="59">
        <f t="shared" si="20"/>
        <v>529.78337824710752</v>
      </c>
      <c r="EO42" s="59">
        <f ca="1">AVERAGE(OFFSET($EN$3,0,0,'Données projet'!$E$15+1,1))-AVERAGE(OFFSET($H$3,0,0,'Données projet'!$E$15+1,1))</f>
        <v>482.99915419700773</v>
      </c>
      <c r="EP42" s="59">
        <f t="shared" si="46"/>
        <v>219.74157899604279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4.0942857142857143</v>
      </c>
      <c r="FE42" s="12">
        <f>IF('Données projet'!$A$218&gt;35,FE41+FD42-FM41,IF(A42&lt;'Données projet'!$A$218,$FB$205^A42,IF(A42='Données projet'!$A$218,'Données projet'!$B$218,FE41+FD42-FM41)))</f>
        <v>159.67714285714297</v>
      </c>
      <c r="FF42" s="17">
        <f>FE42*VLOOKUP('Données projet'!$B$16,Paramètres!$A$1:$I$89,3,0)*VLOOKUP('Données projet'!$B$16,Paramètres!$A$1:$I$89,5,0)</f>
        <v>151.94876914285726</v>
      </c>
      <c r="FG42" s="13">
        <f t="shared" si="47"/>
        <v>39.021117149369502</v>
      </c>
      <c r="FH42" s="20">
        <f t="shared" si="22"/>
        <v>332.60588529229494</v>
      </c>
      <c r="FI42" s="59">
        <f t="shared" si="23"/>
        <v>625.9392186256282</v>
      </c>
      <c r="FJ42" s="59">
        <f ca="1">AVERAGE(OFFSET($FI$3,0,0,'Données projet'!$E$16+1,1))-AVERAGE(OFFSET($H$3,0,0,'Données projet'!$E$16+1,1))</f>
        <v>666.1523645983184</v>
      </c>
      <c r="FK42" s="59">
        <f t="shared" si="48"/>
        <v>294.13851344047526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228</v>
      </c>
      <c r="L43" s="12">
        <f>VLOOKUP(A43,'Données projet'!$A$35:$I$55,9,0)</f>
        <v>11.4</v>
      </c>
      <c r="M43" s="12">
        <f t="array" ref="M43">INDEX(L:L,MIN(IF(ISNUMBER(L43:L239),ROW(L43:L239),"")))</f>
        <v>11.4</v>
      </c>
      <c r="N43" s="13">
        <f>IF('Données projet'!$A$36&gt;35,N42+M43-V42,IF(A43&lt;'Données projet'!$A$36,$K$205^A43,IF(A43='Données projet'!$A$36,'Données projet'!$B$36,N42+M43-V42)))</f>
        <v>228</v>
      </c>
      <c r="O43" s="13">
        <f>N43*VLOOKUP('Données projet'!$B$9,Paramètres!$A$1:$I$89,3,0)*VLOOKUP('Données projet'!$B$9,Paramètres!$A$1:$I$89,5,0)</f>
        <v>167.1696</v>
      </c>
      <c r="P43" s="13">
        <f t="shared" si="33"/>
        <v>42.455490039298851</v>
      </c>
      <c r="Q43" s="20">
        <f t="shared" si="53"/>
        <v>365.09703181844549</v>
      </c>
      <c r="R43" s="59">
        <f t="shared" si="0"/>
        <v>658.4303651517788</v>
      </c>
      <c r="S43" s="59">
        <f ca="1">AVERAGE(OFFSET($R$3,0,0,'Données projet'!$E$9+1,1))-AVERAGE(OFFSET($H$3,0,0,'Données projet'!$E$9+1,1))</f>
        <v>328.55631138162721</v>
      </c>
      <c r="T43" s="59">
        <f t="shared" si="34"/>
        <v>321.81422611044985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35</v>
      </c>
      <c r="W43" s="16">
        <f>IF(ISNA(VLOOKUP(A43,'Données projet'!$A$35:$I$55,5,0)),0%,VLOOKUP(A43,'Données projet'!$A$35:$I$55,5,0)*VLOOKUP('Données projet'!$B$9,Paramètres!$A$1:$I$89,7,0))</f>
        <v>0.1075</v>
      </c>
      <c r="X43" s="16">
        <f>IF(ISNA(VLOOKUP(A43,'Données projet'!$A$35:$I$55,6,0)),0%,VLOOKUP(A43,'Données projet'!$A$35:$I$55,6,0)*VLOOKUP('Données projet'!$B$9,Paramètres!$A$1:$I$89,7,0))</f>
        <v>0.1075</v>
      </c>
      <c r="Y43" s="16">
        <f>IF(ISNA(VLOOKUP(A43,'Données projet'!$A$35:$I$55,7,0)),0%,VLOOKUP(A43,'Données projet'!$A$35:$I$55,7,0))</f>
        <v>0.25</v>
      </c>
      <c r="Z43" s="21">
        <f>EXP(-LN(2)/35)*Z42+(1-EXP(-LN(2)/35))/(LN(2)/35)*V43*W43*VLOOKUP('Données projet'!$B$9,Paramètres!$A$1:$I$89,3,0)*0.475*44/12</f>
        <v>8.3134507733997101</v>
      </c>
      <c r="AA43" s="21">
        <f>EXP(-LN(2)/25)*AA42+(1-EXP(-LN(2)/25))/(LN(2)/25)*Calculateur!V43*Calculateur!X43*VLOOKUP('Données projet'!$B$9,Paramètres!$A$1:$I$89,3,0)*0.475*44/12</f>
        <v>13.121447976492238</v>
      </c>
      <c r="AB43" s="21">
        <f>EXP(-LN(2)/2)*AB42+(1-EXP(-LN(2)/2))/(LN(2)/2)*V43*Y43*VLOOKUP('Données projet'!$B$9,Paramètres!$A$1:$I$89,3,0)*0.475*44/12</f>
        <v>7.3527297161818703</v>
      </c>
      <c r="AC43" s="22">
        <f t="shared" si="3"/>
        <v>28.787628466073819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228</v>
      </c>
      <c r="AG43" s="12">
        <f>VLOOKUP(A43,'Données projet'!$A$61:$I$81,9,0)</f>
        <v>11.4</v>
      </c>
      <c r="AH43" s="12">
        <f t="array" ref="AH43">INDEX(AG:AG,MIN(IF(ISNUMBER(AG43:AG239),ROW(AG43:AG239),"")))</f>
        <v>11.4</v>
      </c>
      <c r="AI43" s="13">
        <f>IF('Données projet'!$A$62&gt;35,AI42+AH43-AQ42,IF(A43&lt;'Données projet'!$A$62,$AF$205^A43,IF(A43='Données projet'!$A$62,'Données projet'!$B$62,AI42+AH43-AQ42)))</f>
        <v>228</v>
      </c>
      <c r="AJ43" s="13">
        <f>AI43*VLOOKUP('Données projet'!$B$10,Paramètres!$A$1:$I$89,3,0)*VLOOKUP('Données projet'!$B$10,Paramètres!$A$1:$I$89,5,0)</f>
        <v>181.39680000000001</v>
      </c>
      <c r="AK43" s="13">
        <f t="shared" si="35"/>
        <v>45.63280848550832</v>
      </c>
      <c r="AL43" s="20">
        <f t="shared" si="4"/>
        <v>395.40990144559368</v>
      </c>
      <c r="AM43" s="59">
        <f t="shared" si="5"/>
        <v>688.74323477892699</v>
      </c>
      <c r="AN43" s="59">
        <f ca="1">AVERAGE(OFFSET($AM$3,0,0,'Données projet'!$E$10+1,1))-AVERAGE(OFFSET($H$3,0,0,'Données projet'!$E$10+1,1))</f>
        <v>353.37479213497227</v>
      </c>
      <c r="AO43" s="59">
        <f t="shared" si="36"/>
        <v>345.4750813433123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35</v>
      </c>
      <c r="AR43" s="16">
        <f>IF(ISNA(VLOOKUP(A43,'Données projet'!$A$61:$I$81,5,0)),0%,VLOOKUP(A43,'Données projet'!$A$61:$I$81,5,0)*VLOOKUP('Données projet'!$B$10,Paramètres!$A$1:$I$89,7,0))</f>
        <v>0.13250000000000001</v>
      </c>
      <c r="AS43" s="16">
        <f>IF(ISNA(VLOOKUP(A43,'Données projet'!$A$61:$I$81,6,0)),0%,VLOOKUP(A43,'Données projet'!$A$61:$I$81,6,0)*VLOOKUP('Données projet'!$B$10,Paramètres!$A$1:$I$89,7,0))</f>
        <v>0.13250000000000001</v>
      </c>
      <c r="AT43" s="16">
        <f>IF(ISNA(VLOOKUP(A43,'Données projet'!$A$61:$I$81,7,0)),0%,VLOOKUP(A43,'Données projet'!$A$61:$I$81,7,0))</f>
        <v>0.25</v>
      </c>
      <c r="AU43" s="21">
        <f>EXP(-LN(2)/35)*AU42+(1-EXP(-LN(2)/35))/(LN(2)/35)*AQ43*AR43*VLOOKUP('Données projet'!$B$10,Paramètres!$A$1:$I$89,3,0)*0.475*44/12</f>
        <v>11.118880475259491</v>
      </c>
      <c r="AV43" s="21">
        <f>EXP(-LN(2)/25)*AV42+(1-EXP(-LN(2)/25))/(LN(2)/25)*Calculateur!AQ43*Calculateur!AS43*VLOOKUP('Données projet'!$B$10,Paramètres!$A$1:$I$89,3,0)*0.475*44/12</f>
        <v>17.549368570241725</v>
      </c>
      <c r="AW43" s="21">
        <f>EXP(-LN(2)/2)*AW42+(1-EXP(-LN(2)/2))/(LN(2)/2)*AQ43*AT43*VLOOKUP('Données projet'!$B$10,Paramètres!$A$1:$I$89,3,0)*0.475*44/12</f>
        <v>7.9784939473462853</v>
      </c>
      <c r="AX43" s="21">
        <f t="shared" si="6"/>
        <v>36.6467429928475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228</v>
      </c>
      <c r="BB43" s="12">
        <f>VLOOKUP(A43,'Données projet'!$A$87:$I$107,9,0)</f>
        <v>11.4</v>
      </c>
      <c r="BC43" s="12">
        <f t="array" ref="BC43">INDEX(BB:BB,MIN(IF(ISNUMBER(BB43:BB239),ROW(BB43:BB239),"")))</f>
        <v>11.4</v>
      </c>
      <c r="BD43" s="12">
        <f>IF('Données projet'!$A$88&gt;35,BD42+BC43-BL42,IF(A43&lt;'Données projet'!$A$88,$BA$205^A43,IF(A43='Données projet'!$A$88,'Données projet'!$B$88,BD42+BC43-BL42)))</f>
        <v>228</v>
      </c>
      <c r="BE43" s="13">
        <f>BD43*VLOOKUP('Données projet'!$B$11,Paramètres!$A$1:$I$89,3,0)*VLOOKUP('Données projet'!$B$11,Paramètres!$A$1:$I$89,5,0)</f>
        <v>184.95360000000002</v>
      </c>
      <c r="BF43" s="13">
        <f t="shared" si="37"/>
        <v>46.42252355095799</v>
      </c>
      <c r="BG43" s="20">
        <f t="shared" si="7"/>
        <v>402.9800818512519</v>
      </c>
      <c r="BH43" s="59">
        <f t="shared" si="8"/>
        <v>696.31341518458521</v>
      </c>
      <c r="BI43" s="59">
        <f ca="1">AVERAGE(OFFSET($BH$3,0,0,'Données projet'!$E$11+1,1))-AVERAGE(OFFSET($H$3,0,0,'Données projet'!$E$11+1,1))</f>
        <v>359.57284550600366</v>
      </c>
      <c r="BJ43" s="59">
        <f t="shared" si="38"/>
        <v>351.38386928091433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35</v>
      </c>
      <c r="BM43" s="16">
        <f>IF(ISNA(VLOOKUP(A43,'Données projet'!$A$87:$I$107,5,0)),0%,VLOOKUP(A43,'Données projet'!$A$87:$I$107,5,0)*VLOOKUP('Données projet'!$B$11,Paramètres!$A$1:$I$89,7,0))</f>
        <v>0.13250000000000001</v>
      </c>
      <c r="BN43" s="16">
        <f>IF(ISNA(VLOOKUP(A43,'Données projet'!$A$87:$I$107,6,0)),0%,VLOOKUP(A43,'Données projet'!$A$87:$I$107,6,0)*VLOOKUP('Données projet'!$B$11,Paramètres!$A$1:$I$89,7,0))</f>
        <v>0.13250000000000001</v>
      </c>
      <c r="BO43" s="16">
        <f>IF(ISNA(VLOOKUP(A43,'Données projet'!$A$87:$I$107,7,0)),0%,VLOOKUP(A43,'Données projet'!$A$87:$I$107,7,0))</f>
        <v>0.25</v>
      </c>
      <c r="BP43" s="21">
        <f>EXP(-LN(2)/35)*BP42+(1-EXP(-LN(2)/35))/(LN(2)/35)*BL43*BM43*VLOOKUP('Données projet'!$B$11,Paramètres!$A$1:$I$89,3,0)*0.475*44/12</f>
        <v>11.336897739480264</v>
      </c>
      <c r="BQ43" s="21">
        <f>EXP(-LN(2)/25)*BQ42+(1-EXP(-LN(2)/25))/(LN(2)/25)*Calculateur!BL43*Calculateur!BN43*VLOOKUP('Données projet'!$B$11,Paramètres!$A$1:$I$89,3,0)*0.475*44/12</f>
        <v>17.893473836324901</v>
      </c>
      <c r="BR43" s="21">
        <f>EXP(-LN(2)/2)*BR42+(1-EXP(-LN(2)/2))/(LN(2)/2)*BL43*BO43*VLOOKUP('Données projet'!$B$11,Paramètres!$A$1:$I$89,3,0)*0.475*44/12</f>
        <v>8.1349350051373879</v>
      </c>
      <c r="BS43" s="22">
        <f t="shared" si="9"/>
        <v>37.365306580942551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72.435897435897431</v>
      </c>
      <c r="BW43" s="12">
        <f>VLOOKUP(A43,'Données projet'!$A$113:$I$133,9,0)</f>
        <v>3.0769230769230758</v>
      </c>
      <c r="BX43" s="12">
        <f t="array" ref="BX43">INDEX(BW:BW,MIN(IF(ISNUMBER(BW43:BW239),ROW(BW43:BW239),"")))</f>
        <v>3.0769230769230758</v>
      </c>
      <c r="BY43" s="12">
        <f>IF('Données projet'!$A$114&gt;35,BY42+BX43-CG42,IF(A43&lt;'Données projet'!$A$114,$BV$205^A43,IF(A43='Données projet'!$A$114,'Données projet'!$B$114,BY42+BX43-CG42)))</f>
        <v>72.435897435897431</v>
      </c>
      <c r="BZ43" s="13">
        <f>BY43*VLOOKUP('Données projet'!$B$12,Paramètres!$A$1:$I$89,3,0)*VLOOKUP('Données projet'!$B$12,Paramètres!$A$1:$I$89,5,0)</f>
        <v>58.76</v>
      </c>
      <c r="CA43" s="13">
        <f t="shared" si="39"/>
        <v>16.854378084351904</v>
      </c>
      <c r="CB43" s="20">
        <f t="shared" si="10"/>
        <v>131.69504183024623</v>
      </c>
      <c r="CC43" s="59">
        <f t="shared" si="11"/>
        <v>425.02837516357954</v>
      </c>
      <c r="CD43" s="59">
        <f ca="1">AVERAGE(OFFSET($CC$3,0,0,'Données projet'!$E$12+1,1))-AVERAGE(OFFSET($H$3,0,0,'Données projet'!$E$12+1,1))</f>
        <v>159.4660488566085</v>
      </c>
      <c r="CE43" s="59">
        <f t="shared" si="40"/>
        <v>135.33030558297088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6.4102564102564097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0.1075</v>
      </c>
      <c r="CJ43" s="16">
        <f>IF(ISNA(VLOOKUP(A43,'Données projet'!$A$113:$I$133,7,0)),0%,VLOOKUP(A43,'Données projet'!$A$113:$I$133,7,0))</f>
        <v>0.25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2.2142522788605721</v>
      </c>
      <c r="CM43" s="21">
        <f>EXP(-LN(2)/2)*CM42+(1-EXP(-LN(2)/2))/(LN(2)/2)*CG43*CJ43*VLOOKUP('Données projet'!$B$12,Paramètres!$A$1:$I$89,3,0)*0.475*44/12</f>
        <v>1.4844131768901652</v>
      </c>
      <c r="CN43" s="22">
        <f t="shared" si="12"/>
        <v>3.6986654557507372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228</v>
      </c>
      <c r="CR43" s="12">
        <f>VLOOKUP(A43,'Données projet'!$A$139:$I$159,9,0)</f>
        <v>11.4</v>
      </c>
      <c r="CS43" s="12">
        <f t="array" ref="CS43">INDEX(CR:CR,MIN(IF(ISNUMBER(CR43:CR239),ROW(CR43:CR239),"")))</f>
        <v>11.4</v>
      </c>
      <c r="CT43" s="12">
        <f>IF('Données projet'!$A$140&gt;35,CT42+CS43-DB42,IF(A43&lt;'Données projet'!$A$140,$CQ$205^A43,IF(A43='Données projet'!$A$140,'Données projet'!$B$140,CT42+CS43-DB42)))</f>
        <v>228</v>
      </c>
      <c r="CU43" s="17">
        <f>CT43*VLOOKUP('Données projet'!$B$13,Paramètres!$A$1:$I$89,3,0)*VLOOKUP('Données projet'!$B$13,Paramètres!$A$1:$I$89,5,0)</f>
        <v>181.39680000000001</v>
      </c>
      <c r="CV43" s="13">
        <f t="shared" si="41"/>
        <v>45.63280848550832</v>
      </c>
      <c r="CW43" s="20">
        <f t="shared" si="13"/>
        <v>395.40990144559368</v>
      </c>
      <c r="CX43" s="59">
        <f t="shared" si="14"/>
        <v>688.74323477892699</v>
      </c>
      <c r="CY43" s="59">
        <f ca="1">AVERAGE(OFFSET($CX$3,0,0,'Données projet'!$E$13+1,1))-AVERAGE(OFFSET($H$3,0,0,'Données projet'!$E$13+1,1))</f>
        <v>353.37479213497227</v>
      </c>
      <c r="CZ43" s="59">
        <f t="shared" si="42"/>
        <v>345.4750813433123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35</v>
      </c>
      <c r="DC43" s="16">
        <f>IF(ISNA(VLOOKUP(A43,'Données projet'!$A$139:$I$159,5,0)),0%,VLOOKUP(A43,'Données projet'!$A$139:$I$159,5,0)*VLOOKUP('Données projet'!$B$13,Paramètres!$A$1:$I$89,7,0))</f>
        <v>0.13250000000000001</v>
      </c>
      <c r="DD43" s="16">
        <f>IF(ISNA(VLOOKUP(A43,'Données projet'!$A$139:$I$159,6,0)),0%,VLOOKUP(A43,'Données projet'!$A$139:$I$159,6,0)*VLOOKUP('Données projet'!$B$13,Paramètres!$A$1:$I$89,7,0))</f>
        <v>0.13250000000000001</v>
      </c>
      <c r="DE43" s="16">
        <f>IF(ISNA(VLOOKUP(A43,'Données projet'!$A$139:$I$159,7,0)),0%,VLOOKUP(A43,'Données projet'!$A$139:$I$159,7,0))</f>
        <v>0.25</v>
      </c>
      <c r="DF43" s="21">
        <f>EXP(-LN(2)/35)*DF42+(1-EXP(-LN(2)/35))/(LN(2)/35)*DB43*DC43*VLOOKUP('Données projet'!$B$13,Paramètres!$A$1:$I$89,3,0)*0.475*44/12</f>
        <v>11.118880475259491</v>
      </c>
      <c r="DG43" s="21">
        <f>EXP(-LN(2)/25)*DG42+(1-EXP(-LN(2)/25))/(LN(2)/25)*Calculateur!DB43*Calculateur!DD43*VLOOKUP('Données projet'!$B$13,Paramètres!$A$1:$I$89,3,0)*0.475*44/12</f>
        <v>17.549368570241725</v>
      </c>
      <c r="DH43" s="21">
        <f>EXP(-LN(2)/2)*DH42+(1-EXP(-LN(2)/2))/(LN(2)/2)*DB43*DE43*VLOOKUP('Données projet'!$B$13,Paramètres!$A$1:$I$89,3,0)*0.475*44/12</f>
        <v>7.9784939473462853</v>
      </c>
      <c r="DI43" s="22">
        <f t="shared" si="15"/>
        <v>36.6467429928475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4.0942857142857143</v>
      </c>
      <c r="DO43" s="12">
        <f>IF('Données projet'!$A$166&gt;35,DO42+DN43-DW42,IF(A43&lt;'Données projet'!$A$166,$DL$205^A43,IF(A43='Données projet'!$A$166,'Données projet'!$B$166,DO42+DN43-DW42)))</f>
        <v>163.77142857142869</v>
      </c>
      <c r="DP43" s="17">
        <f>DO43*VLOOKUP('Données projet'!$B$14,Paramètres!$A$1:$I$89,3,0)*VLOOKUP('Données projet'!$B$14,Paramètres!$A$1:$I$89,5,0)</f>
        <v>148.18038857142867</v>
      </c>
      <c r="DQ43" s="13">
        <f t="shared" si="43"/>
        <v>38.16477912369308</v>
      </c>
      <c r="DR43" s="20">
        <f t="shared" si="16"/>
        <v>324.55116706900372</v>
      </c>
      <c r="DS43" s="59">
        <f t="shared" si="17"/>
        <v>617.88450040233704</v>
      </c>
      <c r="DT43" s="59">
        <f ca="1">AVERAGE(OFFSET($DS$3,0,0,'Données projet'!$E$14+1,1))-AVERAGE(OFFSET($H$3,0,0,'Données projet'!$E$14+1,1))</f>
        <v>635.71275911100679</v>
      </c>
      <c r="DU43" s="59">
        <f t="shared" si="44"/>
        <v>281.7776857269169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4.0942857142857143</v>
      </c>
      <c r="EJ43" s="12">
        <f>IF('Données projet'!$A$192&gt;35,EJ42+EI43-ER42,IF(A43&lt;'Données projet'!$A$192,$EG$205^A43,IF(A43='Données projet'!$A$192,'Données projet'!$B$192,EJ42+EI43-ER42)))</f>
        <v>163.77142857142869</v>
      </c>
      <c r="EK43" s="17">
        <f>EJ43*VLOOKUP('Données projet'!$B$15,Paramètres!$A$1:$I$89,3,0)*VLOOKUP('Données projet'!$B$15,Paramètres!$A$1:$I$89,5,0)</f>
        <v>109.85787428571436</v>
      </c>
      <c r="EL43" s="13">
        <f t="shared" si="45"/>
        <v>29.297496126466736</v>
      </c>
      <c r="EM43" s="20">
        <f t="shared" si="19"/>
        <v>242.36227013454877</v>
      </c>
      <c r="EN43" s="59">
        <f t="shared" si="20"/>
        <v>535.69560346788205</v>
      </c>
      <c r="EO43" s="59">
        <f ca="1">AVERAGE(OFFSET($EN$3,0,0,'Données projet'!$E$15+1,1))-AVERAGE(OFFSET($H$3,0,0,'Données projet'!$E$15+1,1))</f>
        <v>482.99915419700773</v>
      </c>
      <c r="EP43" s="59">
        <f t="shared" si="46"/>
        <v>219.74157899604279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4.0942857142857143</v>
      </c>
      <c r="FE43" s="12">
        <f>IF('Données projet'!$A$218&gt;35,FE42+FD43-FM42,IF(A43&lt;'Données projet'!$A$218,$FB$205^A43,IF(A43='Données projet'!$A$218,'Données projet'!$B$218,FE42+FD43-FM42)))</f>
        <v>163.77142857142869</v>
      </c>
      <c r="FF43" s="17">
        <f>FE43*VLOOKUP('Données projet'!$B$16,Paramètres!$A$1:$I$89,3,0)*VLOOKUP('Données projet'!$B$16,Paramètres!$A$1:$I$89,5,0)</f>
        <v>155.84489142857154</v>
      </c>
      <c r="FG43" s="13">
        <f t="shared" si="47"/>
        <v>39.903888691774469</v>
      </c>
      <c r="FH43" s="20">
        <f t="shared" si="22"/>
        <v>340.92912537626927</v>
      </c>
      <c r="FI43" s="59">
        <f t="shared" si="23"/>
        <v>634.26245870960258</v>
      </c>
      <c r="FJ43" s="59">
        <f ca="1">AVERAGE(OFFSET($FI$3,0,0,'Données projet'!$E$16+1,1))-AVERAGE(OFFSET($H$3,0,0,'Données projet'!$E$16+1,1))</f>
        <v>666.1523645983184</v>
      </c>
      <c r="FK43" s="59">
        <f t="shared" si="48"/>
        <v>294.13851344047526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9.8000000000000007</v>
      </c>
      <c r="N44" s="13">
        <f>IF('Données projet'!$A$36&gt;35,N43+M44-V43,IF(A44&lt;'Données projet'!$A$36,$K$205^A44,IF(A44='Données projet'!$A$36,'Données projet'!$B$36,N43+M44-V43)))</f>
        <v>202.8</v>
      </c>
      <c r="O44" s="13">
        <f>N44*VLOOKUP('Données projet'!$B$9,Paramètres!$A$1:$I$89,3,0)*VLOOKUP('Données projet'!$B$9,Paramètres!$A$1:$I$89,5,0)</f>
        <v>148.69296</v>
      </c>
      <c r="P44" s="13">
        <f t="shared" si="33"/>
        <v>38.281404966971365</v>
      </c>
      <c r="Q44" s="20">
        <f t="shared" si="53"/>
        <v>325.64701898414177</v>
      </c>
      <c r="R44" s="59">
        <f t="shared" si="0"/>
        <v>618.98035231747508</v>
      </c>
      <c r="S44" s="59">
        <f ca="1">AVERAGE(OFFSET($R$3,0,0,'Données projet'!$E$9+1,1))-AVERAGE(OFFSET($H$3,0,0,'Données projet'!$E$9+1,1))</f>
        <v>328.55631138162721</v>
      </c>
      <c r="T44" s="59">
        <f t="shared" si="34"/>
        <v>321.81422611044985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8.1504290744376231</v>
      </c>
      <c r="AA44" s="21">
        <f>EXP(-LN(2)/25)*AA43+(1-EXP(-LN(2)/25))/(LN(2)/25)*Calculateur!V44*Calculateur!X44*VLOOKUP('Données projet'!$B$9,Paramètres!$A$1:$I$89,3,0)*0.475*44/12</f>
        <v>12.762641291548098</v>
      </c>
      <c r="AB44" s="21">
        <f>EXP(-LN(2)/2)*AB43+(1-EXP(-LN(2)/2))/(LN(2)/2)*V44*Y44*VLOOKUP('Données projet'!$B$9,Paramètres!$A$1:$I$89,3,0)*0.475*44/12</f>
        <v>5.1991650425440401</v>
      </c>
      <c r="AC44" s="22">
        <f t="shared" si="3"/>
        <v>26.112235408529763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9.8000000000000007</v>
      </c>
      <c r="AI44" s="13">
        <f>IF('Données projet'!$A$62&gt;35,AI43+AH44-AQ43,IF(A44&lt;'Données projet'!$A$62,$AF$205^A44,IF(A44='Données projet'!$A$62,'Données projet'!$B$62,AI43+AH44-AQ43)))</f>
        <v>202.8</v>
      </c>
      <c r="AJ44" s="13">
        <f>AI44*VLOOKUP('Données projet'!$B$10,Paramètres!$A$1:$I$89,3,0)*VLOOKUP('Données projet'!$B$10,Paramètres!$A$1:$I$89,5,0)</f>
        <v>161.34768000000003</v>
      </c>
      <c r="AK44" s="13">
        <f t="shared" si="35"/>
        <v>41.146339844316657</v>
      </c>
      <c r="AL44" s="20">
        <f t="shared" si="4"/>
        <v>352.6770845621848</v>
      </c>
      <c r="AM44" s="59">
        <f t="shared" si="5"/>
        <v>646.01041789551812</v>
      </c>
      <c r="AN44" s="59">
        <f ca="1">AVERAGE(OFFSET($AM$3,0,0,'Données projet'!$E$10+1,1))-AVERAGE(OFFSET($H$3,0,0,'Données projet'!$E$10+1,1))</f>
        <v>353.37479213497227</v>
      </c>
      <c r="AO44" s="59">
        <f t="shared" si="36"/>
        <v>345.4750813433123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10.90084601098709</v>
      </c>
      <c r="AV44" s="21">
        <f>EXP(-LN(2)/25)*AV43+(1-EXP(-LN(2)/25))/(LN(2)/25)*Calculateur!AQ44*Calculateur!AS44*VLOOKUP('Données projet'!$B$10,Paramètres!$A$1:$I$89,3,0)*0.475*44/12</f>
        <v>17.069480163807281</v>
      </c>
      <c r="AW44" s="21">
        <f>EXP(-LN(2)/2)*AW43+(1-EXP(-LN(2)/2))/(LN(2)/2)*AQ44*AT44*VLOOKUP('Données projet'!$B$10,Paramètres!$A$1:$I$89,3,0)*0.475*44/12</f>
        <v>5.6416471738243841</v>
      </c>
      <c r="AX44" s="21">
        <f t="shared" si="6"/>
        <v>33.611973348618754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9.8000000000000007</v>
      </c>
      <c r="BD44" s="12">
        <f>IF('Données projet'!$A$88&gt;35,BD43+BC44-BL43,IF(A44&lt;'Données projet'!$A$88,$BA$205^A44,IF(A44='Données projet'!$A$88,'Données projet'!$B$88,BD43+BC44-BL43)))</f>
        <v>202.8</v>
      </c>
      <c r="BE44" s="13">
        <f>BD44*VLOOKUP('Données projet'!$B$11,Paramètres!$A$1:$I$89,3,0)*VLOOKUP('Données projet'!$B$11,Paramètres!$A$1:$I$89,5,0)</f>
        <v>164.51136</v>
      </c>
      <c r="BF44" s="13">
        <f t="shared" si="37"/>
        <v>41.858412704646653</v>
      </c>
      <c r="BG44" s="20">
        <f t="shared" si="7"/>
        <v>359.4273541272596</v>
      </c>
      <c r="BH44" s="59">
        <f t="shared" si="8"/>
        <v>652.76068746059286</v>
      </c>
      <c r="BI44" s="59">
        <f ca="1">AVERAGE(OFFSET($BH$3,0,0,'Données projet'!$E$11+1,1))-AVERAGE(OFFSET($H$3,0,0,'Données projet'!$E$11+1,1))</f>
        <v>359.57284550600366</v>
      </c>
      <c r="BJ44" s="59">
        <f t="shared" si="38"/>
        <v>351.38386928091433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11.114588089633894</v>
      </c>
      <c r="BQ44" s="21">
        <f>EXP(-LN(2)/25)*BQ43+(1-EXP(-LN(2)/25))/(LN(2)/25)*Calculateur!BL44*Calculateur!BN44*VLOOKUP('Données projet'!$B$11,Paramètres!$A$1:$I$89,3,0)*0.475*44/12</f>
        <v>17.404175853293705</v>
      </c>
      <c r="BR44" s="21">
        <f>EXP(-LN(2)/2)*BR43+(1-EXP(-LN(2)/2))/(LN(2)/2)*BL44*BO44*VLOOKUP('Données projet'!$B$11,Paramètres!$A$1:$I$89,3,0)*0.475*44/12</f>
        <v>5.752267706644469</v>
      </c>
      <c r="BS44" s="22">
        <f t="shared" si="9"/>
        <v>34.271031649572066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3.0769230769230775</v>
      </c>
      <c r="BY44" s="12">
        <f>IF('Données projet'!$A$114&gt;35,BY43+BX44-CG43,IF(A44&lt;'Données projet'!$A$114,$BV$205^A44,IF(A44='Données projet'!$A$114,'Données projet'!$B$114,BY43+BX44-CG43)))</f>
        <v>69.102564102564102</v>
      </c>
      <c r="BZ44" s="13">
        <f>BY44*VLOOKUP('Données projet'!$B$12,Paramètres!$A$1:$I$89,3,0)*VLOOKUP('Données projet'!$B$12,Paramètres!$A$1:$I$89,5,0)</f>
        <v>56.056000000000004</v>
      </c>
      <c r="CA44" s="13">
        <f t="shared" si="39"/>
        <v>16.167190526120404</v>
      </c>
      <c r="CB44" s="20">
        <f t="shared" si="10"/>
        <v>125.7887234996597</v>
      </c>
      <c r="CC44" s="59">
        <f t="shared" si="11"/>
        <v>419.122056832993</v>
      </c>
      <c r="CD44" s="59">
        <f ca="1">AVERAGE(OFFSET($CC$3,0,0,'Données projet'!$E$12+1,1))-AVERAGE(OFFSET($H$3,0,0,'Données projet'!$E$12+1,1))</f>
        <v>159.4660488566085</v>
      </c>
      <c r="CE44" s="59">
        <f t="shared" si="40"/>
        <v>135.33030558297088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2.1537034338526633</v>
      </c>
      <c r="CM44" s="21">
        <f>EXP(-LN(2)/2)*CM43+(1-EXP(-LN(2)/2))/(LN(2)/2)*CG44*CJ44*VLOOKUP('Données projet'!$B$12,Paramètres!$A$1:$I$89,3,0)*0.475*44/12</f>
        <v>1.0496386234617019</v>
      </c>
      <c r="CN44" s="22">
        <f t="shared" si="12"/>
        <v>3.2033420573143649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9.8000000000000007</v>
      </c>
      <c r="CT44" s="12">
        <f>IF('Données projet'!$A$140&gt;35,CT43+CS44-DB43,IF(A44&lt;'Données projet'!$A$140,$CQ$205^A44,IF(A44='Données projet'!$A$140,'Données projet'!$B$140,CT43+CS44-DB43)))</f>
        <v>202.8</v>
      </c>
      <c r="CU44" s="17">
        <f>CT44*VLOOKUP('Données projet'!$B$13,Paramètres!$A$1:$I$89,3,0)*VLOOKUP('Données projet'!$B$13,Paramètres!$A$1:$I$89,5,0)</f>
        <v>161.34768000000003</v>
      </c>
      <c r="CV44" s="13">
        <f t="shared" si="41"/>
        <v>41.146339844316657</v>
      </c>
      <c r="CW44" s="20">
        <f t="shared" si="13"/>
        <v>352.6770845621848</v>
      </c>
      <c r="CX44" s="59">
        <f t="shared" si="14"/>
        <v>646.01041789551812</v>
      </c>
      <c r="CY44" s="59">
        <f ca="1">AVERAGE(OFFSET($CX$3,0,0,'Données projet'!$E$13+1,1))-AVERAGE(OFFSET($H$3,0,0,'Données projet'!$E$13+1,1))</f>
        <v>353.37479213497227</v>
      </c>
      <c r="CZ44" s="59">
        <f t="shared" si="42"/>
        <v>345.4750813433123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10.90084601098709</v>
      </c>
      <c r="DG44" s="21">
        <f>EXP(-LN(2)/25)*DG43+(1-EXP(-LN(2)/25))/(LN(2)/25)*Calculateur!DB44*Calculateur!DD44*VLOOKUP('Données projet'!$B$13,Paramètres!$A$1:$I$89,3,0)*0.475*44/12</f>
        <v>17.069480163807281</v>
      </c>
      <c r="DH44" s="21">
        <f>EXP(-LN(2)/2)*DH43+(1-EXP(-LN(2)/2))/(LN(2)/2)*DB44*DE44*VLOOKUP('Données projet'!$B$13,Paramètres!$A$1:$I$89,3,0)*0.475*44/12</f>
        <v>5.6416471738243841</v>
      </c>
      <c r="DI44" s="22">
        <f t="shared" si="15"/>
        <v>33.611973348618754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4.0942857142857143</v>
      </c>
      <c r="DO44" s="12">
        <f>IF('Données projet'!$A$166&gt;35,DO43+DN44-DW43,IF(A44&lt;'Données projet'!$A$166,$DL$205^A44,IF(A44='Données projet'!$A$166,'Données projet'!$B$166,DO43+DN44-DW43)))</f>
        <v>167.8657142857144</v>
      </c>
      <c r="DP44" s="17">
        <f>DO44*VLOOKUP('Données projet'!$B$14,Paramètres!$A$1:$I$89,3,0)*VLOOKUP('Données projet'!$B$14,Paramètres!$A$1:$I$89,5,0)</f>
        <v>151.88489828571437</v>
      </c>
      <c r="DQ44" s="13">
        <f t="shared" si="43"/>
        <v>39.006623705593562</v>
      </c>
      <c r="DR44" s="20">
        <f t="shared" si="16"/>
        <v>332.46940080152797</v>
      </c>
      <c r="DS44" s="59">
        <f t="shared" si="17"/>
        <v>625.80273413486134</v>
      </c>
      <c r="DT44" s="59">
        <f ca="1">AVERAGE(OFFSET($DS$3,0,0,'Données projet'!$E$14+1,1))-AVERAGE(OFFSET($H$3,0,0,'Données projet'!$E$14+1,1))</f>
        <v>635.71275911100679</v>
      </c>
      <c r="DU44" s="59">
        <f t="shared" si="44"/>
        <v>281.7776857269169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4.0942857142857143</v>
      </c>
      <c r="EJ44" s="12">
        <f>IF('Données projet'!$A$192&gt;35,EJ43+EI44-ER43,IF(A44&lt;'Données projet'!$A$192,$EG$205^A44,IF(A44='Données projet'!$A$192,'Données projet'!$B$192,EJ43+EI44-ER43)))</f>
        <v>167.8657142857144</v>
      </c>
      <c r="EK44" s="17">
        <f>EJ44*VLOOKUP('Données projet'!$B$15,Paramètres!$A$1:$I$89,3,0)*VLOOKUP('Données projet'!$B$15,Paramètres!$A$1:$I$89,5,0)</f>
        <v>112.60432114285723</v>
      </c>
      <c r="EL44" s="13">
        <f t="shared" si="45"/>
        <v>29.943744812916144</v>
      </c>
      <c r="EM44" s="20">
        <f t="shared" si="19"/>
        <v>248.27121487297197</v>
      </c>
      <c r="EN44" s="59">
        <f t="shared" si="20"/>
        <v>541.60454820630525</v>
      </c>
      <c r="EO44" s="59">
        <f ca="1">AVERAGE(OFFSET($EN$3,0,0,'Données projet'!$E$15+1,1))-AVERAGE(OFFSET($H$3,0,0,'Données projet'!$E$15+1,1))</f>
        <v>482.99915419700773</v>
      </c>
      <c r="EP44" s="59">
        <f t="shared" si="46"/>
        <v>219.74157899604279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4.0942857142857143</v>
      </c>
      <c r="FE44" s="12">
        <f>IF('Données projet'!$A$218&gt;35,FE43+FD44-FM43,IF(A44&lt;'Données projet'!$A$218,$FB$205^A44,IF(A44='Données projet'!$A$218,'Données projet'!$B$218,FE43+FD44-FM43)))</f>
        <v>167.8657142857144</v>
      </c>
      <c r="FF44" s="17">
        <f>FE44*VLOOKUP('Données projet'!$B$16,Paramètres!$A$1:$I$89,3,0)*VLOOKUP('Données projet'!$B$16,Paramètres!$A$1:$I$89,5,0)</f>
        <v>159.74101371428583</v>
      </c>
      <c r="FG44" s="13">
        <f t="shared" si="47"/>
        <v>40.784094820651994</v>
      </c>
      <c r="FH44" s="20">
        <f t="shared" si="22"/>
        <v>349.24789736501674</v>
      </c>
      <c r="FI44" s="59">
        <f t="shared" si="23"/>
        <v>642.58123069835005</v>
      </c>
      <c r="FJ44" s="59">
        <f ca="1">AVERAGE(OFFSET($FI$3,0,0,'Données projet'!$E$16+1,1))-AVERAGE(OFFSET($H$3,0,0,'Données projet'!$E$16+1,1))</f>
        <v>666.1523645983184</v>
      </c>
      <c r="FK44" s="59">
        <f t="shared" si="48"/>
        <v>294.13851344047526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9.8000000000000007</v>
      </c>
      <c r="N45" s="13">
        <f>IF('Données projet'!$A$36&gt;35,N44+M45-V44,IF(A45&lt;'Données projet'!$A$36,$K$205^A45,IF(A45='Données projet'!$A$36,'Données projet'!$B$36,N44+M45-V44)))</f>
        <v>212.60000000000002</v>
      </c>
      <c r="O45" s="13">
        <f>N45*VLOOKUP('Données projet'!$B$9,Paramètres!$A$1:$I$89,3,0)*VLOOKUP('Données projet'!$B$9,Paramètres!$A$1:$I$89,5,0)</f>
        <v>155.87832000000003</v>
      </c>
      <c r="P45" s="13">
        <f t="shared" si="33"/>
        <v>39.911451633481022</v>
      </c>
      <c r="Q45" s="20">
        <f t="shared" si="53"/>
        <v>341.00051892831283</v>
      </c>
      <c r="R45" s="59">
        <f t="shared" si="0"/>
        <v>634.33385226164614</v>
      </c>
      <c r="S45" s="59">
        <f ca="1">AVERAGE(OFFSET($R$3,0,0,'Données projet'!$E$9+1,1))-AVERAGE(OFFSET($H$3,0,0,'Données projet'!$E$9+1,1))</f>
        <v>328.55631138162721</v>
      </c>
      <c r="T45" s="59">
        <f t="shared" si="34"/>
        <v>321.81422611044985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7.9906041315587641</v>
      </c>
      <c r="AA45" s="21">
        <f>EXP(-LN(2)/25)*AA44+(1-EXP(-LN(2)/25))/(LN(2)/25)*Calculateur!V45*Calculateur!X45*VLOOKUP('Données projet'!$B$9,Paramètres!$A$1:$I$89,3,0)*0.475*44/12</f>
        <v>12.413646194272578</v>
      </c>
      <c r="AB45" s="21">
        <f>EXP(-LN(2)/2)*AB44+(1-EXP(-LN(2)/2))/(LN(2)/2)*V45*Y45*VLOOKUP('Données projet'!$B$9,Paramètres!$A$1:$I$89,3,0)*0.475*44/12</f>
        <v>3.676364858090936</v>
      </c>
      <c r="AC45" s="22">
        <f t="shared" si="3"/>
        <v>24.080615183922276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9.8000000000000007</v>
      </c>
      <c r="AI45" s="13">
        <f>IF('Données projet'!$A$62&gt;35,AI44+AH45-AQ44,IF(A45&lt;'Données projet'!$A$62,$AF$205^A45,IF(A45='Données projet'!$A$62,'Données projet'!$B$62,AI44+AH45-AQ44)))</f>
        <v>212.60000000000002</v>
      </c>
      <c r="AJ45" s="13">
        <f>AI45*VLOOKUP('Données projet'!$B$10,Paramètres!$A$1:$I$89,3,0)*VLOOKUP('Données projet'!$B$10,Paramètres!$A$1:$I$89,5,0)</f>
        <v>169.14456000000004</v>
      </c>
      <c r="AK45" s="13">
        <f t="shared" si="35"/>
        <v>42.898377267189964</v>
      </c>
      <c r="AL45" s="20">
        <f t="shared" si="4"/>
        <v>369.30811574035596</v>
      </c>
      <c r="AM45" s="59">
        <f t="shared" si="5"/>
        <v>662.64144907368927</v>
      </c>
      <c r="AN45" s="59">
        <f ca="1">AVERAGE(OFFSET($AM$3,0,0,'Données projet'!$E$10+1,1))-AVERAGE(OFFSET($H$3,0,0,'Données projet'!$E$10+1,1))</f>
        <v>353.37479213497227</v>
      </c>
      <c r="AO45" s="59">
        <f t="shared" si="36"/>
        <v>345.4750813433123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10.687087069571179</v>
      </c>
      <c r="AV45" s="21">
        <f>EXP(-LN(2)/25)*AV44+(1-EXP(-LN(2)/25))/(LN(2)/25)*Calculateur!AQ45*Calculateur!AS45*VLOOKUP('Données projet'!$B$10,Paramètres!$A$1:$I$89,3,0)*0.475*44/12</f>
        <v>16.602714331083021</v>
      </c>
      <c r="AW45" s="21">
        <f>EXP(-LN(2)/2)*AW44+(1-EXP(-LN(2)/2))/(LN(2)/2)*AQ45*AT45*VLOOKUP('Données projet'!$B$10,Paramètres!$A$1:$I$89,3,0)*0.475*44/12</f>
        <v>3.9892469736731431</v>
      </c>
      <c r="AX45" s="21">
        <f t="shared" si="6"/>
        <v>31.279048374327342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9.8000000000000007</v>
      </c>
      <c r="BD45" s="12">
        <f>IF('Données projet'!$A$88&gt;35,BD44+BC45-BL44,IF(A45&lt;'Données projet'!$A$88,$BA$205^A45,IF(A45='Données projet'!$A$88,'Données projet'!$B$88,BD44+BC45-BL44)))</f>
        <v>212.60000000000002</v>
      </c>
      <c r="BE45" s="13">
        <f>BD45*VLOOKUP('Données projet'!$B$11,Paramètres!$A$1:$I$89,3,0)*VLOOKUP('Données projet'!$B$11,Paramètres!$A$1:$I$89,5,0)</f>
        <v>172.46112000000005</v>
      </c>
      <c r="BF45" s="13">
        <f t="shared" si="37"/>
        <v>43.640770644577643</v>
      </c>
      <c r="BG45" s="20">
        <f t="shared" si="7"/>
        <v>376.37745953930607</v>
      </c>
      <c r="BH45" s="59">
        <f t="shared" si="8"/>
        <v>669.71079287263933</v>
      </c>
      <c r="BI45" s="59">
        <f ca="1">AVERAGE(OFFSET($BH$3,0,0,'Données projet'!$E$11+1,1))-AVERAGE(OFFSET($H$3,0,0,'Données projet'!$E$11+1,1))</f>
        <v>359.57284550600366</v>
      </c>
      <c r="BJ45" s="59">
        <f t="shared" si="38"/>
        <v>351.38386928091433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10.896637796425516</v>
      </c>
      <c r="BQ45" s="21">
        <f>EXP(-LN(2)/25)*BQ44+(1-EXP(-LN(2)/25))/(LN(2)/25)*Calculateur!BL45*Calculateur!BN45*VLOOKUP('Données projet'!$B$11,Paramètres!$A$1:$I$89,3,0)*0.475*44/12</f>
        <v>16.928257749339558</v>
      </c>
      <c r="BR45" s="21">
        <f>EXP(-LN(2)/2)*BR44+(1-EXP(-LN(2)/2))/(LN(2)/2)*BL45*BO45*VLOOKUP('Données projet'!$B$11,Paramètres!$A$1:$I$89,3,0)*0.475*44/12</f>
        <v>4.0674675025686939</v>
      </c>
      <c r="BS45" s="22">
        <f t="shared" si="9"/>
        <v>31.892363048333767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3.0769230769230775</v>
      </c>
      <c r="BY45" s="12">
        <f>IF('Données projet'!$A$114&gt;35,BY44+BX45-CG44,IF(A45&lt;'Données projet'!$A$114,$BV$205^A45,IF(A45='Données projet'!$A$114,'Données projet'!$B$114,BY44+BX45-CG44)))</f>
        <v>72.179487179487182</v>
      </c>
      <c r="BZ45" s="13">
        <f>BY45*VLOOKUP('Données projet'!$B$12,Paramètres!$A$1:$I$89,3,0)*VLOOKUP('Données projet'!$B$12,Paramètres!$A$1:$I$89,5,0)</f>
        <v>58.552000000000007</v>
      </c>
      <c r="CA45" s="13">
        <f t="shared" si="39"/>
        <v>16.801650294444062</v>
      </c>
      <c r="CB45" s="20">
        <f t="shared" si="10"/>
        <v>131.24094092949005</v>
      </c>
      <c r="CC45" s="59">
        <f t="shared" si="11"/>
        <v>424.57427426282334</v>
      </c>
      <c r="CD45" s="59">
        <f ca="1">AVERAGE(OFFSET($CC$3,0,0,'Données projet'!$E$12+1,1))-AVERAGE(OFFSET($H$3,0,0,'Données projet'!$E$12+1,1))</f>
        <v>159.4660488566085</v>
      </c>
      <c r="CE45" s="59">
        <f t="shared" si="40"/>
        <v>135.33030558297088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2.0948103001956211</v>
      </c>
      <c r="CM45" s="21">
        <f>EXP(-LN(2)/2)*CM44+(1-EXP(-LN(2)/2))/(LN(2)/2)*CG45*CJ45*VLOOKUP('Données projet'!$B$12,Paramètres!$A$1:$I$89,3,0)*0.475*44/12</f>
        <v>0.74220658844508269</v>
      </c>
      <c r="CN45" s="22">
        <f t="shared" si="12"/>
        <v>2.8370168886407039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9.8000000000000007</v>
      </c>
      <c r="CT45" s="12">
        <f>IF('Données projet'!$A$140&gt;35,CT44+CS45-DB44,IF(A45&lt;'Données projet'!$A$140,$CQ$205^A45,IF(A45='Données projet'!$A$140,'Données projet'!$B$140,CT44+CS45-DB44)))</f>
        <v>212.60000000000002</v>
      </c>
      <c r="CU45" s="17">
        <f>CT45*VLOOKUP('Données projet'!$B$13,Paramètres!$A$1:$I$89,3,0)*VLOOKUP('Données projet'!$B$13,Paramètres!$A$1:$I$89,5,0)</f>
        <v>169.14456000000004</v>
      </c>
      <c r="CV45" s="13">
        <f t="shared" si="41"/>
        <v>42.898377267189964</v>
      </c>
      <c r="CW45" s="20">
        <f t="shared" si="13"/>
        <v>369.30811574035596</v>
      </c>
      <c r="CX45" s="59">
        <f t="shared" si="14"/>
        <v>662.64144907368927</v>
      </c>
      <c r="CY45" s="59">
        <f ca="1">AVERAGE(OFFSET($CX$3,0,0,'Données projet'!$E$13+1,1))-AVERAGE(OFFSET($H$3,0,0,'Données projet'!$E$13+1,1))</f>
        <v>353.37479213497227</v>
      </c>
      <c r="CZ45" s="59">
        <f t="shared" si="42"/>
        <v>345.4750813433123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10.687087069571179</v>
      </c>
      <c r="DG45" s="21">
        <f>EXP(-LN(2)/25)*DG44+(1-EXP(-LN(2)/25))/(LN(2)/25)*Calculateur!DB45*Calculateur!DD45*VLOOKUP('Données projet'!$B$13,Paramètres!$A$1:$I$89,3,0)*0.475*44/12</f>
        <v>16.602714331083021</v>
      </c>
      <c r="DH45" s="21">
        <f>EXP(-LN(2)/2)*DH44+(1-EXP(-LN(2)/2))/(LN(2)/2)*DB45*DE45*VLOOKUP('Données projet'!$B$13,Paramètres!$A$1:$I$89,3,0)*0.475*44/12</f>
        <v>3.9892469736731431</v>
      </c>
      <c r="DI45" s="22">
        <f t="shared" si="15"/>
        <v>31.279048374327342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>
        <f>VLOOKUP(A45,'Données projet'!$A$165:$I$185,2,0)</f>
        <v>171.96</v>
      </c>
      <c r="DM45" s="12">
        <f>VLOOKUP(A45,'Données projet'!$A$165:$I$185,9,0)</f>
        <v>4.0942857142857143</v>
      </c>
      <c r="DN45" s="12">
        <f t="array" ref="DN45">INDEX(DM:DM,MIN(IF(ISNUMBER(DM45:DM241),ROW(DM45:DM241),"")))</f>
        <v>4.0942857142857143</v>
      </c>
      <c r="DO45" s="12">
        <f>IF('Données projet'!$A$166&gt;35,DO44+DN45-DW44,IF(A45&lt;'Données projet'!$A$166,$DL$205^A45,IF(A45='Données projet'!$A$166,'Données projet'!$B$166,DO44+DN45-DW44)))</f>
        <v>171.96000000000012</v>
      </c>
      <c r="DP45" s="17">
        <f>DO45*VLOOKUP('Données projet'!$B$14,Paramètres!$A$1:$I$89,3,0)*VLOOKUP('Données projet'!$B$14,Paramètres!$A$1:$I$89,5,0)</f>
        <v>155.58940800000011</v>
      </c>
      <c r="DQ45" s="13">
        <f t="shared" si="43"/>
        <v>39.846081409537142</v>
      </c>
      <c r="DR45" s="20">
        <f t="shared" si="16"/>
        <v>340.3834773882773</v>
      </c>
      <c r="DS45" s="59">
        <f t="shared" si="17"/>
        <v>633.71681072161061</v>
      </c>
      <c r="DT45" s="59">
        <f ca="1">AVERAGE(OFFSET($DS$3,0,0,'Données projet'!$E$14+1,1))-AVERAGE(OFFSET($H$3,0,0,'Données projet'!$E$14+1,1))</f>
        <v>635.71275911100679</v>
      </c>
      <c r="DU45" s="59">
        <f t="shared" si="44"/>
        <v>281.7776857269169</v>
      </c>
      <c r="DV45" s="15">
        <f>IF(ISNA(VLOOKUP(A45,'Données projet'!$A$165:$I$185,3,0)),0,VLOOKUP(A45,'Données projet'!$A$165:$I$185,3,0))</f>
        <v>1</v>
      </c>
      <c r="DW45" s="15">
        <f>IF(ISNA(VLOOKUP(A45,'Données projet'!$A$165:$I$185,4,0)),0,VLOOKUP(A45,'Données projet'!$A$165:$I$185,4,0))</f>
        <v>44.510000000000005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0.34400000000000003</v>
      </c>
      <c r="DZ45" s="16">
        <f>IF(ISNA(VLOOKUP(A45,'Données projet'!$A$165:$I$185,7,0)),0%,VLOOKUP(A45,'Données projet'!$A$165:$I$185,7,0))</f>
        <v>0.2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15.254654682209745</v>
      </c>
      <c r="EC45" s="21">
        <f>EXP(-LN(2)/2)*EC44+(1-EXP(-LN(2)/2))/(LN(2)/2)*DW45*DZ45*VLOOKUP('Données projet'!$B$14,Paramètres!$A$1:$I$89,3,0)*0.475*44/12</f>
        <v>7.599665462085774</v>
      </c>
      <c r="ED45" s="22">
        <f t="shared" si="18"/>
        <v>22.854320144295521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>
        <f>VLOOKUP(A45,'Données projet'!$A$191:$I$211,2,0)</f>
        <v>171.96</v>
      </c>
      <c r="EH45" s="12">
        <f>VLOOKUP(A45,'Données projet'!$A$191:$I$211,9,0)</f>
        <v>4.0942857142857143</v>
      </c>
      <c r="EI45" s="12">
        <f t="array" ref="EI45">INDEX(EH:EH,MIN(IF(ISNUMBER(EH45:EH241),ROW(EH45:EH241),"")))</f>
        <v>4.0942857142857143</v>
      </c>
      <c r="EJ45" s="12">
        <f>IF('Données projet'!$A$192&gt;35,EJ44+EI45-ER44,IF(A45&lt;'Données projet'!$A$192,$EG$205^A45,IF(A45='Données projet'!$A$192,'Données projet'!$B$192,EJ44+EI45-ER44)))</f>
        <v>171.96000000000012</v>
      </c>
      <c r="EK45" s="17">
        <f>EJ45*VLOOKUP('Données projet'!$B$15,Paramètres!$A$1:$I$89,3,0)*VLOOKUP('Données projet'!$B$15,Paramètres!$A$1:$I$89,5,0)</f>
        <v>115.35076800000007</v>
      </c>
      <c r="EL45" s="13">
        <f t="shared" si="45"/>
        <v>30.58816119352479</v>
      </c>
      <c r="EM45" s="20">
        <f t="shared" si="19"/>
        <v>254.17696834538913</v>
      </c>
      <c r="EN45" s="59">
        <f t="shared" si="20"/>
        <v>547.5103016787225</v>
      </c>
      <c r="EO45" s="59">
        <f ca="1">AVERAGE(OFFSET($EN$3,0,0,'Données projet'!$E$15+1,1))-AVERAGE(OFFSET($H$3,0,0,'Données projet'!$E$15+1,1))</f>
        <v>482.99915419700773</v>
      </c>
      <c r="EP45" s="59">
        <f t="shared" si="46"/>
        <v>219.74157899604279</v>
      </c>
      <c r="EQ45" s="15">
        <f>IF(ISNA(VLOOKUP(A45,'Données projet'!$A$191:$I$211,3,0)),0,VLOOKUP(A45,'Données projet'!$A$191:$I$211,3,0))</f>
        <v>1</v>
      </c>
      <c r="ER45" s="15">
        <f>IF(ISNA(VLOOKUP(A45,'Données projet'!$A$191:$I$211,4,0)),0,VLOOKUP(A45,'Données projet'!$A$191:$I$211,4,0))</f>
        <v>44.510000000000005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0.42400000000000004</v>
      </c>
      <c r="EU45" s="16">
        <f>IF(ISNA(VLOOKUP(A45,'Données projet'!$A$191:$I$211,7,0)),0%,VLOOKUP(A45,'Données projet'!$A$191:$I$211,7,0))</f>
        <v>0.2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13.939598244088216</v>
      </c>
      <c r="EX45" s="21">
        <f>EXP(-LN(2)/2)*EX44+(1-EXP(-LN(2)/2))/(LN(2)/2)*ER45*EU45*VLOOKUP('Données projet'!$B$15,Paramètres!$A$1:$I$89,3,0)*0.475*44/12</f>
        <v>5.6342347391325562</v>
      </c>
      <c r="EY45" s="22">
        <f t="shared" si="21"/>
        <v>19.573832983220772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>
        <f>VLOOKUP(A45,'Données projet'!$A$217:$I$237,2,0)</f>
        <v>171.96</v>
      </c>
      <c r="FC45" s="12">
        <f>VLOOKUP(A45,'Données projet'!$A$217:$I$237,9,0)</f>
        <v>4.0942857142857143</v>
      </c>
      <c r="FD45" s="12">
        <f t="array" ref="FD45">INDEX(FC:FC,MIN(IF(ISNUMBER(FC45:FC241),ROW(FC45:FC241),"")))</f>
        <v>4.0942857142857143</v>
      </c>
      <c r="FE45" s="12">
        <f>IF('Données projet'!$A$218&gt;35,FE44+FD45-FM44,IF(A45&lt;'Données projet'!$A$218,$FB$205^A45,IF(A45='Données projet'!$A$218,'Données projet'!$B$218,FE44+FD45-FM44)))</f>
        <v>171.96000000000012</v>
      </c>
      <c r="FF45" s="17">
        <f>FE45*VLOOKUP('Données projet'!$B$16,Paramètres!$A$1:$I$89,3,0)*VLOOKUP('Données projet'!$B$16,Paramètres!$A$1:$I$89,5,0)</f>
        <v>163.63713600000011</v>
      </c>
      <c r="FG45" s="13">
        <f t="shared" si="47"/>
        <v>41.661805305260039</v>
      </c>
      <c r="FH45" s="20">
        <f t="shared" si="22"/>
        <v>357.56232277332811</v>
      </c>
      <c r="FI45" s="59">
        <f t="shared" si="23"/>
        <v>650.89565610666136</v>
      </c>
      <c r="FJ45" s="59">
        <f ca="1">AVERAGE(OFFSET($FI$3,0,0,'Données projet'!$E$16+1,1))-AVERAGE(OFFSET($H$3,0,0,'Données projet'!$E$16+1,1))</f>
        <v>666.1523645983184</v>
      </c>
      <c r="FK45" s="59">
        <f t="shared" si="48"/>
        <v>294.13851344047526</v>
      </c>
      <c r="FL45" s="15">
        <f>IF(ISNA(VLOOKUP(A45,'Données projet'!$A$217:$I$237,3,0)),0,VLOOKUP(A45,'Données projet'!$A$217:$I$237,3,0))</f>
        <v>1</v>
      </c>
      <c r="FM45" s="15">
        <f>IF(ISNA(VLOOKUP(A45,'Données projet'!$A$217:$I$237,4,0)),0,VLOOKUP(A45,'Données projet'!$A$217:$I$237,4,0))</f>
        <v>44.510000000000005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0.34400000000000003</v>
      </c>
      <c r="FP45" s="16">
        <f>IF(ISNA(VLOOKUP(A45,'Données projet'!$A$217:$I$237,7,0)),0%,VLOOKUP(A45,'Données projet'!$A$217:$I$237,7,0))</f>
        <v>0.2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16.043688545082667</v>
      </c>
      <c r="FS45" s="21">
        <f>EXP(-LN(2)/2)*FS44+(1-EXP(-LN(2)/2))/(LN(2)/2)*FM45*FP45*VLOOKUP('Données projet'!$B$16,Paramètres!$A$1:$I$89,3,0)*0.475*44/12</f>
        <v>7.992751606676415</v>
      </c>
      <c r="FT45" s="22">
        <f t="shared" si="24"/>
        <v>24.036440151759081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9.8000000000000007</v>
      </c>
      <c r="N46" s="13">
        <f>IF('Données projet'!$A$36&gt;35,N45+M46-V45,IF(A46&lt;'Données projet'!$A$36,$K$205^A46,IF(A46='Données projet'!$A$36,'Données projet'!$B$36,N45+M46-V45)))</f>
        <v>222.40000000000003</v>
      </c>
      <c r="O46" s="13">
        <f>N46*VLOOKUP('Données projet'!$B$9,Paramètres!$A$1:$I$89,3,0)*VLOOKUP('Données projet'!$B$9,Paramètres!$A$1:$I$89,5,0)</f>
        <v>163.06368000000001</v>
      </c>
      <c r="P46" s="13">
        <f t="shared" si="33"/>
        <v>41.532772330984628</v>
      </c>
      <c r="Q46" s="20">
        <f t="shared" si="53"/>
        <v>356.33882114313155</v>
      </c>
      <c r="R46" s="59">
        <f t="shared" si="0"/>
        <v>649.67215447646481</v>
      </c>
      <c r="S46" s="59">
        <f ca="1">AVERAGE(OFFSET($R$3,0,0,'Données projet'!$E$9+1,1))-AVERAGE(OFFSET($H$3,0,0,'Données projet'!$E$9+1,1))</f>
        <v>328.55631138162721</v>
      </c>
      <c r="T46" s="59">
        <f t="shared" si="34"/>
        <v>321.81422611044985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7.8339132583261701</v>
      </c>
      <c r="AA46" s="21">
        <f>EXP(-LN(2)/25)*AA45+(1-EXP(-LN(2)/25))/(LN(2)/25)*Calculateur!V46*Calculateur!X46*VLOOKUP('Données projet'!$B$9,Paramètres!$A$1:$I$89,3,0)*0.475*44/12</f>
        <v>12.074194386284914</v>
      </c>
      <c r="AB46" s="21">
        <f>EXP(-LN(2)/2)*AB45+(1-EXP(-LN(2)/2))/(LN(2)/2)*V46*Y46*VLOOKUP('Données projet'!$B$9,Paramètres!$A$1:$I$89,3,0)*0.475*44/12</f>
        <v>2.5995825212720205</v>
      </c>
      <c r="AC46" s="22">
        <f t="shared" si="3"/>
        <v>22.507690165883105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9.8000000000000007</v>
      </c>
      <c r="AI46" s="13">
        <f>IF('Données projet'!$A$62&gt;35,AI45+AH46-AQ45,IF(A46&lt;'Données projet'!$A$62,$AF$205^A46,IF(A46='Données projet'!$A$62,'Données projet'!$B$62,AI45+AH46-AQ45)))</f>
        <v>222.40000000000003</v>
      </c>
      <c r="AJ46" s="13">
        <f>AI46*VLOOKUP('Données projet'!$B$10,Paramètres!$A$1:$I$89,3,0)*VLOOKUP('Données projet'!$B$10,Paramètres!$A$1:$I$89,5,0)</f>
        <v>176.94144000000003</v>
      </c>
      <c r="AK46" s="13">
        <f t="shared" si="35"/>
        <v>44.641035679901449</v>
      </c>
      <c r="AL46" s="20">
        <f t="shared" si="4"/>
        <v>385.92281180916171</v>
      </c>
      <c r="AM46" s="59">
        <f t="shared" si="5"/>
        <v>679.25614514249503</v>
      </c>
      <c r="AN46" s="59">
        <f ca="1">AVERAGE(OFFSET($AM$3,0,0,'Données projet'!$E$10+1,1))-AVERAGE(OFFSET($H$3,0,0,'Données projet'!$E$10+1,1))</f>
        <v>353.37479213497227</v>
      </c>
      <c r="AO46" s="59">
        <f t="shared" si="36"/>
        <v>345.4750813433123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10.477519810616354</v>
      </c>
      <c r="AV46" s="21">
        <f>EXP(-LN(2)/25)*AV45+(1-EXP(-LN(2)/25))/(LN(2)/25)*Calculateur!AQ46*Calculateur!AS46*VLOOKUP('Données projet'!$B$10,Paramètres!$A$1:$I$89,3,0)*0.475*44/12</f>
        <v>16.148712234600755</v>
      </c>
      <c r="AW46" s="21">
        <f>EXP(-LN(2)/2)*AW45+(1-EXP(-LN(2)/2))/(LN(2)/2)*AQ46*AT46*VLOOKUP('Données projet'!$B$10,Paramètres!$A$1:$I$89,3,0)*0.475*44/12</f>
        <v>2.8208235869121925</v>
      </c>
      <c r="AX46" s="21">
        <f t="shared" si="6"/>
        <v>29.447055632129299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9.8000000000000007</v>
      </c>
      <c r="BD46" s="12">
        <f>IF('Données projet'!$A$88&gt;35,BD45+BC46-BL45,IF(A46&lt;'Données projet'!$A$88,$BA$205^A46,IF(A46='Données projet'!$A$88,'Données projet'!$B$88,BD45+BC46-BL45)))</f>
        <v>222.40000000000003</v>
      </c>
      <c r="BE46" s="13">
        <f>BD46*VLOOKUP('Données projet'!$B$11,Paramètres!$A$1:$I$89,3,0)*VLOOKUP('Données projet'!$B$11,Paramètres!$A$1:$I$89,5,0)</f>
        <v>180.41088000000005</v>
      </c>
      <c r="BF46" s="13">
        <f t="shared" si="37"/>
        <v>45.413587262495575</v>
      </c>
      <c r="BG46" s="20">
        <f t="shared" si="7"/>
        <v>393.31094714884654</v>
      </c>
      <c r="BH46" s="59">
        <f t="shared" si="8"/>
        <v>686.64428048217985</v>
      </c>
      <c r="BI46" s="59">
        <f ca="1">AVERAGE(OFFSET($BH$3,0,0,'Données projet'!$E$11+1,1))-AVERAGE(OFFSET($H$3,0,0,'Données projet'!$E$11+1,1))</f>
        <v>359.57284550600366</v>
      </c>
      <c r="BJ46" s="59">
        <f t="shared" si="38"/>
        <v>351.38386928091433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10.6829613755304</v>
      </c>
      <c r="BQ46" s="21">
        <f>EXP(-LN(2)/25)*BQ45+(1-EXP(-LN(2)/25))/(LN(2)/25)*Calculateur!BL46*Calculateur!BN46*VLOOKUP('Données projet'!$B$11,Paramètres!$A$1:$I$89,3,0)*0.475*44/12</f>
        <v>16.465353650965483</v>
      </c>
      <c r="BR46" s="21">
        <f>EXP(-LN(2)/2)*BR45+(1-EXP(-LN(2)/2))/(LN(2)/2)*BL46*BO46*VLOOKUP('Données projet'!$B$11,Paramètres!$A$1:$I$89,3,0)*0.475*44/12</f>
        <v>2.8761338533222345</v>
      </c>
      <c r="BS46" s="22">
        <f t="shared" si="9"/>
        <v>30.024448879818117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3.0769230769230775</v>
      </c>
      <c r="BY46" s="12">
        <f>IF('Données projet'!$A$114&gt;35,BY45+BX46-CG45,IF(A46&lt;'Données projet'!$A$114,$BV$205^A46,IF(A46='Données projet'!$A$114,'Données projet'!$B$114,BY45+BX46-CG45)))</f>
        <v>75.256410256410263</v>
      </c>
      <c r="BZ46" s="13">
        <f>BY46*VLOOKUP('Données projet'!$B$12,Paramètres!$A$1:$I$89,3,0)*VLOOKUP('Données projet'!$B$12,Paramètres!$A$1:$I$89,5,0)</f>
        <v>61.048000000000009</v>
      </c>
      <c r="CA46" s="13">
        <f t="shared" si="39"/>
        <v>17.432968673131619</v>
      </c>
      <c r="CB46" s="20">
        <f t="shared" si="10"/>
        <v>136.68768710570427</v>
      </c>
      <c r="CC46" s="59">
        <f t="shared" si="11"/>
        <v>430.02102043903756</v>
      </c>
      <c r="CD46" s="59">
        <f ca="1">AVERAGE(OFFSET($CC$3,0,0,'Données projet'!$E$12+1,1))-AVERAGE(OFFSET($H$3,0,0,'Données projet'!$E$12+1,1))</f>
        <v>159.4660488566085</v>
      </c>
      <c r="CE46" s="59">
        <f t="shared" si="40"/>
        <v>135.33030558297088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2.0375276023754858</v>
      </c>
      <c r="CM46" s="21">
        <f>EXP(-LN(2)/2)*CM45+(1-EXP(-LN(2)/2))/(LN(2)/2)*CG46*CJ46*VLOOKUP('Données projet'!$B$12,Paramètres!$A$1:$I$89,3,0)*0.475*44/12</f>
        <v>0.52481931173085106</v>
      </c>
      <c r="CN46" s="22">
        <f t="shared" si="12"/>
        <v>2.5623469141063371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9.8000000000000007</v>
      </c>
      <c r="CT46" s="12">
        <f>IF('Données projet'!$A$140&gt;35,CT45+CS46-DB45,IF(A46&lt;'Données projet'!$A$140,$CQ$205^A46,IF(A46='Données projet'!$A$140,'Données projet'!$B$140,CT45+CS46-DB45)))</f>
        <v>222.40000000000003</v>
      </c>
      <c r="CU46" s="17">
        <f>CT46*VLOOKUP('Données projet'!$B$13,Paramètres!$A$1:$I$89,3,0)*VLOOKUP('Données projet'!$B$13,Paramètres!$A$1:$I$89,5,0)</f>
        <v>176.94144000000003</v>
      </c>
      <c r="CV46" s="13">
        <f t="shared" si="41"/>
        <v>44.641035679901449</v>
      </c>
      <c r="CW46" s="20">
        <f t="shared" si="13"/>
        <v>385.92281180916171</v>
      </c>
      <c r="CX46" s="59">
        <f t="shared" si="14"/>
        <v>679.25614514249503</v>
      </c>
      <c r="CY46" s="59">
        <f ca="1">AVERAGE(OFFSET($CX$3,0,0,'Données projet'!$E$13+1,1))-AVERAGE(OFFSET($H$3,0,0,'Données projet'!$E$13+1,1))</f>
        <v>353.37479213497227</v>
      </c>
      <c r="CZ46" s="59">
        <f t="shared" si="42"/>
        <v>345.4750813433123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10.477519810616354</v>
      </c>
      <c r="DG46" s="21">
        <f>EXP(-LN(2)/25)*DG45+(1-EXP(-LN(2)/25))/(LN(2)/25)*Calculateur!DB46*Calculateur!DD46*VLOOKUP('Données projet'!$B$13,Paramètres!$A$1:$I$89,3,0)*0.475*44/12</f>
        <v>16.148712234600755</v>
      </c>
      <c r="DH46" s="21">
        <f>EXP(-LN(2)/2)*DH45+(1-EXP(-LN(2)/2))/(LN(2)/2)*DB46*DE46*VLOOKUP('Données projet'!$B$13,Paramètres!$A$1:$I$89,3,0)*0.475*44/12</f>
        <v>2.8208235869121925</v>
      </c>
      <c r="DI46" s="22">
        <f t="shared" si="15"/>
        <v>29.447055632129299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10.110000000000001</v>
      </c>
      <c r="DO46" s="12">
        <f>IF('Données projet'!$A$166&gt;35,DO45+DN46-DW45,IF(A46&lt;'Données projet'!$A$166,$DL$205^A46,IF(A46='Données projet'!$A$166,'Données projet'!$B$166,DO45+DN46-DW45)))</f>
        <v>137.56000000000012</v>
      </c>
      <c r="DP46" s="17">
        <f>DO46*VLOOKUP('Données projet'!$B$14,Paramètres!$A$1:$I$89,3,0)*VLOOKUP('Données projet'!$B$14,Paramètres!$A$1:$I$89,5,0)</f>
        <v>124.4642880000001</v>
      </c>
      <c r="DQ46" s="13">
        <f t="shared" si="43"/>
        <v>32.713997336243899</v>
      </c>
      <c r="DR46" s="20">
        <f t="shared" si="16"/>
        <v>273.75218029395825</v>
      </c>
      <c r="DS46" s="59">
        <f t="shared" si="17"/>
        <v>567.08551362729156</v>
      </c>
      <c r="DT46" s="59">
        <f ca="1">AVERAGE(OFFSET($DS$3,0,0,'Données projet'!$E$14+1,1))-AVERAGE(OFFSET($H$3,0,0,'Données projet'!$E$14+1,1))</f>
        <v>635.71275911100679</v>
      </c>
      <c r="DU46" s="59">
        <f t="shared" si="44"/>
        <v>281.7776857269169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14.837515347717295</v>
      </c>
      <c r="EC46" s="21">
        <f>EXP(-LN(2)/2)*EC45+(1-EXP(-LN(2)/2))/(LN(2)/2)*DW46*DZ46*VLOOKUP('Données projet'!$B$14,Paramètres!$A$1:$I$89,3,0)*0.475*44/12</f>
        <v>5.3737749829900485</v>
      </c>
      <c r="ED46" s="22">
        <f t="shared" si="18"/>
        <v>20.211290330707342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10.110000000000001</v>
      </c>
      <c r="EJ46" s="12">
        <f>IF('Données projet'!$A$192&gt;35,EJ45+EI46-ER45,IF(A46&lt;'Données projet'!$A$192,$EG$205^A46,IF(A46='Données projet'!$A$192,'Données projet'!$B$192,EJ45+EI46-ER45)))</f>
        <v>137.56000000000012</v>
      </c>
      <c r="EK46" s="17">
        <f>EJ46*VLOOKUP('Données projet'!$B$15,Paramètres!$A$1:$I$89,3,0)*VLOOKUP('Données projet'!$B$15,Paramètres!$A$1:$I$89,5,0)</f>
        <v>92.275248000000076</v>
      </c>
      <c r="EL46" s="13">
        <f t="shared" si="45"/>
        <v>25.113160150449875</v>
      </c>
      <c r="EM46" s="20">
        <f t="shared" si="19"/>
        <v>204.45147752870034</v>
      </c>
      <c r="EN46" s="59">
        <f t="shared" si="20"/>
        <v>497.78481086203362</v>
      </c>
      <c r="EO46" s="59">
        <f ca="1">AVERAGE(OFFSET($EN$3,0,0,'Données projet'!$E$15+1,1))-AVERAGE(OFFSET($H$3,0,0,'Données projet'!$E$15+1,1))</f>
        <v>482.99915419700773</v>
      </c>
      <c r="EP46" s="59">
        <f t="shared" si="46"/>
        <v>219.74157899604279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13.558419197052013</v>
      </c>
      <c r="EX46" s="21">
        <f>EXP(-LN(2)/2)*EX45+(1-EXP(-LN(2)/2))/(LN(2)/2)*ER46*EU46*VLOOKUP('Données projet'!$B$15,Paramètres!$A$1:$I$89,3,0)*0.475*44/12</f>
        <v>3.9840055908374494</v>
      </c>
      <c r="EY46" s="22">
        <f t="shared" si="21"/>
        <v>17.542424787889463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10.110000000000001</v>
      </c>
      <c r="FE46" s="12">
        <f>IF('Données projet'!$A$218&gt;35,FE45+FD46-FM45,IF(A46&lt;'Données projet'!$A$218,$FB$205^A46,IF(A46='Données projet'!$A$218,'Données projet'!$B$218,FE45+FD46-FM45)))</f>
        <v>137.56000000000012</v>
      </c>
      <c r="FF46" s="17">
        <f>FE46*VLOOKUP('Données projet'!$B$16,Paramètres!$A$1:$I$89,3,0)*VLOOKUP('Données projet'!$B$16,Paramètres!$A$1:$I$89,5,0)</f>
        <v>130.90209600000011</v>
      </c>
      <c r="FG46" s="13">
        <f t="shared" si="47"/>
        <v>34.204723264285022</v>
      </c>
      <c r="FH46" s="20">
        <f t="shared" si="22"/>
        <v>287.56104355196334</v>
      </c>
      <c r="FI46" s="59">
        <f t="shared" si="23"/>
        <v>580.89437688529665</v>
      </c>
      <c r="FJ46" s="59">
        <f ca="1">AVERAGE(OFFSET($FI$3,0,0,'Données projet'!$E$16+1,1))-AVERAGE(OFFSET($H$3,0,0,'Données projet'!$E$16+1,1))</f>
        <v>666.1523645983184</v>
      </c>
      <c r="FK46" s="59">
        <f t="shared" si="48"/>
        <v>294.13851344047526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15.604973038116469</v>
      </c>
      <c r="FS46" s="21">
        <f>EXP(-LN(2)/2)*FS45+(1-EXP(-LN(2)/2))/(LN(2)/2)*FM46*FP46*VLOOKUP('Données projet'!$B$16,Paramètres!$A$1:$I$89,3,0)*0.475*44/12</f>
        <v>5.6517288614205663</v>
      </c>
      <c r="FT46" s="22">
        <f t="shared" si="24"/>
        <v>21.256701899537035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9.8000000000000007</v>
      </c>
      <c r="N47" s="13">
        <f>IF('Données projet'!$A$36&gt;35,N46+M47-V46,IF(A47&lt;'Données projet'!$A$36,$K$205^A47,IF(A47='Données projet'!$A$36,'Données projet'!$B$36,N46+M47-V46)))</f>
        <v>232.20000000000005</v>
      </c>
      <c r="O47" s="13">
        <f>N47*VLOOKUP('Données projet'!$B$9,Paramètres!$A$1:$I$89,3,0)*VLOOKUP('Données projet'!$B$9,Paramètres!$A$1:$I$89,5,0)</f>
        <v>170.24904000000004</v>
      </c>
      <c r="P47" s="13">
        <f t="shared" si="33"/>
        <v>43.145795507930117</v>
      </c>
      <c r="Q47" s="20">
        <f t="shared" si="53"/>
        <v>371.6626718429784</v>
      </c>
      <c r="R47" s="59">
        <f t="shared" si="0"/>
        <v>664.99600517631166</v>
      </c>
      <c r="S47" s="59">
        <f ca="1">AVERAGE(OFFSET($R$3,0,0,'Données projet'!$E$9+1,1))-AVERAGE(OFFSET($H$3,0,0,'Données projet'!$E$9+1,1))</f>
        <v>328.55631138162721</v>
      </c>
      <c r="T47" s="59">
        <f t="shared" si="34"/>
        <v>321.81422611044985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7.6802949975456718</v>
      </c>
      <c r="AA47" s="21">
        <f>EXP(-LN(2)/25)*AA46+(1-EXP(-LN(2)/25))/(LN(2)/25)*Calculateur!V47*Calculateur!X47*VLOOKUP('Données projet'!$B$9,Paramètres!$A$1:$I$89,3,0)*0.475*44/12</f>
        <v>11.744024905837666</v>
      </c>
      <c r="AB47" s="21">
        <f>EXP(-LN(2)/2)*AB46+(1-EXP(-LN(2)/2))/(LN(2)/2)*V47*Y47*VLOOKUP('Données projet'!$B$9,Paramètres!$A$1:$I$89,3,0)*0.475*44/12</f>
        <v>1.8381824290454682</v>
      </c>
      <c r="AC47" s="22">
        <f t="shared" si="3"/>
        <v>21.262502332428806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9.8000000000000007</v>
      </c>
      <c r="AI47" s="13">
        <f>IF('Données projet'!$A$62&gt;35,AI46+AH47-AQ46,IF(A47&lt;'Données projet'!$A$62,$AF$205^A47,IF(A47='Données projet'!$A$62,'Données projet'!$B$62,AI46+AH47-AQ46)))</f>
        <v>232.20000000000005</v>
      </c>
      <c r="AJ47" s="13">
        <f>AI47*VLOOKUP('Données projet'!$B$10,Paramètres!$A$1:$I$89,3,0)*VLOOKUP('Données projet'!$B$10,Paramètres!$A$1:$I$89,5,0)</f>
        <v>184.73832000000004</v>
      </c>
      <c r="AK47" s="13">
        <f t="shared" si="35"/>
        <v>46.374775595471988</v>
      </c>
      <c r="AL47" s="20">
        <f t="shared" si="4"/>
        <v>402.52197482878046</v>
      </c>
      <c r="AM47" s="59">
        <f t="shared" si="5"/>
        <v>695.85530816211372</v>
      </c>
      <c r="AN47" s="59">
        <f ca="1">AVERAGE(OFFSET($AM$3,0,0,'Données projet'!$E$10+1,1))-AVERAGE(OFFSET($H$3,0,0,'Données projet'!$E$10+1,1))</f>
        <v>353.37479213497227</v>
      </c>
      <c r="AO47" s="59">
        <f t="shared" si="36"/>
        <v>345.4750813433123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10.272062037786226</v>
      </c>
      <c r="AV47" s="21">
        <f>EXP(-LN(2)/25)*AV46+(1-EXP(-LN(2)/25))/(LN(2)/25)*Calculateur!AQ47*Calculateur!AS47*VLOOKUP('Données projet'!$B$10,Paramètres!$A$1:$I$89,3,0)*0.475*44/12</f>
        <v>15.70712484932173</v>
      </c>
      <c r="AW47" s="21">
        <f>EXP(-LN(2)/2)*AW46+(1-EXP(-LN(2)/2))/(LN(2)/2)*AQ47*AT47*VLOOKUP('Données projet'!$B$10,Paramètres!$A$1:$I$89,3,0)*0.475*44/12</f>
        <v>1.994623486836572</v>
      </c>
      <c r="AX47" s="21">
        <f t="shared" si="6"/>
        <v>27.973810373944531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9.8000000000000007</v>
      </c>
      <c r="BD47" s="12">
        <f>IF('Données projet'!$A$88&gt;35,BD46+BC47-BL46,IF(A47&lt;'Données projet'!$A$88,$BA$205^A47,IF(A47='Données projet'!$A$88,'Données projet'!$B$88,BD46+BC47-BL46)))</f>
        <v>232.20000000000005</v>
      </c>
      <c r="BE47" s="13">
        <f>BD47*VLOOKUP('Données projet'!$B$11,Paramètres!$A$1:$I$89,3,0)*VLOOKUP('Données projet'!$B$11,Paramètres!$A$1:$I$89,5,0)</f>
        <v>188.36064000000005</v>
      </c>
      <c r="BF47" s="13">
        <f t="shared" si="37"/>
        <v>47.177331040995796</v>
      </c>
      <c r="BG47" s="20">
        <f t="shared" si="7"/>
        <v>410.22863289640105</v>
      </c>
      <c r="BH47" s="59">
        <f t="shared" si="8"/>
        <v>703.56196622973437</v>
      </c>
      <c r="BI47" s="59">
        <f ca="1">AVERAGE(OFFSET($BH$3,0,0,'Données projet'!$E$11+1,1))-AVERAGE(OFFSET($H$3,0,0,'Données projet'!$E$11+1,1))</f>
        <v>359.57284550600366</v>
      </c>
      <c r="BJ47" s="59">
        <f t="shared" si="38"/>
        <v>351.38386928091433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10.47347501891929</v>
      </c>
      <c r="BQ47" s="21">
        <f>EXP(-LN(2)/25)*BQ46+(1-EXP(-LN(2)/25))/(LN(2)/25)*Calculateur!BL47*Calculateur!BN47*VLOOKUP('Données projet'!$B$11,Paramètres!$A$1:$I$89,3,0)*0.475*44/12</f>
        <v>16.015107689504514</v>
      </c>
      <c r="BR47" s="21">
        <f>EXP(-LN(2)/2)*BR46+(1-EXP(-LN(2)/2))/(LN(2)/2)*BL47*BO47*VLOOKUP('Données projet'!$B$11,Paramètres!$A$1:$I$89,3,0)*0.475*44/12</f>
        <v>2.033733751284347</v>
      </c>
      <c r="BS47" s="22">
        <f t="shared" si="9"/>
        <v>28.522316459708154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3.0769230769230775</v>
      </c>
      <c r="BY47" s="12">
        <f>IF('Données projet'!$A$114&gt;35,BY46+BX47-CG46,IF(A47&lt;'Données projet'!$A$114,$BV$205^A47,IF(A47='Données projet'!$A$114,'Données projet'!$B$114,BY46+BX47-CG46)))</f>
        <v>78.333333333333343</v>
      </c>
      <c r="BZ47" s="13">
        <f>BY47*VLOOKUP('Données projet'!$B$12,Paramètres!$A$1:$I$89,3,0)*VLOOKUP('Données projet'!$B$12,Paramètres!$A$1:$I$89,5,0)</f>
        <v>63.544000000000018</v>
      </c>
      <c r="CA47" s="13">
        <f t="shared" si="39"/>
        <v>18.06128879147133</v>
      </c>
      <c r="CB47" s="20">
        <f t="shared" si="10"/>
        <v>142.12921131181261</v>
      </c>
      <c r="CC47" s="59">
        <f t="shared" si="11"/>
        <v>435.46254464514595</v>
      </c>
      <c r="CD47" s="59">
        <f ca="1">AVERAGE(OFFSET($CC$3,0,0,'Données projet'!$E$12+1,1))-AVERAGE(OFFSET($H$3,0,0,'Données projet'!$E$12+1,1))</f>
        <v>159.4660488566085</v>
      </c>
      <c r="CE47" s="59">
        <f t="shared" si="40"/>
        <v>135.33030558297088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1.9818113029396083</v>
      </c>
      <c r="CM47" s="21">
        <f>EXP(-LN(2)/2)*CM46+(1-EXP(-LN(2)/2))/(LN(2)/2)*CG47*CJ47*VLOOKUP('Données projet'!$B$12,Paramètres!$A$1:$I$89,3,0)*0.475*44/12</f>
        <v>0.3711032942225414</v>
      </c>
      <c r="CN47" s="22">
        <f t="shared" si="12"/>
        <v>2.3529145971621497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9.8000000000000007</v>
      </c>
      <c r="CT47" s="12">
        <f>IF('Données projet'!$A$140&gt;35,CT46+CS47-DB46,IF(A47&lt;'Données projet'!$A$140,$CQ$205^A47,IF(A47='Données projet'!$A$140,'Données projet'!$B$140,CT46+CS47-DB46)))</f>
        <v>232.20000000000005</v>
      </c>
      <c r="CU47" s="17">
        <f>CT47*VLOOKUP('Données projet'!$B$13,Paramètres!$A$1:$I$89,3,0)*VLOOKUP('Données projet'!$B$13,Paramètres!$A$1:$I$89,5,0)</f>
        <v>184.73832000000004</v>
      </c>
      <c r="CV47" s="13">
        <f t="shared" si="41"/>
        <v>46.374775595471988</v>
      </c>
      <c r="CW47" s="20">
        <f t="shared" si="13"/>
        <v>402.52197482878046</v>
      </c>
      <c r="CX47" s="59">
        <f t="shared" si="14"/>
        <v>695.85530816211372</v>
      </c>
      <c r="CY47" s="59">
        <f ca="1">AVERAGE(OFFSET($CX$3,0,0,'Données projet'!$E$13+1,1))-AVERAGE(OFFSET($H$3,0,0,'Données projet'!$E$13+1,1))</f>
        <v>353.37479213497227</v>
      </c>
      <c r="CZ47" s="59">
        <f t="shared" si="42"/>
        <v>345.4750813433123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10.272062037786226</v>
      </c>
      <c r="DG47" s="21">
        <f>EXP(-LN(2)/25)*DG46+(1-EXP(-LN(2)/25))/(LN(2)/25)*Calculateur!DB47*Calculateur!DD47*VLOOKUP('Données projet'!$B$13,Paramètres!$A$1:$I$89,3,0)*0.475*44/12</f>
        <v>15.70712484932173</v>
      </c>
      <c r="DH47" s="21">
        <f>EXP(-LN(2)/2)*DH46+(1-EXP(-LN(2)/2))/(LN(2)/2)*DB47*DE47*VLOOKUP('Données projet'!$B$13,Paramètres!$A$1:$I$89,3,0)*0.475*44/12</f>
        <v>1.994623486836572</v>
      </c>
      <c r="DI47" s="22">
        <f t="shared" si="15"/>
        <v>27.973810373944531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10.110000000000001</v>
      </c>
      <c r="DO47" s="12">
        <f>IF('Données projet'!$A$166&gt;35,DO46+DN47-DW46,IF(A47&lt;'Données projet'!$A$166,$DL$205^A47,IF(A47='Données projet'!$A$166,'Données projet'!$B$166,DO46+DN47-DW46)))</f>
        <v>147.67000000000013</v>
      </c>
      <c r="DP47" s="17">
        <f>DO47*VLOOKUP('Données projet'!$B$14,Paramètres!$A$1:$I$89,3,0)*VLOOKUP('Données projet'!$B$14,Paramètres!$A$1:$I$89,5,0)</f>
        <v>133.61181600000012</v>
      </c>
      <c r="DQ47" s="13">
        <f t="shared" si="43"/>
        <v>34.829608206917271</v>
      </c>
      <c r="DR47" s="20">
        <f t="shared" si="16"/>
        <v>293.36881382704775</v>
      </c>
      <c r="DS47" s="59">
        <f t="shared" si="17"/>
        <v>586.70214716038106</v>
      </c>
      <c r="DT47" s="59">
        <f ca="1">AVERAGE(OFFSET($DS$3,0,0,'Données projet'!$E$14+1,1))-AVERAGE(OFFSET($H$3,0,0,'Données projet'!$E$14+1,1))</f>
        <v>635.71275911100679</v>
      </c>
      <c r="DU47" s="59">
        <f t="shared" si="44"/>
        <v>281.7776857269169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14.431782710262945</v>
      </c>
      <c r="EC47" s="21">
        <f>EXP(-LN(2)/2)*EC46+(1-EXP(-LN(2)/2))/(LN(2)/2)*DW47*DZ47*VLOOKUP('Données projet'!$B$14,Paramètres!$A$1:$I$89,3,0)*0.475*44/12</f>
        <v>3.7998327310428874</v>
      </c>
      <c r="ED47" s="22">
        <f t="shared" si="18"/>
        <v>18.231615441305834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10.110000000000001</v>
      </c>
      <c r="EJ47" s="12">
        <f>IF('Données projet'!$A$192&gt;35,EJ46+EI47-ER46,IF(A47&lt;'Données projet'!$A$192,$EG$205^A47,IF(A47='Données projet'!$A$192,'Données projet'!$B$192,EJ46+EI47-ER46)))</f>
        <v>147.67000000000013</v>
      </c>
      <c r="EK47" s="17">
        <f>EJ47*VLOOKUP('Données projet'!$B$15,Paramètres!$A$1:$I$89,3,0)*VLOOKUP('Données projet'!$B$15,Paramètres!$A$1:$I$89,5,0)</f>
        <v>99.057036000000096</v>
      </c>
      <c r="EL47" s="13">
        <f t="shared" si="45"/>
        <v>26.737225655657664</v>
      </c>
      <c r="EM47" s="20">
        <f t="shared" si="19"/>
        <v>219.09167238360394</v>
      </c>
      <c r="EN47" s="59">
        <f t="shared" si="20"/>
        <v>512.42500571693722</v>
      </c>
      <c r="EO47" s="59">
        <f ca="1">AVERAGE(OFFSET($EN$3,0,0,'Données projet'!$E$15+1,1))-AVERAGE(OFFSET($H$3,0,0,'Données projet'!$E$15+1,1))</f>
        <v>482.99915419700773</v>
      </c>
      <c r="EP47" s="59">
        <f t="shared" si="46"/>
        <v>219.74157899604279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13.187663511102349</v>
      </c>
      <c r="EX47" s="21">
        <f>EXP(-LN(2)/2)*EX46+(1-EXP(-LN(2)/2))/(LN(2)/2)*ER47*EU47*VLOOKUP('Données projet'!$B$15,Paramètres!$A$1:$I$89,3,0)*0.475*44/12</f>
        <v>2.8171173695662786</v>
      </c>
      <c r="EY47" s="22">
        <f t="shared" si="21"/>
        <v>16.004780880668626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10.110000000000001</v>
      </c>
      <c r="FE47" s="12">
        <f>IF('Données projet'!$A$218&gt;35,FE46+FD47-FM46,IF(A47&lt;'Données projet'!$A$218,$FB$205^A47,IF(A47='Données projet'!$A$218,'Données projet'!$B$218,FE46+FD47-FM46)))</f>
        <v>147.67000000000013</v>
      </c>
      <c r="FF47" s="17">
        <f>FE47*VLOOKUP('Données projet'!$B$16,Paramètres!$A$1:$I$89,3,0)*VLOOKUP('Données projet'!$B$16,Paramètres!$A$1:$I$89,5,0)</f>
        <v>140.52277200000015</v>
      </c>
      <c r="FG47" s="13">
        <f t="shared" si="47"/>
        <v>36.41673922866012</v>
      </c>
      <c r="FH47" s="20">
        <f t="shared" si="22"/>
        <v>308.16964872324991</v>
      </c>
      <c r="FI47" s="59">
        <f t="shared" si="23"/>
        <v>601.50298205658328</v>
      </c>
      <c r="FJ47" s="59">
        <f ca="1">AVERAGE(OFFSET($FI$3,0,0,'Données projet'!$E$16+1,1))-AVERAGE(OFFSET($H$3,0,0,'Données projet'!$E$16+1,1))</f>
        <v>666.1523645983184</v>
      </c>
      <c r="FK47" s="59">
        <f t="shared" si="48"/>
        <v>294.13851344047526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15.178254229759307</v>
      </c>
      <c r="FS47" s="21">
        <f>EXP(-LN(2)/2)*FS46+(1-EXP(-LN(2)/2))/(LN(2)/2)*FM47*FP47*VLOOKUP('Données projet'!$B$16,Paramètres!$A$1:$I$89,3,0)*0.475*44/12</f>
        <v>3.996375803338208</v>
      </c>
      <c r="FT47" s="22">
        <f t="shared" si="24"/>
        <v>19.174630033097515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242</v>
      </c>
      <c r="L48" s="12">
        <f>VLOOKUP(A48,'Données projet'!$A$35:$I$55,9,0)</f>
        <v>9.8000000000000007</v>
      </c>
      <c r="M48" s="12">
        <f t="array" ref="M48">INDEX(L:L,MIN(IF(ISNUMBER(L48:L244),ROW(L48:L244),"")))</f>
        <v>9.8000000000000007</v>
      </c>
      <c r="N48" s="13">
        <f>IF('Données projet'!$A$36&gt;35,N47+M48-V47,IF(A48&lt;'Données projet'!$A$36,$K$205^A48,IF(A48='Données projet'!$A$36,'Données projet'!$B$36,N47+M48-V47)))</f>
        <v>242.00000000000006</v>
      </c>
      <c r="O48" s="13">
        <f>N48*VLOOKUP('Données projet'!$B$9,Paramètres!$A$1:$I$89,3,0)*VLOOKUP('Données projet'!$B$9,Paramètres!$A$1:$I$89,5,0)</f>
        <v>177.43440000000004</v>
      </c>
      <c r="P48" s="13">
        <f t="shared" si="33"/>
        <v>44.750911401641211</v>
      </c>
      <c r="Q48" s="20">
        <f t="shared" si="53"/>
        <v>386.97275069119183</v>
      </c>
      <c r="R48" s="59">
        <f t="shared" si="0"/>
        <v>680.30608402452515</v>
      </c>
      <c r="S48" s="59">
        <f ca="1">AVERAGE(OFFSET($R$3,0,0,'Données projet'!$E$9+1,1))-AVERAGE(OFFSET($H$3,0,0,'Données projet'!$E$9+1,1))</f>
        <v>328.55631138162721</v>
      </c>
      <c r="T48" s="59">
        <f t="shared" si="34"/>
        <v>321.81422611044985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24</v>
      </c>
      <c r="W48" s="16">
        <f>IF(ISNA(VLOOKUP(A48,'Données projet'!$A$35:$I$55,5,0)),0%,VLOOKUP(A48,'Données projet'!$A$35:$I$55,5,0)*VLOOKUP('Données projet'!$B$9,Paramètres!$A$1:$I$89,7,0))</f>
        <v>0.1075</v>
      </c>
      <c r="X48" s="16">
        <f>IF(ISNA(VLOOKUP(A48,'Données projet'!$A$35:$I$55,6,0)),0%,VLOOKUP(A48,'Données projet'!$A$35:$I$55,6,0)*VLOOKUP('Données projet'!$B$9,Paramètres!$A$1:$I$89,7,0))</f>
        <v>0.1075</v>
      </c>
      <c r="Y48" s="16">
        <f>IF(ISNA(VLOOKUP(A48,'Données projet'!$A$35:$I$55,7,0)),0%,VLOOKUP(A48,'Données projet'!$A$35:$I$55,7,0))</f>
        <v>0.25</v>
      </c>
      <c r="Z48" s="21">
        <f>EXP(-LN(2)/35)*Z47+(1-EXP(-LN(2)/35))/(LN(2)/35)*V48*W48*VLOOKUP('Données projet'!$B$9,Paramètres!$A$1:$I$89,3,0)*0.475*44/12</f>
        <v>9.6208587734269742</v>
      </c>
      <c r="AA48" s="21">
        <f>EXP(-LN(2)/25)*AA47+(1-EXP(-LN(2)/25))/(LN(2)/25)*Calculateur!V48*Calculateur!X48*VLOOKUP('Données projet'!$B$9,Paramètres!$A$1:$I$89,3,0)*0.475*44/12</f>
        <v>13.505819871648317</v>
      </c>
      <c r="AB48" s="21">
        <f>EXP(-LN(2)/2)*AB47+(1-EXP(-LN(2)/2))/(LN(2)/2)*V48*Y48*VLOOKUP('Données projet'!$B$9,Paramètres!$A$1:$I$89,3,0)*0.475*44/12</f>
        <v>5.4505548633680334</v>
      </c>
      <c r="AC48" s="22">
        <f t="shared" si="3"/>
        <v>28.577233508443324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242</v>
      </c>
      <c r="AG48" s="12">
        <f>VLOOKUP(A48,'Données projet'!$A$61:$I$81,9,0)</f>
        <v>9.8000000000000007</v>
      </c>
      <c r="AH48" s="12">
        <f t="array" ref="AH48">INDEX(AG:AG,MIN(IF(ISNUMBER(AG48:AG244),ROW(AG48:AG244),"")))</f>
        <v>9.8000000000000007</v>
      </c>
      <c r="AI48" s="13">
        <f>IF('Données projet'!$A$62&gt;35,AI47+AH48-AQ47,IF(A48&lt;'Données projet'!$A$62,$AF$205^A48,IF(A48='Données projet'!$A$62,'Données projet'!$B$62,AI47+AH48-AQ47)))</f>
        <v>242.00000000000006</v>
      </c>
      <c r="AJ48" s="13">
        <f>AI48*VLOOKUP('Données projet'!$B$10,Paramètres!$A$1:$I$89,3,0)*VLOOKUP('Données projet'!$B$10,Paramètres!$A$1:$I$89,5,0)</f>
        <v>192.53520000000006</v>
      </c>
      <c r="AK48" s="13">
        <f t="shared" si="35"/>
        <v>48.100016456123079</v>
      </c>
      <c r="AL48" s="20">
        <f t="shared" si="4"/>
        <v>419.10633532774779</v>
      </c>
      <c r="AM48" s="59">
        <f t="shared" si="5"/>
        <v>712.4396686610811</v>
      </c>
      <c r="AN48" s="59">
        <f ca="1">AVERAGE(OFFSET($AM$3,0,0,'Données projet'!$E$10+1,1))-AVERAGE(OFFSET($H$3,0,0,'Données projet'!$E$10+1,1))</f>
        <v>353.37479213497227</v>
      </c>
      <c r="AO48" s="59">
        <f t="shared" si="36"/>
        <v>345.4750813433123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24</v>
      </c>
      <c r="AR48" s="16">
        <f>IF(ISNA(VLOOKUP(A48,'Données projet'!$A$61:$I$81,5,0)),0%,VLOOKUP(A48,'Données projet'!$A$61:$I$81,5,0)*VLOOKUP('Données projet'!$B$10,Paramètres!$A$1:$I$89,7,0))</f>
        <v>0.13250000000000001</v>
      </c>
      <c r="AS48" s="16">
        <f>IF(ISNA(VLOOKUP(A48,'Données projet'!$A$61:$I$81,6,0)),0%,VLOOKUP(A48,'Données projet'!$A$61:$I$81,6,0)*VLOOKUP('Données projet'!$B$10,Paramètres!$A$1:$I$89,7,0))</f>
        <v>0.13250000000000001</v>
      </c>
      <c r="AT48" s="16">
        <f>IF(ISNA(VLOOKUP(A48,'Données projet'!$A$61:$I$81,7,0)),0%,VLOOKUP(A48,'Données projet'!$A$61:$I$81,7,0))</f>
        <v>0.25</v>
      </c>
      <c r="AU48" s="21">
        <f>EXP(-LN(2)/35)*AU47+(1-EXP(-LN(2)/35))/(LN(2)/35)*AQ48*AR48*VLOOKUP('Données projet'!$B$10,Paramètres!$A$1:$I$89,3,0)*0.475*44/12</f>
        <v>12.867482070545831</v>
      </c>
      <c r="AV48" s="21">
        <f>EXP(-LN(2)/25)*AV47+(1-EXP(-LN(2)/25))/(LN(2)/25)*Calculateur!AQ48*Calculateur!AS48*VLOOKUP('Données projet'!$B$10,Paramètres!$A$1:$I$89,3,0)*0.475*44/12</f>
        <v>18.063449338478677</v>
      </c>
      <c r="AW48" s="21">
        <f>EXP(-LN(2)/2)*AW47+(1-EXP(-LN(2)/2))/(LN(2)/2)*AQ48*AT48*VLOOKUP('Données projet'!$B$10,Paramètres!$A$1:$I$89,3,0)*0.475*44/12</f>
        <v>5.914431873016377</v>
      </c>
      <c r="AX48" s="21">
        <f t="shared" si="6"/>
        <v>36.845363282040886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242</v>
      </c>
      <c r="BB48" s="12">
        <f>VLOOKUP(A48,'Données projet'!$A$87:$I$107,9,0)</f>
        <v>9.8000000000000007</v>
      </c>
      <c r="BC48" s="12">
        <f t="array" ref="BC48">INDEX(BB:BB,MIN(IF(ISNUMBER(BB48:BB244),ROW(BB48:BB244),"")))</f>
        <v>9.8000000000000007</v>
      </c>
      <c r="BD48" s="12">
        <f>IF('Données projet'!$A$88&gt;35,BD47+BC48-BL47,IF(A48&lt;'Données projet'!$A$88,$BA$205^A48,IF(A48='Données projet'!$A$88,'Données projet'!$B$88,BD47+BC48-BL47)))</f>
        <v>242.00000000000006</v>
      </c>
      <c r="BE48" s="13">
        <f>BD48*VLOOKUP('Données projet'!$B$11,Paramètres!$A$1:$I$89,3,0)*VLOOKUP('Données projet'!$B$11,Paramètres!$A$1:$I$89,5,0)</f>
        <v>196.31040000000004</v>
      </c>
      <c r="BF48" s="13">
        <f t="shared" si="37"/>
        <v>48.932428681108973</v>
      </c>
      <c r="BG48" s="20">
        <f t="shared" si="7"/>
        <v>427.13125995293154</v>
      </c>
      <c r="BH48" s="59">
        <f t="shared" si="8"/>
        <v>720.46459328626486</v>
      </c>
      <c r="BI48" s="59">
        <f ca="1">AVERAGE(OFFSET($BH$3,0,0,'Données projet'!$E$11+1,1))-AVERAGE(OFFSET($H$3,0,0,'Données projet'!$E$11+1,1))</f>
        <v>359.57284550600366</v>
      </c>
      <c r="BJ48" s="59">
        <f t="shared" si="38"/>
        <v>351.38386928091433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24</v>
      </c>
      <c r="BM48" s="16">
        <f>IF(ISNA(VLOOKUP(A48,'Données projet'!$A$87:$I$107,5,0)),0%,VLOOKUP(A48,'Données projet'!$A$87:$I$107,5,0)*VLOOKUP('Données projet'!$B$11,Paramètres!$A$1:$I$89,7,0))</f>
        <v>0.13250000000000001</v>
      </c>
      <c r="BN48" s="16">
        <f>IF(ISNA(VLOOKUP(A48,'Données projet'!$A$87:$I$107,6,0)),0%,VLOOKUP(A48,'Données projet'!$A$87:$I$107,6,0)*VLOOKUP('Données projet'!$B$11,Paramètres!$A$1:$I$89,7,0))</f>
        <v>0.13250000000000001</v>
      </c>
      <c r="BO48" s="16">
        <f>IF(ISNA(VLOOKUP(A48,'Données projet'!$A$87:$I$107,7,0)),0%,VLOOKUP(A48,'Données projet'!$A$87:$I$107,7,0))</f>
        <v>0.25</v>
      </c>
      <c r="BP48" s="21">
        <f>EXP(-LN(2)/35)*BP47+(1-EXP(-LN(2)/35))/(LN(2)/35)*BL48*BM48*VLOOKUP('Données projet'!$B$11,Paramètres!$A$1:$I$89,3,0)*0.475*44/12</f>
        <v>13.119785640556533</v>
      </c>
      <c r="BQ48" s="21">
        <f>EXP(-LN(2)/25)*BQ47+(1-EXP(-LN(2)/25))/(LN(2)/25)*Calculateur!BL48*Calculateur!BN48*VLOOKUP('Données projet'!$B$11,Paramètres!$A$1:$I$89,3,0)*0.475*44/12</f>
        <v>18.417634619625321</v>
      </c>
      <c r="BR48" s="21">
        <f>EXP(-LN(2)/2)*BR47+(1-EXP(-LN(2)/2))/(LN(2)/2)*BL48*BO48*VLOOKUP('Données projet'!$B$11,Paramètres!$A$1:$I$89,3,0)*0.475*44/12</f>
        <v>6.0304011254284635</v>
      </c>
      <c r="BS48" s="22">
        <f t="shared" si="9"/>
        <v>37.567821385610316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81.410256410256409</v>
      </c>
      <c r="BW48" s="12">
        <f>VLOOKUP(A48,'Données projet'!$A$113:$I$133,9,0)</f>
        <v>3.0769230769230775</v>
      </c>
      <c r="BX48" s="12">
        <f t="array" ref="BX48">INDEX(BW:BW,MIN(IF(ISNUMBER(BW48:BW244),ROW(BW48:BW244),"")))</f>
        <v>3.0769230769230775</v>
      </c>
      <c r="BY48" s="12">
        <f>IF('Données projet'!$A$114&gt;35,BY47+BX48-CG47,IF(A48&lt;'Données projet'!$A$114,$BV$205^A48,IF(A48='Données projet'!$A$114,'Données projet'!$B$114,BY47+BX48-CG47)))</f>
        <v>81.410256410256423</v>
      </c>
      <c r="BZ48" s="13">
        <f>BY48*VLOOKUP('Données projet'!$B$12,Paramètres!$A$1:$I$89,3,0)*VLOOKUP('Données projet'!$B$12,Paramètres!$A$1:$I$89,5,0)</f>
        <v>66.04000000000002</v>
      </c>
      <c r="CA48" s="13">
        <f t="shared" si="39"/>
        <v>18.686741897950633</v>
      </c>
      <c r="CB48" s="20">
        <f t="shared" si="10"/>
        <v>147.56574213893074</v>
      </c>
      <c r="CC48" s="59">
        <f t="shared" si="11"/>
        <v>440.89907547226403</v>
      </c>
      <c r="CD48" s="59">
        <f ca="1">AVERAGE(OFFSET($CC$3,0,0,'Données projet'!$E$12+1,1))-AVERAGE(OFFSET($H$3,0,0,'Données projet'!$E$12+1,1))</f>
        <v>159.4660488566085</v>
      </c>
      <c r="CE48" s="59">
        <f t="shared" si="40"/>
        <v>135.33030558297088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7.0512820512820511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0.1075</v>
      </c>
      <c r="CJ48" s="16">
        <f>IF(ISNA(VLOOKUP(A48,'Données projet'!$A$113:$I$133,7,0)),0%,VLOOKUP(A48,'Données projet'!$A$113:$I$133,7,0))</f>
        <v>0.25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2.6046958555500215</v>
      </c>
      <c r="CM48" s="21">
        <f>EXP(-LN(2)/2)*CM47+(1-EXP(-LN(2)/2))/(LN(2)/2)*CG48*CJ48*VLOOKUP('Données projet'!$B$12,Paramètres!$A$1:$I$89,3,0)*0.475*44/12</f>
        <v>1.611653143751131</v>
      </c>
      <c r="CN48" s="22">
        <f t="shared" si="12"/>
        <v>4.216348999301152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242</v>
      </c>
      <c r="CR48" s="12">
        <f>VLOOKUP(A48,'Données projet'!$A$139:$I$159,9,0)</f>
        <v>9.8000000000000007</v>
      </c>
      <c r="CS48" s="12">
        <f t="array" ref="CS48">INDEX(CR:CR,MIN(IF(ISNUMBER(CR48:CR244),ROW(CR48:CR244),"")))</f>
        <v>9.8000000000000007</v>
      </c>
      <c r="CT48" s="12">
        <f>IF('Données projet'!$A$140&gt;35,CT47+CS48-DB47,IF(A48&lt;'Données projet'!$A$140,$CQ$205^A48,IF(A48='Données projet'!$A$140,'Données projet'!$B$140,CT47+CS48-DB47)))</f>
        <v>242.00000000000006</v>
      </c>
      <c r="CU48" s="17">
        <f>CT48*VLOOKUP('Données projet'!$B$13,Paramètres!$A$1:$I$89,3,0)*VLOOKUP('Données projet'!$B$13,Paramètres!$A$1:$I$89,5,0)</f>
        <v>192.53520000000006</v>
      </c>
      <c r="CV48" s="13">
        <f t="shared" si="41"/>
        <v>48.100016456123079</v>
      </c>
      <c r="CW48" s="20">
        <f t="shared" si="13"/>
        <v>419.10633532774779</v>
      </c>
      <c r="CX48" s="59">
        <f t="shared" si="14"/>
        <v>712.4396686610811</v>
      </c>
      <c r="CY48" s="59">
        <f ca="1">AVERAGE(OFFSET($CX$3,0,0,'Données projet'!$E$13+1,1))-AVERAGE(OFFSET($H$3,0,0,'Données projet'!$E$13+1,1))</f>
        <v>353.37479213497227</v>
      </c>
      <c r="CZ48" s="59">
        <f t="shared" si="42"/>
        <v>345.4750813433123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24</v>
      </c>
      <c r="DC48" s="16">
        <f>IF(ISNA(VLOOKUP(A48,'Données projet'!$A$139:$I$159,5,0)),0%,VLOOKUP(A48,'Données projet'!$A$139:$I$159,5,0)*VLOOKUP('Données projet'!$B$13,Paramètres!$A$1:$I$89,7,0))</f>
        <v>0.13250000000000001</v>
      </c>
      <c r="DD48" s="16">
        <f>IF(ISNA(VLOOKUP(A48,'Données projet'!$A$139:$I$159,6,0)),0%,VLOOKUP(A48,'Données projet'!$A$139:$I$159,6,0)*VLOOKUP('Données projet'!$B$13,Paramètres!$A$1:$I$89,7,0))</f>
        <v>0.13250000000000001</v>
      </c>
      <c r="DE48" s="16">
        <f>IF(ISNA(VLOOKUP(A48,'Données projet'!$A$139:$I$159,7,0)),0%,VLOOKUP(A48,'Données projet'!$A$139:$I$159,7,0))</f>
        <v>0.25</v>
      </c>
      <c r="DF48" s="21">
        <f>EXP(-LN(2)/35)*DF47+(1-EXP(-LN(2)/35))/(LN(2)/35)*DB48*DC48*VLOOKUP('Données projet'!$B$13,Paramètres!$A$1:$I$89,3,0)*0.475*44/12</f>
        <v>12.867482070545831</v>
      </c>
      <c r="DG48" s="21">
        <f>EXP(-LN(2)/25)*DG47+(1-EXP(-LN(2)/25))/(LN(2)/25)*Calculateur!DB48*Calculateur!DD48*VLOOKUP('Données projet'!$B$13,Paramètres!$A$1:$I$89,3,0)*0.475*44/12</f>
        <v>18.063449338478677</v>
      </c>
      <c r="DH48" s="21">
        <f>EXP(-LN(2)/2)*DH47+(1-EXP(-LN(2)/2))/(LN(2)/2)*DB48*DE48*VLOOKUP('Données projet'!$B$13,Paramètres!$A$1:$I$89,3,0)*0.475*44/12</f>
        <v>5.914431873016377</v>
      </c>
      <c r="DI48" s="22">
        <f t="shared" si="15"/>
        <v>36.845363282040886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10.110000000000001</v>
      </c>
      <c r="DO48" s="12">
        <f>IF('Données projet'!$A$166&gt;35,DO47+DN48-DW47,IF(A48&lt;'Données projet'!$A$166,$DL$205^A48,IF(A48='Données projet'!$A$166,'Données projet'!$B$166,DO47+DN48-DW47)))</f>
        <v>157.78000000000014</v>
      </c>
      <c r="DP48" s="17">
        <f>DO48*VLOOKUP('Données projet'!$B$14,Paramètres!$A$1:$I$89,3,0)*VLOOKUP('Données projet'!$B$14,Paramètres!$A$1:$I$89,5,0)</f>
        <v>142.75934400000011</v>
      </c>
      <c r="DQ48" s="13">
        <f t="shared" si="43"/>
        <v>36.928412609012774</v>
      </c>
      <c r="DR48" s="20">
        <f t="shared" si="16"/>
        <v>312.95617609403075</v>
      </c>
      <c r="DS48" s="59">
        <f t="shared" si="17"/>
        <v>606.28950942736401</v>
      </c>
      <c r="DT48" s="59">
        <f ca="1">AVERAGE(OFFSET($DS$3,0,0,'Données projet'!$E$14+1,1))-AVERAGE(OFFSET($H$3,0,0,'Données projet'!$E$14+1,1))</f>
        <v>635.71275911100679</v>
      </c>
      <c r="DU48" s="59">
        <f t="shared" si="44"/>
        <v>281.7776857269169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14.037144853116336</v>
      </c>
      <c r="EC48" s="21">
        <f>EXP(-LN(2)/2)*EC47+(1-EXP(-LN(2)/2))/(LN(2)/2)*DW48*DZ48*VLOOKUP('Données projet'!$B$14,Paramètres!$A$1:$I$89,3,0)*0.475*44/12</f>
        <v>2.6868874914950243</v>
      </c>
      <c r="ED48" s="22">
        <f t="shared" si="18"/>
        <v>16.724032344611359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10.110000000000001</v>
      </c>
      <c r="EJ48" s="12">
        <f>IF('Données projet'!$A$192&gt;35,EJ47+EI48-ER47,IF(A48&lt;'Données projet'!$A$192,$EG$205^A48,IF(A48='Données projet'!$A$192,'Données projet'!$B$192,EJ47+EI48-ER47)))</f>
        <v>157.78000000000014</v>
      </c>
      <c r="EK48" s="17">
        <f>EJ48*VLOOKUP('Données projet'!$B$15,Paramètres!$A$1:$I$89,3,0)*VLOOKUP('Données projet'!$B$15,Paramètres!$A$1:$I$89,5,0)</f>
        <v>105.83882400000009</v>
      </c>
      <c r="EL48" s="13">
        <f t="shared" si="45"/>
        <v>28.348389541640429</v>
      </c>
      <c r="EM48" s="20">
        <f t="shared" si="19"/>
        <v>233.70939691835724</v>
      </c>
      <c r="EN48" s="59">
        <f t="shared" si="20"/>
        <v>527.0427302516905</v>
      </c>
      <c r="EO48" s="59">
        <f ca="1">AVERAGE(OFFSET($EN$3,0,0,'Données projet'!$E$15+1,1))-AVERAGE(OFFSET($H$3,0,0,'Données projet'!$E$15+1,1))</f>
        <v>482.99915419700773</v>
      </c>
      <c r="EP48" s="59">
        <f t="shared" si="46"/>
        <v>219.74157899604279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12.827046158882172</v>
      </c>
      <c r="EX48" s="21">
        <f>EXP(-LN(2)/2)*EX47+(1-EXP(-LN(2)/2))/(LN(2)/2)*ER48*EU48*VLOOKUP('Données projet'!$B$15,Paramètres!$A$1:$I$89,3,0)*0.475*44/12</f>
        <v>1.9920027954187249</v>
      </c>
      <c r="EY48" s="22">
        <f t="shared" si="21"/>
        <v>14.819048954300897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10.110000000000001</v>
      </c>
      <c r="FE48" s="12">
        <f>IF('Données projet'!$A$218&gt;35,FE47+FD48-FM47,IF(A48&lt;'Données projet'!$A$218,$FB$205^A48,IF(A48='Données projet'!$A$218,'Données projet'!$B$218,FE47+FD48-FM47)))</f>
        <v>157.78000000000014</v>
      </c>
      <c r="FF48" s="17">
        <f>FE48*VLOOKUP('Données projet'!$B$16,Paramètres!$A$1:$I$89,3,0)*VLOOKUP('Données projet'!$B$16,Paramètres!$A$1:$I$89,5,0)</f>
        <v>150.14344800000015</v>
      </c>
      <c r="FG48" s="13">
        <f t="shared" si="47"/>
        <v>38.611182879849288</v>
      </c>
      <c r="FH48" s="20">
        <f t="shared" si="22"/>
        <v>328.74764878240444</v>
      </c>
      <c r="FI48" s="59">
        <f t="shared" si="23"/>
        <v>622.0809821157377</v>
      </c>
      <c r="FJ48" s="59">
        <f ca="1">AVERAGE(OFFSET($FI$3,0,0,'Données projet'!$E$16+1,1))-AVERAGE(OFFSET($H$3,0,0,'Données projet'!$E$16+1,1))</f>
        <v>666.1523645983184</v>
      </c>
      <c r="FK48" s="59">
        <f t="shared" si="48"/>
        <v>294.13851344047526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14.76320406965684</v>
      </c>
      <c r="FS48" s="21">
        <f>EXP(-LN(2)/2)*FS47+(1-EXP(-LN(2)/2))/(LN(2)/2)*FM48*FP48*VLOOKUP('Données projet'!$B$16,Paramètres!$A$1:$I$89,3,0)*0.475*44/12</f>
        <v>2.8258644307102836</v>
      </c>
      <c r="FT48" s="22">
        <f t="shared" si="24"/>
        <v>17.589068500367123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8.6</v>
      </c>
      <c r="N49" s="13">
        <f>IF('Données projet'!$A$36&gt;35,N48+M49-V48,IF(A49&lt;'Données projet'!$A$36,$K$205^A49,IF(A49='Données projet'!$A$36,'Données projet'!$B$36,N48+M49-V48)))</f>
        <v>226.60000000000005</v>
      </c>
      <c r="O49" s="13">
        <f>N49*VLOOKUP('Données projet'!$B$9,Paramètres!$A$1:$I$89,3,0)*VLOOKUP('Données projet'!$B$9,Paramètres!$A$1:$I$89,5,0)</f>
        <v>166.14312000000004</v>
      </c>
      <c r="P49" s="13">
        <f t="shared" si="33"/>
        <v>42.225060429180481</v>
      </c>
      <c r="Q49" s="20">
        <f t="shared" si="53"/>
        <v>362.90791424748937</v>
      </c>
      <c r="R49" s="59">
        <f t="shared" si="0"/>
        <v>656.24124758082269</v>
      </c>
      <c r="S49" s="59">
        <f ca="1">AVERAGE(OFFSET($R$3,0,0,'Données projet'!$E$9+1,1))-AVERAGE(OFFSET($H$3,0,0,'Données projet'!$E$9+1,1))</f>
        <v>328.55631138162721</v>
      </c>
      <c r="T49" s="59">
        <f t="shared" si="34"/>
        <v>321.81422611044985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9.4321996010244913</v>
      </c>
      <c r="AA49" s="21">
        <f>EXP(-LN(2)/25)*AA48+(1-EXP(-LN(2)/25))/(LN(2)/25)*Calculateur!V49*Calculateur!X49*VLOOKUP('Données projet'!$B$9,Paramètres!$A$1:$I$89,3,0)*0.475*44/12</f>
        <v>13.136502517017895</v>
      </c>
      <c r="AB49" s="21">
        <f>EXP(-LN(2)/2)*AB48+(1-EXP(-LN(2)/2))/(LN(2)/2)*V49*Y49*VLOOKUP('Données projet'!$B$9,Paramètres!$A$1:$I$89,3,0)*0.475*44/12</f>
        <v>3.8541243051168528</v>
      </c>
      <c r="AC49" s="22">
        <f t="shared" si="3"/>
        <v>26.42282642315924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8.6</v>
      </c>
      <c r="AI49" s="13">
        <f>IF('Données projet'!$A$62&gt;35,AI48+AH49-AQ48,IF(A49&lt;'Données projet'!$A$62,$AF$205^A49,IF(A49='Données projet'!$A$62,'Données projet'!$B$62,AI48+AH49-AQ48)))</f>
        <v>226.60000000000005</v>
      </c>
      <c r="AJ49" s="13">
        <f>AI49*VLOOKUP('Données projet'!$B$10,Paramètres!$A$1:$I$89,3,0)*VLOOKUP('Données projet'!$B$10,Paramètres!$A$1:$I$89,5,0)</f>
        <v>180.28296000000006</v>
      </c>
      <c r="AK49" s="13">
        <f t="shared" si="35"/>
        <v>45.385133797071397</v>
      </c>
      <c r="AL49" s="20">
        <f t="shared" si="4"/>
        <v>393.03859669656612</v>
      </c>
      <c r="AM49" s="59">
        <f t="shared" si="5"/>
        <v>686.37193002989943</v>
      </c>
      <c r="AN49" s="59">
        <f ca="1">AVERAGE(OFFSET($AM$3,0,0,'Données projet'!$E$10+1,1))-AVERAGE(OFFSET($H$3,0,0,'Données projet'!$E$10+1,1))</f>
        <v>353.37479213497227</v>
      </c>
      <c r="AO49" s="59">
        <f t="shared" si="36"/>
        <v>345.4750813433123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12.615158595531527</v>
      </c>
      <c r="AV49" s="21">
        <f>EXP(-LN(2)/25)*AV48+(1-EXP(-LN(2)/25))/(LN(2)/25)*Calculateur!AQ49*Calculateur!AS49*VLOOKUP('Données projet'!$B$10,Paramètres!$A$1:$I$89,3,0)*0.475*44/12</f>
        <v>17.569503366402461</v>
      </c>
      <c r="AW49" s="21">
        <f>EXP(-LN(2)/2)*AW48+(1-EXP(-LN(2)/2))/(LN(2)/2)*AQ49*AT49*VLOOKUP('Données projet'!$B$10,Paramètres!$A$1:$I$89,3,0)*0.475*44/12</f>
        <v>4.182134884275734</v>
      </c>
      <c r="AX49" s="21">
        <f t="shared" si="6"/>
        <v>34.366796846209724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8.6</v>
      </c>
      <c r="BD49" s="12">
        <f>IF('Données projet'!$A$88&gt;35,BD48+BC49-BL48,IF(A49&lt;'Données projet'!$A$88,$BA$205^A49,IF(A49='Données projet'!$A$88,'Données projet'!$B$88,BD48+BC49-BL48)))</f>
        <v>226.60000000000005</v>
      </c>
      <c r="BE49" s="13">
        <f>BD49*VLOOKUP('Données projet'!$B$11,Paramètres!$A$1:$I$89,3,0)*VLOOKUP('Données projet'!$B$11,Paramètres!$A$1:$I$89,5,0)</f>
        <v>183.81792000000007</v>
      </c>
      <c r="BF49" s="13">
        <f t="shared" si="37"/>
        <v>46.170562638655326</v>
      </c>
      <c r="BG49" s="20">
        <f t="shared" si="7"/>
        <v>400.56327392899146</v>
      </c>
      <c r="BH49" s="59">
        <f t="shared" si="8"/>
        <v>693.89660726232478</v>
      </c>
      <c r="BI49" s="59">
        <f ca="1">AVERAGE(OFFSET($BH$3,0,0,'Données projet'!$E$11+1,1))-AVERAGE(OFFSET($H$3,0,0,'Données projet'!$E$11+1,1))</f>
        <v>359.57284550600366</v>
      </c>
      <c r="BJ49" s="59">
        <f t="shared" si="38"/>
        <v>351.38386928091433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12.8625146464243</v>
      </c>
      <c r="BQ49" s="21">
        <f>EXP(-LN(2)/25)*BQ48+(1-EXP(-LN(2)/25))/(LN(2)/25)*Calculateur!BL49*Calculateur!BN49*VLOOKUP('Données projet'!$B$11,Paramètres!$A$1:$I$89,3,0)*0.475*44/12</f>
        <v>17.914003432410357</v>
      </c>
      <c r="BR49" s="21">
        <f>EXP(-LN(2)/2)*BR48+(1-EXP(-LN(2)/2))/(LN(2)/2)*BL49*BO49*VLOOKUP('Données projet'!$B$11,Paramètres!$A$1:$I$89,3,0)*0.475*44/12</f>
        <v>4.2641375290654544</v>
      </c>
      <c r="BS49" s="22">
        <f t="shared" si="9"/>
        <v>35.040655607900106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2.9487179487179445</v>
      </c>
      <c r="BY49" s="12">
        <f>IF('Données projet'!$A$114&gt;35,BY48+BX49-CG48,IF(A49&lt;'Données projet'!$A$114,$BV$205^A49,IF(A49='Données projet'!$A$114,'Données projet'!$B$114,BY48+BX49-CG48)))</f>
        <v>77.307692307692321</v>
      </c>
      <c r="BZ49" s="13">
        <f>BY49*VLOOKUP('Données projet'!$B$12,Paramètres!$A$1:$I$89,3,0)*VLOOKUP('Données projet'!$B$12,Paramètres!$A$1:$I$89,5,0)</f>
        <v>62.712000000000018</v>
      </c>
      <c r="CA49" s="13">
        <f t="shared" si="39"/>
        <v>17.85217356216183</v>
      </c>
      <c r="CB49" s="20">
        <f t="shared" si="10"/>
        <v>140.3159356207652</v>
      </c>
      <c r="CC49" s="59">
        <f t="shared" si="11"/>
        <v>433.64926895409849</v>
      </c>
      <c r="CD49" s="59">
        <f ca="1">AVERAGE(OFFSET($CC$3,0,0,'Données projet'!$E$12+1,1))-AVERAGE(OFFSET($H$3,0,0,'Données projet'!$E$12+1,1))</f>
        <v>159.4660488566085</v>
      </c>
      <c r="CE49" s="59">
        <f t="shared" si="40"/>
        <v>135.33030558297088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2.5334703104050043</v>
      </c>
      <c r="CM49" s="21">
        <f>EXP(-LN(2)/2)*CM48+(1-EXP(-LN(2)/2))/(LN(2)/2)*CG49*CJ49*VLOOKUP('Données projet'!$B$12,Paramètres!$A$1:$I$89,3,0)*0.475*44/12</f>
        <v>1.1396108668670424</v>
      </c>
      <c r="CN49" s="22">
        <f t="shared" si="12"/>
        <v>3.6730811772720466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8.6</v>
      </c>
      <c r="CT49" s="12">
        <f>IF('Données projet'!$A$140&gt;35,CT48+CS49-DB48,IF(A49&lt;'Données projet'!$A$140,$CQ$205^A49,IF(A49='Données projet'!$A$140,'Données projet'!$B$140,CT48+CS49-DB48)))</f>
        <v>226.60000000000005</v>
      </c>
      <c r="CU49" s="17">
        <f>CT49*VLOOKUP('Données projet'!$B$13,Paramètres!$A$1:$I$89,3,0)*VLOOKUP('Données projet'!$B$13,Paramètres!$A$1:$I$89,5,0)</f>
        <v>180.28296000000006</v>
      </c>
      <c r="CV49" s="13">
        <f t="shared" si="41"/>
        <v>45.385133797071397</v>
      </c>
      <c r="CW49" s="20">
        <f t="shared" si="13"/>
        <v>393.03859669656612</v>
      </c>
      <c r="CX49" s="59">
        <f t="shared" si="14"/>
        <v>686.37193002989943</v>
      </c>
      <c r="CY49" s="59">
        <f ca="1">AVERAGE(OFFSET($CX$3,0,0,'Données projet'!$E$13+1,1))-AVERAGE(OFFSET($H$3,0,0,'Données projet'!$E$13+1,1))</f>
        <v>353.37479213497227</v>
      </c>
      <c r="CZ49" s="59">
        <f t="shared" si="42"/>
        <v>345.4750813433123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12.615158595531527</v>
      </c>
      <c r="DG49" s="21">
        <f>EXP(-LN(2)/25)*DG48+(1-EXP(-LN(2)/25))/(LN(2)/25)*Calculateur!DB49*Calculateur!DD49*VLOOKUP('Données projet'!$B$13,Paramètres!$A$1:$I$89,3,0)*0.475*44/12</f>
        <v>17.569503366402461</v>
      </c>
      <c r="DH49" s="21">
        <f>EXP(-LN(2)/2)*DH48+(1-EXP(-LN(2)/2))/(LN(2)/2)*DB49*DE49*VLOOKUP('Données projet'!$B$13,Paramètres!$A$1:$I$89,3,0)*0.475*44/12</f>
        <v>4.182134884275734</v>
      </c>
      <c r="DI49" s="22">
        <f t="shared" si="15"/>
        <v>34.366796846209724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10.110000000000001</v>
      </c>
      <c r="DO49" s="12">
        <f>IF('Données projet'!$A$166&gt;35,DO48+DN49-DW48,IF(A49&lt;'Données projet'!$A$166,$DL$205^A49,IF(A49='Données projet'!$A$166,'Données projet'!$B$166,DO48+DN49-DW48)))</f>
        <v>167.89000000000016</v>
      </c>
      <c r="DP49" s="17">
        <f>DO49*VLOOKUP('Données projet'!$B$14,Paramètres!$A$1:$I$89,3,0)*VLOOKUP('Données projet'!$B$14,Paramètres!$A$1:$I$89,5,0)</f>
        <v>151.90687200000013</v>
      </c>
      <c r="DQ49" s="13">
        <f t="shared" si="43"/>
        <v>39.011610015763097</v>
      </c>
      <c r="DR49" s="20">
        <f t="shared" si="16"/>
        <v>332.51635617745427</v>
      </c>
      <c r="DS49" s="59">
        <f t="shared" si="17"/>
        <v>625.84968951078758</v>
      </c>
      <c r="DT49" s="59">
        <f ca="1">AVERAGE(OFFSET($DS$3,0,0,'Données projet'!$E$14+1,1))-AVERAGE(OFFSET($H$3,0,0,'Données projet'!$E$14+1,1))</f>
        <v>635.71275911100679</v>
      </c>
      <c r="DU49" s="59">
        <f t="shared" si="44"/>
        <v>281.7776857269169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13.653298388926505</v>
      </c>
      <c r="EC49" s="21">
        <f>EXP(-LN(2)/2)*EC48+(1-EXP(-LN(2)/2))/(LN(2)/2)*DW49*DZ49*VLOOKUP('Données projet'!$B$14,Paramètres!$A$1:$I$89,3,0)*0.475*44/12</f>
        <v>1.8999163655214437</v>
      </c>
      <c r="ED49" s="22">
        <f t="shared" si="18"/>
        <v>15.553214754447948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10.110000000000001</v>
      </c>
      <c r="EJ49" s="12">
        <f>IF('Données projet'!$A$192&gt;35,EJ48+EI49-ER48,IF(A49&lt;'Données projet'!$A$192,$EG$205^A49,IF(A49='Données projet'!$A$192,'Données projet'!$B$192,EJ48+EI49-ER48)))</f>
        <v>167.89000000000016</v>
      </c>
      <c r="EK49" s="17">
        <f>EJ49*VLOOKUP('Données projet'!$B$15,Paramètres!$A$1:$I$89,3,0)*VLOOKUP('Données projet'!$B$15,Paramètres!$A$1:$I$89,5,0)</f>
        <v>112.62061200000012</v>
      </c>
      <c r="EL49" s="13">
        <f t="shared" si="45"/>
        <v>29.947572593561798</v>
      </c>
      <c r="EM49" s="20">
        <f t="shared" si="19"/>
        <v>248.30625483378697</v>
      </c>
      <c r="EN49" s="59">
        <f t="shared" si="20"/>
        <v>541.63958816712034</v>
      </c>
      <c r="EO49" s="59">
        <f ca="1">AVERAGE(OFFSET($EN$3,0,0,'Données projet'!$E$15+1,1))-AVERAGE(OFFSET($H$3,0,0,'Données projet'!$E$15+1,1))</f>
        <v>482.99915419700773</v>
      </c>
      <c r="EP49" s="59">
        <f t="shared" si="46"/>
        <v>219.74157899604279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12.476289907122499</v>
      </c>
      <c r="EX49" s="21">
        <f>EXP(-LN(2)/2)*EX48+(1-EXP(-LN(2)/2))/(LN(2)/2)*ER49*EU49*VLOOKUP('Données projet'!$B$15,Paramètres!$A$1:$I$89,3,0)*0.475*44/12</f>
        <v>1.4085586847831395</v>
      </c>
      <c r="EY49" s="22">
        <f t="shared" si="21"/>
        <v>13.884848591905639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10.110000000000001</v>
      </c>
      <c r="FE49" s="12">
        <f>IF('Données projet'!$A$218&gt;35,FE48+FD49-FM48,IF(A49&lt;'Données projet'!$A$218,$FB$205^A49,IF(A49='Données projet'!$A$218,'Données projet'!$B$218,FE48+FD49-FM48)))</f>
        <v>167.89000000000016</v>
      </c>
      <c r="FF49" s="17">
        <f>FE49*VLOOKUP('Données projet'!$B$16,Paramètres!$A$1:$I$89,3,0)*VLOOKUP('Données projet'!$B$16,Paramètres!$A$1:$I$89,5,0)</f>
        <v>159.76412400000015</v>
      </c>
      <c r="FG49" s="13">
        <f t="shared" si="47"/>
        <v>40.78930834921298</v>
      </c>
      <c r="FH49" s="20">
        <f t="shared" si="22"/>
        <v>349.29722800821287</v>
      </c>
      <c r="FI49" s="59">
        <f t="shared" si="23"/>
        <v>642.63056134154613</v>
      </c>
      <c r="FJ49" s="59">
        <f ca="1">AVERAGE(OFFSET($FI$3,0,0,'Données projet'!$E$16+1,1))-AVERAGE(OFFSET($H$3,0,0,'Données projet'!$E$16+1,1))</f>
        <v>666.1523645983184</v>
      </c>
      <c r="FK49" s="59">
        <f t="shared" si="48"/>
        <v>294.13851344047526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14.359503478008914</v>
      </c>
      <c r="FS49" s="21">
        <f>EXP(-LN(2)/2)*FS48+(1-EXP(-LN(2)/2))/(LN(2)/2)*FM49*FP49*VLOOKUP('Données projet'!$B$16,Paramètres!$A$1:$I$89,3,0)*0.475*44/12</f>
        <v>1.9981879016691044</v>
      </c>
      <c r="FT49" s="22">
        <f t="shared" si="24"/>
        <v>16.35769137967802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8.6</v>
      </c>
      <c r="N50" s="13">
        <f>IF('Données projet'!$A$36&gt;35,N49+M50-V49,IF(A50&lt;'Données projet'!$A$36,$K$205^A50,IF(A50='Données projet'!$A$36,'Données projet'!$B$36,N49+M50-V49)))</f>
        <v>235.20000000000005</v>
      </c>
      <c r="O50" s="13">
        <f>N50*VLOOKUP('Données projet'!$B$9,Paramètres!$A$1:$I$89,3,0)*VLOOKUP('Données projet'!$B$9,Paramètres!$A$1:$I$89,5,0)</f>
        <v>172.44864000000001</v>
      </c>
      <c r="P50" s="13">
        <f t="shared" si="33"/>
        <v>43.637980200453676</v>
      </c>
      <c r="Q50" s="20">
        <f t="shared" si="53"/>
        <v>376.35086351579019</v>
      </c>
      <c r="R50" s="59">
        <f t="shared" si="0"/>
        <v>669.68419684912351</v>
      </c>
      <c r="S50" s="59">
        <f ca="1">AVERAGE(OFFSET($R$3,0,0,'Données projet'!$E$9+1,1))-AVERAGE(OFFSET($H$3,0,0,'Données projet'!$E$9+1,1))</f>
        <v>328.55631138162721</v>
      </c>
      <c r="T50" s="59">
        <f t="shared" si="34"/>
        <v>321.81422611044985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9.2472399199220892</v>
      </c>
      <c r="AA50" s="21">
        <f>EXP(-LN(2)/25)*AA49+(1-EXP(-LN(2)/25))/(LN(2)/25)*Calculateur!V50*Calculateur!X50*VLOOKUP('Données projet'!$B$9,Paramètres!$A$1:$I$89,3,0)*0.475*44/12</f>
        <v>12.777284164871398</v>
      </c>
      <c r="AB50" s="21">
        <f>EXP(-LN(2)/2)*AB49+(1-EXP(-LN(2)/2))/(LN(2)/2)*V50*Y50*VLOOKUP('Données projet'!$B$9,Paramètres!$A$1:$I$89,3,0)*0.475*44/12</f>
        <v>2.7252774316840171</v>
      </c>
      <c r="AC50" s="22">
        <f t="shared" si="3"/>
        <v>24.749801516477504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8.6</v>
      </c>
      <c r="AI50" s="13">
        <f>IF('Données projet'!$A$62&gt;35,AI49+AH50-AQ49,IF(A50&lt;'Données projet'!$A$62,$AF$205^A50,IF(A50='Données projet'!$A$62,'Données projet'!$B$62,AI49+AH50-AQ49)))</f>
        <v>235.20000000000005</v>
      </c>
      <c r="AJ50" s="13">
        <f>AI50*VLOOKUP('Données projet'!$B$10,Paramètres!$A$1:$I$89,3,0)*VLOOKUP('Données projet'!$B$10,Paramètres!$A$1:$I$89,5,0)</f>
        <v>187.12512000000004</v>
      </c>
      <c r="AK50" s="13">
        <f t="shared" si="35"/>
        <v>46.903794805770545</v>
      </c>
      <c r="AL50" s="20">
        <f t="shared" si="4"/>
        <v>407.60035995338376</v>
      </c>
      <c r="AM50" s="59">
        <f t="shared" si="5"/>
        <v>700.93369328671702</v>
      </c>
      <c r="AN50" s="59">
        <f ca="1">AVERAGE(OFFSET($AM$3,0,0,'Données projet'!$E$10+1,1))-AVERAGE(OFFSET($H$3,0,0,'Données projet'!$E$10+1,1))</f>
        <v>353.37479213497227</v>
      </c>
      <c r="AO50" s="59">
        <f t="shared" si="36"/>
        <v>345.4750813433123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12.36778302996013</v>
      </c>
      <c r="AV50" s="21">
        <f>EXP(-LN(2)/25)*AV49+(1-EXP(-LN(2)/25))/(LN(2)/25)*Calculateur!AQ50*Calculateur!AS50*VLOOKUP('Données projet'!$B$10,Paramètres!$A$1:$I$89,3,0)*0.475*44/12</f>
        <v>17.089064372908158</v>
      </c>
      <c r="AW50" s="21">
        <f>EXP(-LN(2)/2)*AW49+(1-EXP(-LN(2)/2))/(LN(2)/2)*AQ50*AT50*VLOOKUP('Données projet'!$B$10,Paramètres!$A$1:$I$89,3,0)*0.475*44/12</f>
        <v>2.9572159365081889</v>
      </c>
      <c r="AX50" s="21">
        <f t="shared" si="6"/>
        <v>32.414063339376476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8.6</v>
      </c>
      <c r="BD50" s="12">
        <f>IF('Données projet'!$A$88&gt;35,BD49+BC50-BL49,IF(A50&lt;'Données projet'!$A$88,$BA$205^A50,IF(A50='Données projet'!$A$88,'Données projet'!$B$88,BD49+BC50-BL49)))</f>
        <v>235.20000000000005</v>
      </c>
      <c r="BE50" s="13">
        <f>BD50*VLOOKUP('Données projet'!$B$11,Paramètres!$A$1:$I$89,3,0)*VLOOKUP('Données projet'!$B$11,Paramètres!$A$1:$I$89,5,0)</f>
        <v>190.79424000000006</v>
      </c>
      <c r="BF50" s="13">
        <f t="shared" si="37"/>
        <v>47.715505384501149</v>
      </c>
      <c r="BG50" s="20">
        <f t="shared" si="7"/>
        <v>415.40447321133956</v>
      </c>
      <c r="BH50" s="59">
        <f t="shared" si="8"/>
        <v>708.73780654467282</v>
      </c>
      <c r="BI50" s="59">
        <f ca="1">AVERAGE(OFFSET($BH$3,0,0,'Données projet'!$E$11+1,1))-AVERAGE(OFFSET($H$3,0,0,'Données projet'!$E$11+1,1))</f>
        <v>359.57284550600366</v>
      </c>
      <c r="BJ50" s="59">
        <f t="shared" si="38"/>
        <v>351.38386928091433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12.61028857956719</v>
      </c>
      <c r="BQ50" s="21">
        <f>EXP(-LN(2)/25)*BQ49+(1-EXP(-LN(2)/25))/(LN(2)/25)*Calculateur!BL50*Calculateur!BN50*VLOOKUP('Données projet'!$B$11,Paramètres!$A$1:$I$89,3,0)*0.475*44/12</f>
        <v>17.424144066494598</v>
      </c>
      <c r="BR50" s="21">
        <f>EXP(-LN(2)/2)*BR49+(1-EXP(-LN(2)/2))/(LN(2)/2)*BL50*BO50*VLOOKUP('Données projet'!$B$11,Paramètres!$A$1:$I$89,3,0)*0.475*44/12</f>
        <v>3.0152005627142318</v>
      </c>
      <c r="BS50" s="22">
        <f t="shared" si="9"/>
        <v>33.049633208776022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2.9487179487179445</v>
      </c>
      <c r="BY50" s="12">
        <f>IF('Données projet'!$A$114&gt;35,BY49+BX50-CG49,IF(A50&lt;'Données projet'!$A$114,$BV$205^A50,IF(A50='Données projet'!$A$114,'Données projet'!$B$114,BY49+BX50-CG49)))</f>
        <v>80.256410256410263</v>
      </c>
      <c r="BZ50" s="13">
        <f>BY50*VLOOKUP('Données projet'!$B$12,Paramètres!$A$1:$I$89,3,0)*VLOOKUP('Données projet'!$B$12,Paramètres!$A$1:$I$89,5,0)</f>
        <v>65.104000000000013</v>
      </c>
      <c r="CA50" s="13">
        <f t="shared" si="39"/>
        <v>18.452525080925881</v>
      </c>
      <c r="CB50" s="20">
        <f t="shared" si="10"/>
        <v>145.52761451594594</v>
      </c>
      <c r="CC50" s="59">
        <f t="shared" si="11"/>
        <v>438.86094784927923</v>
      </c>
      <c r="CD50" s="59">
        <f ca="1">AVERAGE(OFFSET($CC$3,0,0,'Données projet'!$E$12+1,1))-AVERAGE(OFFSET($H$3,0,0,'Données projet'!$E$12+1,1))</f>
        <v>159.4660488566085</v>
      </c>
      <c r="CE50" s="59">
        <f t="shared" si="40"/>
        <v>135.33030558297088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2.4641924315375663</v>
      </c>
      <c r="CM50" s="21">
        <f>EXP(-LN(2)/2)*CM49+(1-EXP(-LN(2)/2))/(LN(2)/2)*CG50*CJ50*VLOOKUP('Données projet'!$B$12,Paramètres!$A$1:$I$89,3,0)*0.475*44/12</f>
        <v>0.8058265718755655</v>
      </c>
      <c r="CN50" s="22">
        <f t="shared" si="12"/>
        <v>3.2700190034131316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8.6</v>
      </c>
      <c r="CT50" s="12">
        <f>IF('Données projet'!$A$140&gt;35,CT49+CS50-DB49,IF(A50&lt;'Données projet'!$A$140,$CQ$205^A50,IF(A50='Données projet'!$A$140,'Données projet'!$B$140,CT49+CS50-DB49)))</f>
        <v>235.20000000000005</v>
      </c>
      <c r="CU50" s="17">
        <f>CT50*VLOOKUP('Données projet'!$B$13,Paramètres!$A$1:$I$89,3,0)*VLOOKUP('Données projet'!$B$13,Paramètres!$A$1:$I$89,5,0)</f>
        <v>187.12512000000004</v>
      </c>
      <c r="CV50" s="13">
        <f t="shared" si="41"/>
        <v>46.903794805770545</v>
      </c>
      <c r="CW50" s="20">
        <f t="shared" si="13"/>
        <v>407.60035995338376</v>
      </c>
      <c r="CX50" s="59">
        <f t="shared" si="14"/>
        <v>700.93369328671702</v>
      </c>
      <c r="CY50" s="59">
        <f ca="1">AVERAGE(OFFSET($CX$3,0,0,'Données projet'!$E$13+1,1))-AVERAGE(OFFSET($H$3,0,0,'Données projet'!$E$13+1,1))</f>
        <v>353.37479213497227</v>
      </c>
      <c r="CZ50" s="59">
        <f t="shared" si="42"/>
        <v>345.4750813433123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12.36778302996013</v>
      </c>
      <c r="DG50" s="21">
        <f>EXP(-LN(2)/25)*DG49+(1-EXP(-LN(2)/25))/(LN(2)/25)*Calculateur!DB50*Calculateur!DD50*VLOOKUP('Données projet'!$B$13,Paramètres!$A$1:$I$89,3,0)*0.475*44/12</f>
        <v>17.089064372908158</v>
      </c>
      <c r="DH50" s="21">
        <f>EXP(-LN(2)/2)*DH49+(1-EXP(-LN(2)/2))/(LN(2)/2)*DB50*DE50*VLOOKUP('Données projet'!$B$13,Paramètres!$A$1:$I$89,3,0)*0.475*44/12</f>
        <v>2.9572159365081889</v>
      </c>
      <c r="DI50" s="22">
        <f t="shared" si="15"/>
        <v>32.414063339376476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10.110000000000001</v>
      </c>
      <c r="DO50" s="12">
        <f>IF('Données projet'!$A$166&gt;35,DO49+DN50-DW49,IF(A50&lt;'Données projet'!$A$166,$DL$205^A50,IF(A50='Données projet'!$A$166,'Données projet'!$B$166,DO49+DN50-DW49)))</f>
        <v>178.00000000000017</v>
      </c>
      <c r="DP50" s="17">
        <f>DO50*VLOOKUP('Données projet'!$B$14,Paramètres!$A$1:$I$89,3,0)*VLOOKUP('Données projet'!$B$14,Paramètres!$A$1:$I$89,5,0)</f>
        <v>161.05440000000016</v>
      </c>
      <c r="DQ50" s="13">
        <f t="shared" si="43"/>
        <v>41.080247278685491</v>
      </c>
      <c r="DR50" s="20">
        <f t="shared" si="16"/>
        <v>352.05117734371078</v>
      </c>
      <c r="DS50" s="59">
        <f t="shared" si="17"/>
        <v>645.38451067704409</v>
      </c>
      <c r="DT50" s="59">
        <f ca="1">AVERAGE(OFFSET($DS$3,0,0,'Données projet'!$E$14+1,1))-AVERAGE(OFFSET($H$3,0,0,'Données projet'!$E$14+1,1))</f>
        <v>635.71275911100679</v>
      </c>
      <c r="DU50" s="59">
        <f t="shared" si="44"/>
        <v>281.7776857269169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13.279948226485553</v>
      </c>
      <c r="EC50" s="21">
        <f>EXP(-LN(2)/2)*EC49+(1-EXP(-LN(2)/2))/(LN(2)/2)*DW50*DZ50*VLOOKUP('Données projet'!$B$14,Paramètres!$A$1:$I$89,3,0)*0.475*44/12</f>
        <v>1.3434437457475121</v>
      </c>
      <c r="ED50" s="22">
        <f t="shared" si="18"/>
        <v>14.623391972233065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10.110000000000001</v>
      </c>
      <c r="EJ50" s="12">
        <f>IF('Données projet'!$A$192&gt;35,EJ49+EI50-ER49,IF(A50&lt;'Données projet'!$A$192,$EG$205^A50,IF(A50='Données projet'!$A$192,'Données projet'!$B$192,EJ49+EI50-ER49)))</f>
        <v>178.00000000000017</v>
      </c>
      <c r="EK50" s="17">
        <f>EJ50*VLOOKUP('Données projet'!$B$15,Paramètres!$A$1:$I$89,3,0)*VLOOKUP('Données projet'!$B$15,Paramètres!$A$1:$I$89,5,0)</f>
        <v>119.40240000000013</v>
      </c>
      <c r="EL50" s="13">
        <f t="shared" si="45"/>
        <v>31.535578435312125</v>
      </c>
      <c r="EM50" s="20">
        <f t="shared" si="19"/>
        <v>262.88364577483549</v>
      </c>
      <c r="EN50" s="59">
        <f t="shared" si="20"/>
        <v>556.21697910816874</v>
      </c>
      <c r="EO50" s="59">
        <f ca="1">AVERAGE(OFFSET($EN$3,0,0,'Données projet'!$E$15+1,1))-AVERAGE(OFFSET($H$3,0,0,'Données projet'!$E$15+1,1))</f>
        <v>482.99915419700773</v>
      </c>
      <c r="EP50" s="59">
        <f t="shared" si="46"/>
        <v>219.74157899604279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12.135125103512664</v>
      </c>
      <c r="EX50" s="21">
        <f>EXP(-LN(2)/2)*EX49+(1-EXP(-LN(2)/2))/(LN(2)/2)*ER50*EU50*VLOOKUP('Données projet'!$B$15,Paramètres!$A$1:$I$89,3,0)*0.475*44/12</f>
        <v>0.99600139770936269</v>
      </c>
      <c r="EY50" s="22">
        <f t="shared" si="21"/>
        <v>13.131126501222026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10.110000000000001</v>
      </c>
      <c r="FE50" s="12">
        <f>IF('Données projet'!$A$218&gt;35,FE49+FD50-FM49,IF(A50&lt;'Données projet'!$A$218,$FB$205^A50,IF(A50='Données projet'!$A$218,'Données projet'!$B$218,FE49+FD50-FM49)))</f>
        <v>178.00000000000017</v>
      </c>
      <c r="FF50" s="17">
        <f>FE50*VLOOKUP('Données projet'!$B$16,Paramètres!$A$1:$I$89,3,0)*VLOOKUP('Données projet'!$B$16,Paramètres!$A$1:$I$89,5,0)</f>
        <v>169.38480000000015</v>
      </c>
      <c r="FG50" s="13">
        <f t="shared" si="47"/>
        <v>42.952210191662502</v>
      </c>
      <c r="FH50" s="20">
        <f t="shared" si="22"/>
        <v>369.82029275047915</v>
      </c>
      <c r="FI50" s="59">
        <f t="shared" si="23"/>
        <v>663.15362608381247</v>
      </c>
      <c r="FJ50" s="59">
        <f ca="1">AVERAGE(OFFSET($FI$3,0,0,'Données projet'!$E$16+1,1))-AVERAGE(OFFSET($H$3,0,0,'Données projet'!$E$16+1,1))</f>
        <v>666.1523645983184</v>
      </c>
      <c r="FK50" s="59">
        <f t="shared" si="48"/>
        <v>294.13851344047526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13.966842100269291</v>
      </c>
      <c r="FS50" s="21">
        <f>EXP(-LN(2)/2)*FS49+(1-EXP(-LN(2)/2))/(LN(2)/2)*FM50*FP50*VLOOKUP('Données projet'!$B$16,Paramètres!$A$1:$I$89,3,0)*0.475*44/12</f>
        <v>1.412932215355142</v>
      </c>
      <c r="FT50" s="22">
        <f t="shared" si="24"/>
        <v>15.379774315624433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8.6</v>
      </c>
      <c r="N51" s="13">
        <f>IF('Données projet'!$A$36&gt;35,N50+M51-V50,IF(A51&lt;'Données projet'!$A$36,$K$205^A51,IF(A51='Données projet'!$A$36,'Données projet'!$B$36,N50+M51-V50)))</f>
        <v>243.80000000000004</v>
      </c>
      <c r="O51" s="13">
        <f>N51*VLOOKUP('Données projet'!$B$9,Paramètres!$A$1:$I$89,3,0)*VLOOKUP('Données projet'!$B$9,Paramètres!$A$1:$I$89,5,0)</f>
        <v>178.75416000000001</v>
      </c>
      <c r="P51" s="13">
        <f t="shared" si="33"/>
        <v>45.044897778507469</v>
      </c>
      <c r="Q51" s="20">
        <f t="shared" si="53"/>
        <v>389.78335896423386</v>
      </c>
      <c r="R51" s="59">
        <f t="shared" si="0"/>
        <v>683.11669229756717</v>
      </c>
      <c r="S51" s="59">
        <f ca="1">AVERAGE(OFFSET($R$3,0,0,'Données projet'!$E$9+1,1))-AVERAGE(OFFSET($H$3,0,0,'Données projet'!$E$9+1,1))</f>
        <v>328.55631138162721</v>
      </c>
      <c r="T51" s="59">
        <f t="shared" si="34"/>
        <v>321.81422611044985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9.065907185351838</v>
      </c>
      <c r="AA51" s="21">
        <f>EXP(-LN(2)/25)*AA50+(1-EXP(-LN(2)/25))/(LN(2)/25)*Calculateur!V51*Calculateur!X51*VLOOKUP('Données projet'!$B$9,Paramètres!$A$1:$I$89,3,0)*0.475*44/12</f>
        <v>12.427888657454819</v>
      </c>
      <c r="AB51" s="21">
        <f>EXP(-LN(2)/2)*AB50+(1-EXP(-LN(2)/2))/(LN(2)/2)*V51*Y51*VLOOKUP('Données projet'!$B$9,Paramètres!$A$1:$I$89,3,0)*0.475*44/12</f>
        <v>1.9270621525584266</v>
      </c>
      <c r="AC51" s="22">
        <f t="shared" si="3"/>
        <v>23.420857995365083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8.6</v>
      </c>
      <c r="AI51" s="13">
        <f>IF('Données projet'!$A$62&gt;35,AI50+AH51-AQ50,IF(A51&lt;'Données projet'!$A$62,$AF$205^A51,IF(A51='Données projet'!$A$62,'Données projet'!$B$62,AI50+AH51-AQ50)))</f>
        <v>243.80000000000004</v>
      </c>
      <c r="AJ51" s="13">
        <f>AI51*VLOOKUP('Données projet'!$B$10,Paramètres!$A$1:$I$89,3,0)*VLOOKUP('Données projet'!$B$10,Paramètres!$A$1:$I$89,5,0)</f>
        <v>193.96728000000004</v>
      </c>
      <c r="AK51" s="13">
        <f t="shared" si="35"/>
        <v>48.41600442423902</v>
      </c>
      <c r="AL51" s="20">
        <f t="shared" si="4"/>
        <v>422.15088703888301</v>
      </c>
      <c r="AM51" s="59">
        <f t="shared" si="5"/>
        <v>715.48422037221633</v>
      </c>
      <c r="AN51" s="59">
        <f ca="1">AVERAGE(OFFSET($AM$3,0,0,'Données projet'!$E$10+1,1))-AVERAGE(OFFSET($H$3,0,0,'Données projet'!$E$10+1,1))</f>
        <v>353.37479213497227</v>
      </c>
      <c r="AO51" s="59">
        <f t="shared" si="36"/>
        <v>345.4750813433123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12.12525834834539</v>
      </c>
      <c r="AV51" s="21">
        <f>EXP(-LN(2)/25)*AV50+(1-EXP(-LN(2)/25))/(LN(2)/25)*Calculateur!AQ51*Calculateur!AS51*VLOOKUP('Données projet'!$B$10,Paramètres!$A$1:$I$89,3,0)*0.475*44/12</f>
        <v>16.621763008956147</v>
      </c>
      <c r="AW51" s="21">
        <f>EXP(-LN(2)/2)*AW50+(1-EXP(-LN(2)/2))/(LN(2)/2)*AQ51*AT51*VLOOKUP('Données projet'!$B$10,Paramètres!$A$1:$I$89,3,0)*0.475*44/12</f>
        <v>2.0910674421378674</v>
      </c>
      <c r="AX51" s="21">
        <f t="shared" si="6"/>
        <v>30.838088799439404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8.6</v>
      </c>
      <c r="BD51" s="12">
        <f>IF('Données projet'!$A$88&gt;35,BD50+BC51-BL50,IF(A51&lt;'Données projet'!$A$88,$BA$205^A51,IF(A51='Données projet'!$A$88,'Données projet'!$B$88,BD50+BC51-BL50)))</f>
        <v>243.80000000000004</v>
      </c>
      <c r="BE51" s="13">
        <f>BD51*VLOOKUP('Données projet'!$B$11,Paramètres!$A$1:$I$89,3,0)*VLOOKUP('Données projet'!$B$11,Paramètres!$A$1:$I$89,5,0)</f>
        <v>197.77056000000005</v>
      </c>
      <c r="BF51" s="13">
        <f t="shared" si="37"/>
        <v>49.253885093250254</v>
      </c>
      <c r="BG51" s="20">
        <f t="shared" si="7"/>
        <v>430.23424187074426</v>
      </c>
      <c r="BH51" s="59">
        <f t="shared" si="8"/>
        <v>723.56757520407757</v>
      </c>
      <c r="BI51" s="59">
        <f ca="1">AVERAGE(OFFSET($BH$3,0,0,'Données projet'!$E$11+1,1))-AVERAGE(OFFSET($H$3,0,0,'Données projet'!$E$11+1,1))</f>
        <v>359.57284550600366</v>
      </c>
      <c r="BJ51" s="59">
        <f t="shared" si="38"/>
        <v>351.38386928091433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12.363008512038435</v>
      </c>
      <c r="BQ51" s="21">
        <f>EXP(-LN(2)/25)*BQ50+(1-EXP(-LN(2)/25))/(LN(2)/25)*Calculateur!BL51*Calculateur!BN51*VLOOKUP('Données projet'!$B$11,Paramètres!$A$1:$I$89,3,0)*0.475*44/12</f>
        <v>16.947679930700392</v>
      </c>
      <c r="BR51" s="21">
        <f>EXP(-LN(2)/2)*BR50+(1-EXP(-LN(2)/2))/(LN(2)/2)*BL51*BO51*VLOOKUP('Données projet'!$B$11,Paramètres!$A$1:$I$89,3,0)*0.475*44/12</f>
        <v>2.1320687645327272</v>
      </c>
      <c r="BS51" s="22">
        <f t="shared" si="9"/>
        <v>31.442757207271555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2.9487179487179445</v>
      </c>
      <c r="BY51" s="12">
        <f>IF('Données projet'!$A$114&gt;35,BY50+BX51-CG50,IF(A51&lt;'Données projet'!$A$114,$BV$205^A51,IF(A51='Données projet'!$A$114,'Données projet'!$B$114,BY50+BX51-CG50)))</f>
        <v>83.205128205128204</v>
      </c>
      <c r="BZ51" s="13">
        <f>BY51*VLOOKUP('Données projet'!$B$12,Paramètres!$A$1:$I$89,3,0)*VLOOKUP('Données projet'!$B$12,Paramètres!$A$1:$I$89,5,0)</f>
        <v>67.495999999999995</v>
      </c>
      <c r="CA51" s="13">
        <f t="shared" si="39"/>
        <v>19.050313963345932</v>
      </c>
      <c r="CB51" s="20">
        <f t="shared" si="10"/>
        <v>150.73483015282747</v>
      </c>
      <c r="CC51" s="59">
        <f t="shared" si="11"/>
        <v>444.06816348616076</v>
      </c>
      <c r="CD51" s="59">
        <f ca="1">AVERAGE(OFFSET($CC$3,0,0,'Données projet'!$E$12+1,1))-AVERAGE(OFFSET($H$3,0,0,'Données projet'!$E$12+1,1))</f>
        <v>159.4660488566085</v>
      </c>
      <c r="CE51" s="59">
        <f t="shared" si="40"/>
        <v>135.33030558297088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2.3968089599109237</v>
      </c>
      <c r="CM51" s="21">
        <f>EXP(-LN(2)/2)*CM50+(1-EXP(-LN(2)/2))/(LN(2)/2)*CG51*CJ51*VLOOKUP('Données projet'!$B$12,Paramètres!$A$1:$I$89,3,0)*0.475*44/12</f>
        <v>0.56980543343352119</v>
      </c>
      <c r="CN51" s="22">
        <f t="shared" si="12"/>
        <v>2.9666143933444449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8.6</v>
      </c>
      <c r="CT51" s="12">
        <f>IF('Données projet'!$A$140&gt;35,CT50+CS51-DB50,IF(A51&lt;'Données projet'!$A$140,$CQ$205^A51,IF(A51='Données projet'!$A$140,'Données projet'!$B$140,CT50+CS51-DB50)))</f>
        <v>243.80000000000004</v>
      </c>
      <c r="CU51" s="17">
        <f>CT51*VLOOKUP('Données projet'!$B$13,Paramètres!$A$1:$I$89,3,0)*VLOOKUP('Données projet'!$B$13,Paramètres!$A$1:$I$89,5,0)</f>
        <v>193.96728000000004</v>
      </c>
      <c r="CV51" s="13">
        <f t="shared" si="41"/>
        <v>48.41600442423902</v>
      </c>
      <c r="CW51" s="20">
        <f t="shared" si="13"/>
        <v>422.15088703888301</v>
      </c>
      <c r="CX51" s="59">
        <f t="shared" si="14"/>
        <v>715.48422037221633</v>
      </c>
      <c r="CY51" s="59">
        <f ca="1">AVERAGE(OFFSET($CX$3,0,0,'Données projet'!$E$13+1,1))-AVERAGE(OFFSET($H$3,0,0,'Données projet'!$E$13+1,1))</f>
        <v>353.37479213497227</v>
      </c>
      <c r="CZ51" s="59">
        <f t="shared" si="42"/>
        <v>345.4750813433123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12.12525834834539</v>
      </c>
      <c r="DG51" s="21">
        <f>EXP(-LN(2)/25)*DG50+(1-EXP(-LN(2)/25))/(LN(2)/25)*Calculateur!DB51*Calculateur!DD51*VLOOKUP('Données projet'!$B$13,Paramètres!$A$1:$I$89,3,0)*0.475*44/12</f>
        <v>16.621763008956147</v>
      </c>
      <c r="DH51" s="21">
        <f>EXP(-LN(2)/2)*DH50+(1-EXP(-LN(2)/2))/(LN(2)/2)*DB51*DE51*VLOOKUP('Données projet'!$B$13,Paramètres!$A$1:$I$89,3,0)*0.475*44/12</f>
        <v>2.0910674421378674</v>
      </c>
      <c r="DI51" s="22">
        <f t="shared" si="15"/>
        <v>30.838088799439404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10.110000000000001</v>
      </c>
      <c r="DO51" s="12">
        <f>IF('Données projet'!$A$166&gt;35,DO50+DN51-DW50,IF(A51&lt;'Données projet'!$A$166,$DL$205^A51,IF(A51='Données projet'!$A$166,'Données projet'!$B$166,DO50+DN51-DW50)))</f>
        <v>188.11000000000018</v>
      </c>
      <c r="DP51" s="17">
        <f>DO51*VLOOKUP('Données projet'!$B$14,Paramètres!$A$1:$I$89,3,0)*VLOOKUP('Données projet'!$B$14,Paramètres!$A$1:$I$89,5,0)</f>
        <v>170.20192800000018</v>
      </c>
      <c r="DQ51" s="13">
        <f t="shared" si="43"/>
        <v>43.135245614983553</v>
      </c>
      <c r="DR51" s="20">
        <f t="shared" si="16"/>
        <v>371.56224404609662</v>
      </c>
      <c r="DS51" s="59">
        <f t="shared" si="17"/>
        <v>664.89557737942994</v>
      </c>
      <c r="DT51" s="59">
        <f ca="1">AVERAGE(OFFSET($DS$3,0,0,'Données projet'!$E$14+1,1))-AVERAGE(OFFSET($H$3,0,0,'Données projet'!$E$14+1,1))</f>
        <v>635.71275911100679</v>
      </c>
      <c r="DU51" s="59">
        <f t="shared" si="44"/>
        <v>281.7776857269169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12.916807343870181</v>
      </c>
      <c r="EC51" s="21">
        <f>EXP(-LN(2)/2)*EC50+(1-EXP(-LN(2)/2))/(LN(2)/2)*DW51*DZ51*VLOOKUP('Données projet'!$B$14,Paramètres!$A$1:$I$89,3,0)*0.475*44/12</f>
        <v>0.94995818276072186</v>
      </c>
      <c r="ED51" s="22">
        <f t="shared" si="18"/>
        <v>13.866765526630903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10.110000000000001</v>
      </c>
      <c r="EJ51" s="12">
        <f>IF('Données projet'!$A$192&gt;35,EJ50+EI51-ER50,IF(A51&lt;'Données projet'!$A$192,$EG$205^A51,IF(A51='Données projet'!$A$192,'Données projet'!$B$192,EJ50+EI51-ER50)))</f>
        <v>188.11000000000018</v>
      </c>
      <c r="EK51" s="17">
        <f>EJ51*VLOOKUP('Données projet'!$B$15,Paramètres!$A$1:$I$89,3,0)*VLOOKUP('Données projet'!$B$15,Paramètres!$A$1:$I$89,5,0)</f>
        <v>126.18418800000013</v>
      </c>
      <c r="EL51" s="13">
        <f t="shared" si="45"/>
        <v>33.113114246601818</v>
      </c>
      <c r="EM51" s="20">
        <f t="shared" si="19"/>
        <v>277.44280141283173</v>
      </c>
      <c r="EN51" s="59">
        <f t="shared" si="20"/>
        <v>570.7761347461651</v>
      </c>
      <c r="EO51" s="59">
        <f ca="1">AVERAGE(OFFSET($EN$3,0,0,'Données projet'!$E$15+1,1))-AVERAGE(OFFSET($H$3,0,0,'Données projet'!$E$15+1,1))</f>
        <v>482.99915419700773</v>
      </c>
      <c r="EP51" s="59">
        <f t="shared" si="46"/>
        <v>219.74157899604279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11.803289469398615</v>
      </c>
      <c r="EX51" s="21">
        <f>EXP(-LN(2)/2)*EX50+(1-EXP(-LN(2)/2))/(LN(2)/2)*ER51*EU51*VLOOKUP('Données projet'!$B$15,Paramètres!$A$1:$I$89,3,0)*0.475*44/12</f>
        <v>0.70427934239156986</v>
      </c>
      <c r="EY51" s="22">
        <f t="shared" si="21"/>
        <v>12.507568811790186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10.110000000000001</v>
      </c>
      <c r="FE51" s="12">
        <f>IF('Données projet'!$A$218&gt;35,FE50+FD51-FM50,IF(A51&lt;'Données projet'!$A$218,$FB$205^A51,IF(A51='Données projet'!$A$218,'Données projet'!$B$218,FE50+FD51-FM50)))</f>
        <v>188.11000000000018</v>
      </c>
      <c r="FF51" s="17">
        <f>FE51*VLOOKUP('Données projet'!$B$16,Paramètres!$A$1:$I$89,3,0)*VLOOKUP('Données projet'!$B$16,Paramètres!$A$1:$I$89,5,0)</f>
        <v>179.00547600000019</v>
      </c>
      <c r="FG51" s="13">
        <f t="shared" si="47"/>
        <v>45.100851602834986</v>
      </c>
      <c r="FH51" s="20">
        <f t="shared" si="22"/>
        <v>390.31852057493785</v>
      </c>
      <c r="FI51" s="59">
        <f t="shared" si="23"/>
        <v>683.65185390827116</v>
      </c>
      <c r="FJ51" s="59">
        <f ca="1">AVERAGE(OFFSET($FI$3,0,0,'Données projet'!$E$16+1,1))-AVERAGE(OFFSET($H$3,0,0,'Données projet'!$E$16+1,1))</f>
        <v>666.1523645983184</v>
      </c>
      <c r="FK51" s="59">
        <f t="shared" si="48"/>
        <v>294.13851344047526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13.584918068553122</v>
      </c>
      <c r="FS51" s="21">
        <f>EXP(-LN(2)/2)*FS50+(1-EXP(-LN(2)/2))/(LN(2)/2)*FM51*FP51*VLOOKUP('Données projet'!$B$16,Paramètres!$A$1:$I$89,3,0)*0.475*44/12</f>
        <v>0.99909395083455232</v>
      </c>
      <c r="FT51" s="22">
        <f t="shared" si="24"/>
        <v>14.584012019387675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8.6</v>
      </c>
      <c r="N52" s="13">
        <f>IF('Données projet'!$A$36&gt;35,N51+M52-V51,IF(A52&lt;'Données projet'!$A$36,$K$205^A52,IF(A52='Données projet'!$A$36,'Données projet'!$B$36,N51+M52-V51)))</f>
        <v>252.40000000000003</v>
      </c>
      <c r="O52" s="13">
        <f>N52*VLOOKUP('Données projet'!$B$9,Paramètres!$A$1:$I$89,3,0)*VLOOKUP('Données projet'!$B$9,Paramètres!$A$1:$I$89,5,0)</f>
        <v>185.05968000000004</v>
      </c>
      <c r="P52" s="13">
        <f t="shared" si="33"/>
        <v>46.44604914943055</v>
      </c>
      <c r="Q52" s="20">
        <f t="shared" si="53"/>
        <v>403.20581160192484</v>
      </c>
      <c r="R52" s="59">
        <f t="shared" si="0"/>
        <v>696.53914493525815</v>
      </c>
      <c r="S52" s="59">
        <f ca="1">AVERAGE(OFFSET($R$3,0,0,'Données projet'!$E$9+1,1))-AVERAGE(OFFSET($H$3,0,0,'Données projet'!$E$9+1,1))</f>
        <v>328.55631138162721</v>
      </c>
      <c r="T52" s="59">
        <f t="shared" si="34"/>
        <v>321.81422611044985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8.888130275104464</v>
      </c>
      <c r="AA52" s="21">
        <f>EXP(-LN(2)/25)*AA51+(1-EXP(-LN(2)/25))/(LN(2)/25)*Calculateur!V52*Calculateur!X52*VLOOKUP('Données projet'!$B$9,Paramètres!$A$1:$I$89,3,0)*0.475*44/12</f>
        <v>12.088047388562456</v>
      </c>
      <c r="AB52" s="21">
        <f>EXP(-LN(2)/2)*AB51+(1-EXP(-LN(2)/2))/(LN(2)/2)*V52*Y52*VLOOKUP('Données projet'!$B$9,Paramètres!$A$1:$I$89,3,0)*0.475*44/12</f>
        <v>1.3626387158420088</v>
      </c>
      <c r="AC52" s="22">
        <f t="shared" si="3"/>
        <v>22.338816379508931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8.6</v>
      </c>
      <c r="AI52" s="13">
        <f>IF('Données projet'!$A$62&gt;35,AI51+AH52-AQ51,IF(A52&lt;'Données projet'!$A$62,$AF$205^A52,IF(A52='Données projet'!$A$62,'Données projet'!$B$62,AI51+AH52-AQ51)))</f>
        <v>252.40000000000003</v>
      </c>
      <c r="AJ52" s="13">
        <f>AI52*VLOOKUP('Données projet'!$B$10,Paramètres!$A$1:$I$89,3,0)*VLOOKUP('Données projet'!$B$10,Paramètres!$A$1:$I$89,5,0)</f>
        <v>200.80944000000002</v>
      </c>
      <c r="AK52" s="13">
        <f t="shared" si="35"/>
        <v>49.922016299484312</v>
      </c>
      <c r="AL52" s="20">
        <f t="shared" si="4"/>
        <v>436.69061972160188</v>
      </c>
      <c r="AM52" s="59">
        <f t="shared" si="5"/>
        <v>730.02395305493519</v>
      </c>
      <c r="AN52" s="59">
        <f ca="1">AVERAGE(OFFSET($AM$3,0,0,'Données projet'!$E$10+1,1))-AVERAGE(OFFSET($H$3,0,0,'Données projet'!$E$10+1,1))</f>
        <v>353.37479213497227</v>
      </c>
      <c r="AO52" s="59">
        <f t="shared" si="36"/>
        <v>345.4750813433123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11.887489427811667</v>
      </c>
      <c r="AV52" s="21">
        <f>EXP(-LN(2)/25)*AV51+(1-EXP(-LN(2)/25))/(LN(2)/25)*Calculateur!AQ52*Calculateur!AS52*VLOOKUP('Données projet'!$B$10,Paramètres!$A$1:$I$89,3,0)*0.475*44/12</f>
        <v>16.167240025375715</v>
      </c>
      <c r="AW52" s="21">
        <f>EXP(-LN(2)/2)*AW51+(1-EXP(-LN(2)/2))/(LN(2)/2)*AQ52*AT52*VLOOKUP('Données projet'!$B$10,Paramètres!$A$1:$I$89,3,0)*0.475*44/12</f>
        <v>1.4786079682540947</v>
      </c>
      <c r="AX52" s="21">
        <f t="shared" si="6"/>
        <v>29.53333742144148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8.6</v>
      </c>
      <c r="BD52" s="12">
        <f>IF('Données projet'!$A$88&gt;35,BD51+BC52-BL51,IF(A52&lt;'Données projet'!$A$88,$BA$205^A52,IF(A52='Données projet'!$A$88,'Données projet'!$B$88,BD51+BC52-BL51)))</f>
        <v>252.40000000000003</v>
      </c>
      <c r="BE52" s="13">
        <f>BD52*VLOOKUP('Données projet'!$B$11,Paramètres!$A$1:$I$89,3,0)*VLOOKUP('Données projet'!$B$11,Paramètres!$A$1:$I$89,5,0)</f>
        <v>204.74688000000003</v>
      </c>
      <c r="BF52" s="13">
        <f t="shared" si="37"/>
        <v>50.785959801489987</v>
      </c>
      <c r="BG52" s="20">
        <f t="shared" si="7"/>
        <v>445.05302932092837</v>
      </c>
      <c r="BH52" s="59">
        <f t="shared" si="8"/>
        <v>738.38636265426169</v>
      </c>
      <c r="BI52" s="59">
        <f ca="1">AVERAGE(OFFSET($BH$3,0,0,'Données projet'!$E$11+1,1))-AVERAGE(OFFSET($H$3,0,0,'Données projet'!$E$11+1,1))</f>
        <v>359.57284550600366</v>
      </c>
      <c r="BJ52" s="59">
        <f t="shared" si="38"/>
        <v>351.38386928091433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12.120577455807974</v>
      </c>
      <c r="BQ52" s="21">
        <f>EXP(-LN(2)/25)*BQ51+(1-EXP(-LN(2)/25))/(LN(2)/25)*Calculateur!BL52*Calculateur!BN52*VLOOKUP('Données projet'!$B$11,Paramètres!$A$1:$I$89,3,0)*0.475*44/12</f>
        <v>16.484244731755638</v>
      </c>
      <c r="BR52" s="21">
        <f>EXP(-LN(2)/2)*BR51+(1-EXP(-LN(2)/2))/(LN(2)/2)*BL52*BO52*VLOOKUP('Données projet'!$B$11,Paramètres!$A$1:$I$89,3,0)*0.475*44/12</f>
        <v>1.5076002813571159</v>
      </c>
      <c r="BS52" s="22">
        <f t="shared" si="9"/>
        <v>30.11242246892073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2.9487179487179445</v>
      </c>
      <c r="BY52" s="12">
        <f>IF('Données projet'!$A$114&gt;35,BY51+BX52-CG51,IF(A52&lt;'Données projet'!$A$114,$BV$205^A52,IF(A52='Données projet'!$A$114,'Données projet'!$B$114,BY51+BX52-CG51)))</f>
        <v>86.153846153846146</v>
      </c>
      <c r="BZ52" s="13">
        <f>BY52*VLOOKUP('Données projet'!$B$12,Paramètres!$A$1:$I$89,3,0)*VLOOKUP('Données projet'!$B$12,Paramètres!$A$1:$I$89,5,0)</f>
        <v>69.887999999999991</v>
      </c>
      <c r="CA52" s="13">
        <f t="shared" si="39"/>
        <v>19.645641432461961</v>
      </c>
      <c r="CB52" s="20">
        <f t="shared" si="10"/>
        <v>155.93775882820455</v>
      </c>
      <c r="CC52" s="59">
        <f t="shared" si="11"/>
        <v>449.27109216153787</v>
      </c>
      <c r="CD52" s="59">
        <f ca="1">AVERAGE(OFFSET($CC$3,0,0,'Données projet'!$E$12+1,1))-AVERAGE(OFFSET($H$3,0,0,'Données projet'!$E$12+1,1))</f>
        <v>159.4660488566085</v>
      </c>
      <c r="CE52" s="59">
        <f t="shared" si="40"/>
        <v>135.33030558297088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2.3312680928594545</v>
      </c>
      <c r="CM52" s="21">
        <f>EXP(-LN(2)/2)*CM51+(1-EXP(-LN(2)/2))/(LN(2)/2)*CG52*CJ52*VLOOKUP('Données projet'!$B$12,Paramètres!$A$1:$I$89,3,0)*0.475*44/12</f>
        <v>0.40291328593778275</v>
      </c>
      <c r="CN52" s="22">
        <f t="shared" si="12"/>
        <v>2.7341813787972371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8.6</v>
      </c>
      <c r="CT52" s="12">
        <f>IF('Données projet'!$A$140&gt;35,CT51+CS52-DB51,IF(A52&lt;'Données projet'!$A$140,$CQ$205^A52,IF(A52='Données projet'!$A$140,'Données projet'!$B$140,CT51+CS52-DB51)))</f>
        <v>252.40000000000003</v>
      </c>
      <c r="CU52" s="17">
        <f>CT52*VLOOKUP('Données projet'!$B$13,Paramètres!$A$1:$I$89,3,0)*VLOOKUP('Données projet'!$B$13,Paramètres!$A$1:$I$89,5,0)</f>
        <v>200.80944000000002</v>
      </c>
      <c r="CV52" s="13">
        <f t="shared" si="41"/>
        <v>49.922016299484312</v>
      </c>
      <c r="CW52" s="20">
        <f t="shared" si="13"/>
        <v>436.69061972160188</v>
      </c>
      <c r="CX52" s="59">
        <f t="shared" si="14"/>
        <v>730.02395305493519</v>
      </c>
      <c r="CY52" s="59">
        <f ca="1">AVERAGE(OFFSET($CX$3,0,0,'Données projet'!$E$13+1,1))-AVERAGE(OFFSET($H$3,0,0,'Données projet'!$E$13+1,1))</f>
        <v>353.37479213497227</v>
      </c>
      <c r="CZ52" s="59">
        <f t="shared" si="42"/>
        <v>345.4750813433123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11.887489427811667</v>
      </c>
      <c r="DG52" s="21">
        <f>EXP(-LN(2)/25)*DG51+(1-EXP(-LN(2)/25))/(LN(2)/25)*Calculateur!DB52*Calculateur!DD52*VLOOKUP('Données projet'!$B$13,Paramètres!$A$1:$I$89,3,0)*0.475*44/12</f>
        <v>16.167240025375715</v>
      </c>
      <c r="DH52" s="21">
        <f>EXP(-LN(2)/2)*DH51+(1-EXP(-LN(2)/2))/(LN(2)/2)*DB52*DE52*VLOOKUP('Données projet'!$B$13,Paramètres!$A$1:$I$89,3,0)*0.475*44/12</f>
        <v>1.4786079682540947</v>
      </c>
      <c r="DI52" s="22">
        <f t="shared" si="15"/>
        <v>29.53333742144148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10.110000000000001</v>
      </c>
      <c r="DO52" s="12">
        <f>IF('Données projet'!$A$166&gt;35,DO51+DN52-DW51,IF(A52&lt;'Données projet'!$A$166,$DL$205^A52,IF(A52='Données projet'!$A$166,'Données projet'!$B$166,DO51+DN52-DW51)))</f>
        <v>198.2200000000002</v>
      </c>
      <c r="DP52" s="17">
        <f>DO52*VLOOKUP('Données projet'!$B$14,Paramètres!$A$1:$I$89,3,0)*VLOOKUP('Données projet'!$B$14,Paramètres!$A$1:$I$89,5,0)</f>
        <v>179.34945600000017</v>
      </c>
      <c r="DQ52" s="13">
        <f t="shared" si="43"/>
        <v>45.177421627371096</v>
      </c>
      <c r="DR52" s="20">
        <f t="shared" si="16"/>
        <v>391.0509785343383</v>
      </c>
      <c r="DS52" s="59">
        <f t="shared" si="17"/>
        <v>684.38431186767161</v>
      </c>
      <c r="DT52" s="59">
        <f ca="1">AVERAGE(OFFSET($DS$3,0,0,'Données projet'!$E$14+1,1))-AVERAGE(OFFSET($H$3,0,0,'Données projet'!$E$14+1,1))</f>
        <v>635.71275911100679</v>
      </c>
      <c r="DU52" s="59">
        <f t="shared" si="44"/>
        <v>281.7776857269169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12.563596567786675</v>
      </c>
      <c r="EC52" s="21">
        <f>EXP(-LN(2)/2)*EC51+(1-EXP(-LN(2)/2))/(LN(2)/2)*DW52*DZ52*VLOOKUP('Données projet'!$B$14,Paramètres!$A$1:$I$89,3,0)*0.475*44/12</f>
        <v>0.67172187287375607</v>
      </c>
      <c r="ED52" s="22">
        <f t="shared" si="18"/>
        <v>13.23531844066043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10.110000000000001</v>
      </c>
      <c r="EJ52" s="12">
        <f>IF('Données projet'!$A$192&gt;35,EJ51+EI52-ER51,IF(A52&lt;'Données projet'!$A$192,$EG$205^A52,IF(A52='Données projet'!$A$192,'Données projet'!$B$192,EJ51+EI52-ER51)))</f>
        <v>198.2200000000002</v>
      </c>
      <c r="EK52" s="17">
        <f>EJ52*VLOOKUP('Données projet'!$B$15,Paramètres!$A$1:$I$89,3,0)*VLOOKUP('Données projet'!$B$15,Paramètres!$A$1:$I$89,5,0)</f>
        <v>132.96597600000013</v>
      </c>
      <c r="EL52" s="13">
        <f t="shared" si="45"/>
        <v>34.680806898996707</v>
      </c>
      <c r="EM52" s="20">
        <f t="shared" si="19"/>
        <v>291.98481354908614</v>
      </c>
      <c r="EN52" s="59">
        <f t="shared" si="20"/>
        <v>585.31814688241946</v>
      </c>
      <c r="EO52" s="59">
        <f ca="1">AVERAGE(OFFSET($EN$3,0,0,'Données projet'!$E$15+1,1))-AVERAGE(OFFSET($H$3,0,0,'Données projet'!$E$15+1,1))</f>
        <v>482.99915419700773</v>
      </c>
      <c r="EP52" s="59">
        <f t="shared" si="46"/>
        <v>219.74157899604279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11.480527898149894</v>
      </c>
      <c r="EX52" s="21">
        <f>EXP(-LN(2)/2)*EX51+(1-EXP(-LN(2)/2))/(LN(2)/2)*ER52*EU52*VLOOKUP('Données projet'!$B$15,Paramètres!$A$1:$I$89,3,0)*0.475*44/12</f>
        <v>0.4980006988546814</v>
      </c>
      <c r="EY52" s="22">
        <f t="shared" si="21"/>
        <v>11.978528597004576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10.110000000000001</v>
      </c>
      <c r="FE52" s="12">
        <f>IF('Données projet'!$A$218&gt;35,FE51+FD52-FM51,IF(A52&lt;'Données projet'!$A$218,$FB$205^A52,IF(A52='Données projet'!$A$218,'Données projet'!$B$218,FE51+FD52-FM51)))</f>
        <v>198.2200000000002</v>
      </c>
      <c r="FF52" s="17">
        <f>FE52*VLOOKUP('Données projet'!$B$16,Paramètres!$A$1:$I$89,3,0)*VLOOKUP('Données projet'!$B$16,Paramètres!$A$1:$I$89,5,0)</f>
        <v>188.62615200000019</v>
      </c>
      <c r="FG52" s="13">
        <f t="shared" si="47"/>
        <v>47.236086396758743</v>
      </c>
      <c r="FH52" s="20">
        <f t="shared" si="22"/>
        <v>410.79339854102176</v>
      </c>
      <c r="FI52" s="59">
        <f t="shared" si="23"/>
        <v>704.12673187435507</v>
      </c>
      <c r="FJ52" s="59">
        <f ca="1">AVERAGE(OFFSET($FI$3,0,0,'Données projet'!$E$16+1,1))-AVERAGE(OFFSET($H$3,0,0,'Données projet'!$E$16+1,1))</f>
        <v>666.1523645983184</v>
      </c>
      <c r="FK52" s="59">
        <f t="shared" si="48"/>
        <v>294.13851344047526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13.213437769568745</v>
      </c>
      <c r="FS52" s="21">
        <f>EXP(-LN(2)/2)*FS51+(1-EXP(-LN(2)/2))/(LN(2)/2)*FM52*FP52*VLOOKUP('Données projet'!$B$16,Paramètres!$A$1:$I$89,3,0)*0.475*44/12</f>
        <v>0.70646610767757112</v>
      </c>
      <c r="FT52" s="22">
        <f t="shared" si="24"/>
        <v>13.919903877246316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261</v>
      </c>
      <c r="L53" s="12">
        <f>VLOOKUP(A53,'Données projet'!$A$35:$I$55,9,0)</f>
        <v>8.6</v>
      </c>
      <c r="M53" s="12">
        <f t="array" ref="M53">INDEX(L:L,MIN(IF(ISNUMBER(L53:L249),ROW(L53:L249),"")))</f>
        <v>8.6</v>
      </c>
      <c r="N53" s="13">
        <f>IF('Données projet'!$A$36&gt;35,N52+M53-V52,IF(A53&lt;'Données projet'!$A$36,$K$205^A53,IF(A53='Données projet'!$A$36,'Données projet'!$B$36,N52+M53-V52)))</f>
        <v>261.00000000000006</v>
      </c>
      <c r="O53" s="13">
        <f>N53*VLOOKUP('Données projet'!$B$9,Paramètres!$A$1:$I$89,3,0)*VLOOKUP('Données projet'!$B$9,Paramètres!$A$1:$I$89,5,0)</f>
        <v>191.36520000000004</v>
      </c>
      <c r="P53" s="13">
        <f t="shared" si="33"/>
        <v>47.841653305605021</v>
      </c>
      <c r="Q53" s="20">
        <f t="shared" si="53"/>
        <v>416.61860284059549</v>
      </c>
      <c r="R53" s="59">
        <f t="shared" si="0"/>
        <v>709.95193617392874</v>
      </c>
      <c r="S53" s="59">
        <f ca="1">AVERAGE(OFFSET($R$3,0,0,'Données projet'!$E$9+1,1))-AVERAGE(OFFSET($H$3,0,0,'Données projet'!$E$9+1,1))</f>
        <v>328.55631138162721</v>
      </c>
      <c r="T53" s="59">
        <f t="shared" si="34"/>
        <v>321.81422611044985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19</v>
      </c>
      <c r="W53" s="16">
        <f>IF(ISNA(VLOOKUP(A53,'Données projet'!$A$35:$I$55,5,0)),0%,VLOOKUP(A53,'Données projet'!$A$35:$I$55,5,0)*VLOOKUP('Données projet'!$B$9,Paramètres!$A$1:$I$89,7,0))</f>
        <v>0.1075</v>
      </c>
      <c r="X53" s="16">
        <f>IF(ISNA(VLOOKUP(A53,'Données projet'!$A$35:$I$55,6,0)),0%,VLOOKUP(A53,'Données projet'!$A$35:$I$55,6,0)*VLOOKUP('Données projet'!$B$9,Paramètres!$A$1:$I$89,7,0))</f>
        <v>0.1075</v>
      </c>
      <c r="Y53" s="16">
        <f>IF(ISNA(VLOOKUP(A53,'Données projet'!$A$35:$I$55,7,0)),0%,VLOOKUP(A53,'Données projet'!$A$35:$I$55,7,0))</f>
        <v>0.25</v>
      </c>
      <c r="Z53" s="21">
        <f>EXP(-LN(2)/35)*Z52+(1-EXP(-LN(2)/35))/(LN(2)/35)*V53*W53*VLOOKUP('Données projet'!$B$9,Paramètres!$A$1:$I$89,3,0)*0.475*44/12</f>
        <v>10.369348788677575</v>
      </c>
      <c r="AA53" s="21">
        <f>EXP(-LN(2)/25)*AA52+(1-EXP(-LN(2)/25))/(LN(2)/25)*Calculateur!V53*Calculateur!X53*VLOOKUP('Données projet'!$B$9,Paramètres!$A$1:$I$89,3,0)*0.475*44/12</f>
        <v>13.406490053064097</v>
      </c>
      <c r="AB53" s="21">
        <f>EXP(-LN(2)/2)*AB52+(1-EXP(-LN(2)/2))/(LN(2)/2)*V53*Y53*VLOOKUP('Données projet'!$B$9,Paramètres!$A$1:$I$89,3,0)*0.475*44/12</f>
        <v>4.2495522617753991</v>
      </c>
      <c r="AC53" s="22">
        <f t="shared" si="3"/>
        <v>28.025391103517073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261</v>
      </c>
      <c r="AG53" s="12">
        <f>VLOOKUP(A53,'Données projet'!$A$61:$I$81,9,0)</f>
        <v>8.6</v>
      </c>
      <c r="AH53" s="12">
        <f t="array" ref="AH53">INDEX(AG:AG,MIN(IF(ISNUMBER(AG53:AG249),ROW(AG53:AG249),"")))</f>
        <v>8.6</v>
      </c>
      <c r="AI53" s="13">
        <f>IF('Données projet'!$A$62&gt;35,AI52+AH53-AQ52,IF(A53&lt;'Données projet'!$A$62,$AF$205^A53,IF(A53='Données projet'!$A$62,'Données projet'!$B$62,AI52+AH53-AQ52)))</f>
        <v>261.00000000000006</v>
      </c>
      <c r="AJ53" s="13">
        <f>AI53*VLOOKUP('Données projet'!$B$10,Paramètres!$A$1:$I$89,3,0)*VLOOKUP('Données projet'!$B$10,Paramètres!$A$1:$I$89,5,0)</f>
        <v>207.65160000000006</v>
      </c>
      <c r="AK53" s="13">
        <f t="shared" si="35"/>
        <v>51.422065813018108</v>
      </c>
      <c r="AL53" s="20">
        <f t="shared" si="4"/>
        <v>451.2199679576733</v>
      </c>
      <c r="AM53" s="59">
        <f t="shared" si="5"/>
        <v>744.55330129100662</v>
      </c>
      <c r="AN53" s="59">
        <f ca="1">AVERAGE(OFFSET($AM$3,0,0,'Données projet'!$E$10+1,1))-AVERAGE(OFFSET($H$3,0,0,'Données projet'!$E$10+1,1))</f>
        <v>353.37479213497227</v>
      </c>
      <c r="AO53" s="59">
        <f t="shared" si="36"/>
        <v>345.4750813433123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19</v>
      </c>
      <c r="AR53" s="16">
        <f>IF(ISNA(VLOOKUP(A53,'Données projet'!$A$61:$I$81,5,0)),0%,VLOOKUP(A53,'Données projet'!$A$61:$I$81,5,0)*VLOOKUP('Données projet'!$B$10,Paramètres!$A$1:$I$89,7,0))</f>
        <v>0.13250000000000001</v>
      </c>
      <c r="AS53" s="16">
        <f>IF(ISNA(VLOOKUP(A53,'Données projet'!$A$61:$I$81,6,0)),0%,VLOOKUP(A53,'Données projet'!$A$61:$I$81,6,0)*VLOOKUP('Données projet'!$B$10,Paramètres!$A$1:$I$89,7,0))</f>
        <v>0.13250000000000001</v>
      </c>
      <c r="AT53" s="16">
        <f>IF(ISNA(VLOOKUP(A53,'Données projet'!$A$61:$I$81,7,0)),0%,VLOOKUP(A53,'Données projet'!$A$61:$I$81,7,0))</f>
        <v>0.25</v>
      </c>
      <c r="AU53" s="21">
        <f>EXP(-LN(2)/35)*AU52+(1-EXP(-LN(2)/35))/(LN(2)/35)*AQ53*AR53*VLOOKUP('Données projet'!$B$10,Paramètres!$A$1:$I$89,3,0)*0.475*44/12</f>
        <v>13.868555059770163</v>
      </c>
      <c r="AV53" s="21">
        <f>EXP(-LN(2)/25)*AV52+(1-EXP(-LN(2)/25))/(LN(2)/25)*Calculateur!AQ53*Calculateur!AS53*VLOOKUP('Données projet'!$B$10,Paramètres!$A$1:$I$89,3,0)*0.475*44/12</f>
        <v>17.93060000664634</v>
      </c>
      <c r="AW53" s="21">
        <f>EXP(-LN(2)/2)*AW52+(1-EXP(-LN(2)/2))/(LN(2)/2)*AQ53*AT53*VLOOKUP('Données projet'!$B$10,Paramètres!$A$1:$I$89,3,0)*0.475*44/12</f>
        <v>4.6112162840541568</v>
      </c>
      <c r="AX53" s="21">
        <f t="shared" si="6"/>
        <v>36.410371350470662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261</v>
      </c>
      <c r="BB53" s="12">
        <f>VLOOKUP(A53,'Données projet'!$A$87:$I$107,9,0)</f>
        <v>8.6</v>
      </c>
      <c r="BC53" s="12">
        <f t="array" ref="BC53">INDEX(BB:BB,MIN(IF(ISNUMBER(BB53:BB249),ROW(BB53:BB249),"")))</f>
        <v>8.6</v>
      </c>
      <c r="BD53" s="12">
        <f>IF('Données projet'!$A$88&gt;35,BD52+BC53-BL52,IF(A53&lt;'Données projet'!$A$88,$BA$205^A53,IF(A53='Données projet'!$A$88,'Données projet'!$B$88,BD52+BC53-BL52)))</f>
        <v>261.00000000000006</v>
      </c>
      <c r="BE53" s="13">
        <f>BD53*VLOOKUP('Données projet'!$B$11,Paramètres!$A$1:$I$89,3,0)*VLOOKUP('Données projet'!$B$11,Paramètres!$A$1:$I$89,5,0)</f>
        <v>211.72320000000005</v>
      </c>
      <c r="BF53" s="13">
        <f t="shared" si="37"/>
        <v>52.311968964212078</v>
      </c>
      <c r="BG53" s="20">
        <f t="shared" si="7"/>
        <v>459.86125261266943</v>
      </c>
      <c r="BH53" s="59">
        <f t="shared" si="8"/>
        <v>753.19458594600269</v>
      </c>
      <c r="BI53" s="59">
        <f ca="1">AVERAGE(OFFSET($BH$3,0,0,'Données projet'!$E$11+1,1))-AVERAGE(OFFSET($H$3,0,0,'Données projet'!$E$11+1,1))</f>
        <v>359.57284550600366</v>
      </c>
      <c r="BJ53" s="59">
        <f t="shared" si="38"/>
        <v>351.38386928091433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19</v>
      </c>
      <c r="BM53" s="16">
        <f>IF(ISNA(VLOOKUP(A53,'Données projet'!$A$87:$I$107,5,0)),0%,VLOOKUP(A53,'Données projet'!$A$87:$I$107,5,0)*VLOOKUP('Données projet'!$B$11,Paramètres!$A$1:$I$89,7,0))</f>
        <v>0.13250000000000001</v>
      </c>
      <c r="BN53" s="16">
        <f>IF(ISNA(VLOOKUP(A53,'Données projet'!$A$87:$I$107,6,0)),0%,VLOOKUP(A53,'Données projet'!$A$87:$I$107,6,0)*VLOOKUP('Données projet'!$B$11,Paramètres!$A$1:$I$89,7,0))</f>
        <v>0.13250000000000001</v>
      </c>
      <c r="BO53" s="16">
        <f>IF(ISNA(VLOOKUP(A53,'Données projet'!$A$87:$I$107,7,0)),0%,VLOOKUP(A53,'Données projet'!$A$87:$I$107,7,0))</f>
        <v>0.25</v>
      </c>
      <c r="BP53" s="21">
        <f>EXP(-LN(2)/35)*BP52+(1-EXP(-LN(2)/35))/(LN(2)/35)*BL53*BM53*VLOOKUP('Données projet'!$B$11,Paramètres!$A$1:$I$89,3,0)*0.475*44/12</f>
        <v>14.140487511922519</v>
      </c>
      <c r="BQ53" s="21">
        <f>EXP(-LN(2)/25)*BQ52+(1-EXP(-LN(2)/25))/(LN(2)/25)*Calculateur!BL53*Calculateur!BN53*VLOOKUP('Données projet'!$B$11,Paramètres!$A$1:$I$89,3,0)*0.475*44/12</f>
        <v>18.282180398933534</v>
      </c>
      <c r="BR53" s="21">
        <f>EXP(-LN(2)/2)*BR52+(1-EXP(-LN(2)/2))/(LN(2)/2)*BL53*BO53*VLOOKUP('Données projet'!$B$11,Paramètres!$A$1:$I$89,3,0)*0.475*44/12</f>
        <v>4.7016322896238458</v>
      </c>
      <c r="BS53" s="22">
        <f t="shared" si="9"/>
        <v>37.124300200479894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89.102564102564088</v>
      </c>
      <c r="BW53" s="12">
        <f>VLOOKUP(A53,'Données projet'!$A$113:$I$133,9,0)</f>
        <v>2.9487179487179445</v>
      </c>
      <c r="BX53" s="12">
        <f t="array" ref="BX53">INDEX(BW:BW,MIN(IF(ISNUMBER(BW53:BW249),ROW(BW53:BW249),"")))</f>
        <v>2.9487179487179445</v>
      </c>
      <c r="BY53" s="12">
        <f>IF('Données projet'!$A$114&gt;35,BY52+BX53-CG52,IF(A53&lt;'Données projet'!$A$114,$BV$205^A53,IF(A53='Données projet'!$A$114,'Données projet'!$B$114,BY52+BX53-CG52)))</f>
        <v>89.102564102564088</v>
      </c>
      <c r="BZ53" s="13">
        <f>BY53*VLOOKUP('Données projet'!$B$12,Paramètres!$A$1:$I$89,3,0)*VLOOKUP('Données projet'!$B$12,Paramètres!$A$1:$I$89,5,0)</f>
        <v>72.28</v>
      </c>
      <c r="CA53" s="13">
        <f t="shared" si="39"/>
        <v>20.238601389325545</v>
      </c>
      <c r="CB53" s="20">
        <f t="shared" si="10"/>
        <v>161.13656408640864</v>
      </c>
      <c r="CC53" s="59">
        <f t="shared" si="11"/>
        <v>454.46989741974198</v>
      </c>
      <c r="CD53" s="59">
        <f ca="1">AVERAGE(OFFSET($CC$3,0,0,'Données projet'!$E$12+1,1))-AVERAGE(OFFSET($H$3,0,0,'Données projet'!$E$12+1,1))</f>
        <v>159.4660488566085</v>
      </c>
      <c r="CE53" s="59">
        <f t="shared" si="40"/>
        <v>135.33030558297088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7.0512820512820511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0.1075</v>
      </c>
      <c r="CJ53" s="16">
        <f>IF(ISNA(VLOOKUP(A53,'Données projet'!$A$113:$I$133,7,0)),0%,VLOOKUP(A53,'Données projet'!$A$113:$I$133,7,0))</f>
        <v>0.25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2.9445967311723757</v>
      </c>
      <c r="CM53" s="21">
        <f>EXP(-LN(2)/2)*CM52+(1-EXP(-LN(2)/2))/(LN(2)/2)*CG53*CJ53*VLOOKUP('Données projet'!$B$12,Paramètres!$A$1:$I$89,3,0)*0.475*44/12</f>
        <v>1.634146204602466</v>
      </c>
      <c r="CN53" s="22">
        <f t="shared" si="12"/>
        <v>4.5787429357748417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261</v>
      </c>
      <c r="CR53" s="12">
        <f>VLOOKUP(A53,'Données projet'!$A$139:$I$159,9,0)</f>
        <v>8.6</v>
      </c>
      <c r="CS53" s="12">
        <f t="array" ref="CS53">INDEX(CR:CR,MIN(IF(ISNUMBER(CR53:CR249),ROW(CR53:CR249),"")))</f>
        <v>8.6</v>
      </c>
      <c r="CT53" s="12">
        <f>IF('Données projet'!$A$140&gt;35,CT52+CS53-DB52,IF(A53&lt;'Données projet'!$A$140,$CQ$205^A53,IF(A53='Données projet'!$A$140,'Données projet'!$B$140,CT52+CS53-DB52)))</f>
        <v>261.00000000000006</v>
      </c>
      <c r="CU53" s="17">
        <f>CT53*VLOOKUP('Données projet'!$B$13,Paramètres!$A$1:$I$89,3,0)*VLOOKUP('Données projet'!$B$13,Paramètres!$A$1:$I$89,5,0)</f>
        <v>207.65160000000006</v>
      </c>
      <c r="CV53" s="13">
        <f t="shared" si="41"/>
        <v>51.422065813018108</v>
      </c>
      <c r="CW53" s="20">
        <f t="shared" si="13"/>
        <v>451.2199679576733</v>
      </c>
      <c r="CX53" s="59">
        <f t="shared" si="14"/>
        <v>744.55330129100662</v>
      </c>
      <c r="CY53" s="59">
        <f ca="1">AVERAGE(OFFSET($CX$3,0,0,'Données projet'!$E$13+1,1))-AVERAGE(OFFSET($H$3,0,0,'Données projet'!$E$13+1,1))</f>
        <v>353.37479213497227</v>
      </c>
      <c r="CZ53" s="59">
        <f t="shared" si="42"/>
        <v>345.4750813433123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19</v>
      </c>
      <c r="DC53" s="16">
        <f>IF(ISNA(VLOOKUP(A53,'Données projet'!$A$139:$I$159,5,0)),0%,VLOOKUP(A53,'Données projet'!$A$139:$I$159,5,0)*VLOOKUP('Données projet'!$B$13,Paramètres!$A$1:$I$89,7,0))</f>
        <v>0.13250000000000001</v>
      </c>
      <c r="DD53" s="16">
        <f>IF(ISNA(VLOOKUP(A53,'Données projet'!$A$139:$I$159,6,0)),0%,VLOOKUP(A53,'Données projet'!$A$139:$I$159,6,0)*VLOOKUP('Données projet'!$B$13,Paramètres!$A$1:$I$89,7,0))</f>
        <v>0.13250000000000001</v>
      </c>
      <c r="DE53" s="16">
        <f>IF(ISNA(VLOOKUP(A53,'Données projet'!$A$139:$I$159,7,0)),0%,VLOOKUP(A53,'Données projet'!$A$139:$I$159,7,0))</f>
        <v>0.25</v>
      </c>
      <c r="DF53" s="21">
        <f>EXP(-LN(2)/35)*DF52+(1-EXP(-LN(2)/35))/(LN(2)/35)*DB53*DC53*VLOOKUP('Données projet'!$B$13,Paramètres!$A$1:$I$89,3,0)*0.475*44/12</f>
        <v>13.868555059770163</v>
      </c>
      <c r="DG53" s="21">
        <f>EXP(-LN(2)/25)*DG52+(1-EXP(-LN(2)/25))/(LN(2)/25)*Calculateur!DB53*Calculateur!DD53*VLOOKUP('Données projet'!$B$13,Paramètres!$A$1:$I$89,3,0)*0.475*44/12</f>
        <v>17.93060000664634</v>
      </c>
      <c r="DH53" s="21">
        <f>EXP(-LN(2)/2)*DH52+(1-EXP(-LN(2)/2))/(LN(2)/2)*DB53*DE53*VLOOKUP('Données projet'!$B$13,Paramètres!$A$1:$I$89,3,0)*0.475*44/12</f>
        <v>4.6112162840541568</v>
      </c>
      <c r="DI53" s="22">
        <f t="shared" si="15"/>
        <v>36.410371350470662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208.33</v>
      </c>
      <c r="DM53" s="12">
        <f>VLOOKUP(A53,'Données projet'!$A$165:$I$185,9,0)</f>
        <v>10.110000000000001</v>
      </c>
      <c r="DN53" s="12">
        <f t="array" ref="DN53">INDEX(DM:DM,MIN(IF(ISNUMBER(DM53:DM249),ROW(DM53:DM249),"")))</f>
        <v>10.110000000000001</v>
      </c>
      <c r="DO53" s="12">
        <f>IF('Données projet'!$A$166&gt;35,DO52+DN53-DW52,IF(A53&lt;'Données projet'!$A$166,$DL$205^A53,IF(A53='Données projet'!$A$166,'Données projet'!$B$166,DO52+DN53-DW52)))</f>
        <v>208.33000000000021</v>
      </c>
      <c r="DP53" s="17">
        <f>DO53*VLOOKUP('Données projet'!$B$14,Paramètres!$A$1:$I$89,3,0)*VLOOKUP('Données projet'!$B$14,Paramètres!$A$1:$I$89,5,0)</f>
        <v>188.4969840000002</v>
      </c>
      <c r="DQ53" s="13">
        <f t="shared" si="43"/>
        <v>47.207503913482938</v>
      </c>
      <c r="DR53" s="20">
        <f t="shared" si="16"/>
        <v>410.51864978264985</v>
      </c>
      <c r="DS53" s="59">
        <f t="shared" si="17"/>
        <v>703.8519831159831</v>
      </c>
      <c r="DT53" s="59">
        <f ca="1">AVERAGE(OFFSET($DS$3,0,0,'Données projet'!$E$14+1,1))-AVERAGE(OFFSET($H$3,0,0,'Données projet'!$E$14+1,1))</f>
        <v>635.71275911100679</v>
      </c>
      <c r="DU53" s="59">
        <f t="shared" si="44"/>
        <v>281.7776857269169</v>
      </c>
      <c r="DV53" s="15">
        <f>IF(ISNA(VLOOKUP(A53,'Données projet'!$A$165:$I$185,3,0)),0,VLOOKUP(A53,'Données projet'!$A$165:$I$185,3,0))</f>
        <v>2</v>
      </c>
      <c r="DW53" s="15">
        <f>IF(ISNA(VLOOKUP(A53,'Données projet'!$A$165:$I$185,4,0)),0,VLOOKUP(A53,'Données projet'!$A$165:$I$185,4,0))</f>
        <v>37.54000000000002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0.34400000000000003</v>
      </c>
      <c r="DZ53" s="16">
        <f>IF(ISNA(VLOOKUP(A53,'Données projet'!$A$165:$I$185,7,0)),0%,VLOOKUP(A53,'Données projet'!$A$165:$I$185,7,0))</f>
        <v>0.2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25.085911282565853</v>
      </c>
      <c r="EC53" s="21">
        <f>EXP(-LN(2)/2)*EC52+(1-EXP(-LN(2)/2))/(LN(2)/2)*DW53*DZ53*VLOOKUP('Données projet'!$B$14,Paramètres!$A$1:$I$89,3,0)*0.475*44/12</f>
        <v>6.8845823591112083</v>
      </c>
      <c r="ED53" s="22">
        <f t="shared" si="18"/>
        <v>31.970493641677059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208.33</v>
      </c>
      <c r="EH53" s="12">
        <f>VLOOKUP(A53,'Données projet'!$A$191:$I$211,9,0)</f>
        <v>10.110000000000001</v>
      </c>
      <c r="EI53" s="12">
        <f t="array" ref="EI53">INDEX(EH:EH,MIN(IF(ISNUMBER(EH53:EH249),ROW(EH53:EH249),"")))</f>
        <v>10.110000000000001</v>
      </c>
      <c r="EJ53" s="12">
        <f>IF('Données projet'!$A$192&gt;35,EJ52+EI53-ER52,IF(A53&lt;'Données projet'!$A$192,$EG$205^A53,IF(A53='Données projet'!$A$192,'Données projet'!$B$192,EJ52+EI53-ER52)))</f>
        <v>208.33000000000021</v>
      </c>
      <c r="EK53" s="17">
        <f>EJ53*VLOOKUP('Données projet'!$B$15,Paramètres!$A$1:$I$89,3,0)*VLOOKUP('Données projet'!$B$15,Paramètres!$A$1:$I$89,5,0)</f>
        <v>139.74776400000013</v>
      </c>
      <c r="EL53" s="13">
        <f t="shared" si="45"/>
        <v>36.23921570626387</v>
      </c>
      <c r="EM53" s="20">
        <f t="shared" si="19"/>
        <v>306.51065632174317</v>
      </c>
      <c r="EN53" s="59">
        <f t="shared" si="20"/>
        <v>599.84398965507648</v>
      </c>
      <c r="EO53" s="59">
        <f ca="1">AVERAGE(OFFSET($EN$3,0,0,'Données projet'!$E$15+1,1))-AVERAGE(OFFSET($H$3,0,0,'Données projet'!$E$15+1,1))</f>
        <v>482.99915419700773</v>
      </c>
      <c r="EP53" s="59">
        <f t="shared" si="46"/>
        <v>219.74157899604279</v>
      </c>
      <c r="EQ53" s="15">
        <f>IF(ISNA(VLOOKUP(A53,'Données projet'!$A$191:$I$211,3,0)),0,VLOOKUP(A53,'Données projet'!$A$191:$I$211,3,0))</f>
        <v>2</v>
      </c>
      <c r="ER53" s="15">
        <f>IF(ISNA(VLOOKUP(A53,'Données projet'!$A$191:$I$211,4,0)),0,VLOOKUP(A53,'Données projet'!$A$191:$I$211,4,0))</f>
        <v>37.54000000000002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0.42400000000000004</v>
      </c>
      <c r="EU53" s="16">
        <f>IF(ISNA(VLOOKUP(A53,'Données projet'!$A$191:$I$211,7,0)),0%,VLOOKUP(A53,'Données projet'!$A$191:$I$211,7,0))</f>
        <v>0.2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22.923332723723973</v>
      </c>
      <c r="EX53" s="21">
        <f>EXP(-LN(2)/2)*EX52+(1-EXP(-LN(2)/2))/(LN(2)/2)*ER53*EU53*VLOOKUP('Données projet'!$B$15,Paramètres!$A$1:$I$89,3,0)*0.475*44/12</f>
        <v>5.1040869214100351</v>
      </c>
      <c r="EY53" s="22">
        <f t="shared" si="21"/>
        <v>28.02741964513401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208.33</v>
      </c>
      <c r="FC53" s="12">
        <f>VLOOKUP(A53,'Données projet'!$A$217:$I$237,9,0)</f>
        <v>10.110000000000001</v>
      </c>
      <c r="FD53" s="12">
        <f t="array" ref="FD53">INDEX(FC:FC,MIN(IF(ISNUMBER(FC53:FC249),ROW(FC53:FC249),"")))</f>
        <v>10.110000000000001</v>
      </c>
      <c r="FE53" s="12">
        <f>IF('Données projet'!$A$218&gt;35,FE52+FD53-FM52,IF(A53&lt;'Données projet'!$A$218,$FB$205^A53,IF(A53='Données projet'!$A$218,'Données projet'!$B$218,FE52+FD53-FM52)))</f>
        <v>208.33000000000021</v>
      </c>
      <c r="FF53" s="17">
        <f>FE53*VLOOKUP('Données projet'!$B$16,Paramètres!$A$1:$I$89,3,0)*VLOOKUP('Données projet'!$B$16,Paramètres!$A$1:$I$89,5,0)</f>
        <v>198.24682800000019</v>
      </c>
      <c r="FG53" s="13">
        <f t="shared" si="47"/>
        <v>49.358676372128407</v>
      </c>
      <c r="FH53" s="20">
        <f t="shared" si="22"/>
        <v>431.24625344812392</v>
      </c>
      <c r="FI53" s="59">
        <f t="shared" si="23"/>
        <v>724.57958678145724</v>
      </c>
      <c r="FJ53" s="59">
        <f ca="1">AVERAGE(OFFSET($FI$3,0,0,'Données projet'!$E$16+1,1))-AVERAGE(OFFSET($H$3,0,0,'Données projet'!$E$16+1,1))</f>
        <v>666.1523645983184</v>
      </c>
      <c r="FK53" s="59">
        <f t="shared" si="48"/>
        <v>294.13851344047526</v>
      </c>
      <c r="FL53" s="15">
        <f>IF(ISNA(VLOOKUP(A53,'Données projet'!$A$217:$I$237,3,0)),0,VLOOKUP(A53,'Données projet'!$A$217:$I$237,3,0))</f>
        <v>2</v>
      </c>
      <c r="FM53" s="15">
        <f>IF(ISNA(VLOOKUP(A53,'Données projet'!$A$217:$I$237,4,0)),0,VLOOKUP(A53,'Données projet'!$A$217:$I$237,4,0))</f>
        <v>37.54000000000002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0.34400000000000003</v>
      </c>
      <c r="FP53" s="16">
        <f>IF(ISNA(VLOOKUP(A53,'Données projet'!$A$217:$I$237,7,0)),0%,VLOOKUP(A53,'Données projet'!$A$217:$I$237,7,0))</f>
        <v>0.2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26.383458417870983</v>
      </c>
      <c r="FS53" s="21">
        <f>EXP(-LN(2)/2)*FS52+(1-EXP(-LN(2)/2))/(LN(2)/2)*FM53*FP53*VLOOKUP('Données projet'!$B$16,Paramètres!$A$1:$I$89,3,0)*0.475*44/12</f>
        <v>7.2406814466514442</v>
      </c>
      <c r="FT53" s="22">
        <f t="shared" si="24"/>
        <v>33.624139864522427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7.4</v>
      </c>
      <c r="N54" s="13">
        <f>IF('Données projet'!$A$36&gt;35,N53+M54-V53,IF(A54&lt;'Données projet'!$A$36,$K$205^A54,IF(A54='Données projet'!$A$36,'Données projet'!$B$36,N53+M54-V53)))</f>
        <v>249.40000000000003</v>
      </c>
      <c r="O54" s="13">
        <f>N54*VLOOKUP('Données projet'!$B$9,Paramètres!$A$1:$I$89,3,0)*VLOOKUP('Données projet'!$B$9,Paramètres!$A$1:$I$89,5,0)</f>
        <v>182.86008000000001</v>
      </c>
      <c r="P54" s="13">
        <f t="shared" si="33"/>
        <v>45.957916284909473</v>
      </c>
      <c r="Q54" s="20">
        <f t="shared" si="53"/>
        <v>398.52467686288401</v>
      </c>
      <c r="R54" s="59">
        <f t="shared" si="0"/>
        <v>691.85801019621726</v>
      </c>
      <c r="S54" s="59">
        <f ca="1">AVERAGE(OFFSET($R$3,0,0,'Données projet'!$E$9+1,1))-AVERAGE(OFFSET($H$3,0,0,'Données projet'!$E$9+1,1))</f>
        <v>328.55631138162721</v>
      </c>
      <c r="T54" s="59">
        <f t="shared" si="34"/>
        <v>321.81422611044985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10.166012183609858</v>
      </c>
      <c r="AA54" s="21">
        <f>EXP(-LN(2)/25)*AA53+(1-EXP(-LN(2)/25))/(LN(2)/25)*Calculateur!V54*Calculateur!X54*VLOOKUP('Données projet'!$B$9,Paramètres!$A$1:$I$89,3,0)*0.475*44/12</f>
        <v>13.039888877546389</v>
      </c>
      <c r="AB54" s="21">
        <f>EXP(-LN(2)/2)*AB53+(1-EXP(-LN(2)/2))/(LN(2)/2)*V54*Y54*VLOOKUP('Données projet'!$B$9,Paramètres!$A$1:$I$89,3,0)*0.475*44/12</f>
        <v>3.0048872213080156</v>
      </c>
      <c r="AC54" s="22">
        <f t="shared" si="3"/>
        <v>26.210788282464264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7.4</v>
      </c>
      <c r="AI54" s="13">
        <f>IF('Données projet'!$A$62&gt;35,AI53+AH54-AQ53,IF(A54&lt;'Données projet'!$A$62,$AF$205^A54,IF(A54='Données projet'!$A$62,'Données projet'!$B$62,AI53+AH54-AQ53)))</f>
        <v>249.40000000000003</v>
      </c>
      <c r="AJ54" s="13">
        <f>AI54*VLOOKUP('Données projet'!$B$10,Paramètres!$A$1:$I$89,3,0)*VLOOKUP('Données projet'!$B$10,Paramètres!$A$1:$I$89,5,0)</f>
        <v>198.42264000000003</v>
      </c>
      <c r="AK54" s="13">
        <f t="shared" si="35"/>
        <v>49.397352151183256</v>
      </c>
      <c r="AL54" s="20">
        <f t="shared" si="4"/>
        <v>431.61981966331086</v>
      </c>
      <c r="AM54" s="59">
        <f t="shared" si="5"/>
        <v>724.95315299664412</v>
      </c>
      <c r="AN54" s="59">
        <f ca="1">AVERAGE(OFFSET($AM$3,0,0,'Données projet'!$E$10+1,1))-AVERAGE(OFFSET($H$3,0,0,'Données projet'!$E$10+1,1))</f>
        <v>353.37479213497227</v>
      </c>
      <c r="AO54" s="59">
        <f t="shared" si="36"/>
        <v>345.4750813433123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13.596601154031401</v>
      </c>
      <c r="AV54" s="21">
        <f>EXP(-LN(2)/25)*AV53+(1-EXP(-LN(2)/25))/(LN(2)/25)*Calculateur!AQ54*Calculateur!AS54*VLOOKUP('Données projet'!$B$10,Paramètres!$A$1:$I$89,3,0)*0.475*44/12</f>
        <v>17.440286806535322</v>
      </c>
      <c r="AW54" s="21">
        <f>EXP(-LN(2)/2)*AW53+(1-EXP(-LN(2)/2))/(LN(2)/2)*AQ54*AT54*VLOOKUP('Données projet'!$B$10,Paramètres!$A$1:$I$89,3,0)*0.475*44/12</f>
        <v>3.2606223039725277</v>
      </c>
      <c r="AX54" s="21">
        <f t="shared" si="6"/>
        <v>34.297510264539248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7.4</v>
      </c>
      <c r="BD54" s="12">
        <f>IF('Données projet'!$A$88&gt;35,BD53+BC54-BL53,IF(A54&lt;'Données projet'!$A$88,$BA$205^A54,IF(A54='Données projet'!$A$88,'Données projet'!$B$88,BD53+BC54-BL53)))</f>
        <v>249.40000000000003</v>
      </c>
      <c r="BE54" s="13">
        <f>BD54*VLOOKUP('Données projet'!$B$11,Paramètres!$A$1:$I$89,3,0)*VLOOKUP('Données projet'!$B$11,Paramètres!$A$1:$I$89,5,0)</f>
        <v>202.31328000000002</v>
      </c>
      <c r="BF54" s="13">
        <f t="shared" si="37"/>
        <v>50.25221588808207</v>
      </c>
      <c r="BG54" s="20">
        <f t="shared" si="7"/>
        <v>439.88490533840962</v>
      </c>
      <c r="BH54" s="59">
        <f t="shared" si="8"/>
        <v>733.21823867174294</v>
      </c>
      <c r="BI54" s="59">
        <f ca="1">AVERAGE(OFFSET($BH$3,0,0,'Données projet'!$E$11+1,1))-AVERAGE(OFFSET($H$3,0,0,'Données projet'!$E$11+1,1))</f>
        <v>359.57284550600366</v>
      </c>
      <c r="BJ54" s="59">
        <f t="shared" si="38"/>
        <v>351.38386928091433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13.863201176659468</v>
      </c>
      <c r="BQ54" s="21">
        <f>EXP(-LN(2)/25)*BQ53+(1-EXP(-LN(2)/25))/(LN(2)/25)*Calculateur!BL54*Calculateur!BN54*VLOOKUP('Données projet'!$B$11,Paramètres!$A$1:$I$89,3,0)*0.475*44/12</f>
        <v>17.782253214506614</v>
      </c>
      <c r="BR54" s="21">
        <f>EXP(-LN(2)/2)*BR53+(1-EXP(-LN(2)/2))/(LN(2)/2)*BL54*BO54*VLOOKUP('Données projet'!$B$11,Paramètres!$A$1:$I$89,3,0)*0.475*44/12</f>
        <v>3.3245560746386555</v>
      </c>
      <c r="BS54" s="22">
        <f t="shared" si="9"/>
        <v>34.970010465804741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2.8205128205128234</v>
      </c>
      <c r="BY54" s="12">
        <f>IF('Données projet'!$A$114&gt;35,BY53+BX54-CG53,IF(A54&lt;'Données projet'!$A$114,$BV$205^A54,IF(A54='Données projet'!$A$114,'Données projet'!$B$114,BY53+BX54-CG53)))</f>
        <v>84.871794871794862</v>
      </c>
      <c r="BZ54" s="13">
        <f>BY54*VLOOKUP('Données projet'!$B$12,Paramètres!$A$1:$I$89,3,0)*VLOOKUP('Données projet'!$B$12,Paramètres!$A$1:$I$89,5,0)</f>
        <v>68.847999999999999</v>
      </c>
      <c r="CA54" s="13">
        <f t="shared" si="39"/>
        <v>19.387099665751713</v>
      </c>
      <c r="CB54" s="20">
        <f t="shared" si="10"/>
        <v>153.67613191785088</v>
      </c>
      <c r="CC54" s="59">
        <f t="shared" si="11"/>
        <v>447.00946525118422</v>
      </c>
      <c r="CD54" s="59">
        <f ca="1">AVERAGE(OFFSET($CC$3,0,0,'Données projet'!$E$12+1,1))-AVERAGE(OFFSET($H$3,0,0,'Données projet'!$E$12+1,1))</f>
        <v>159.4660488566085</v>
      </c>
      <c r="CE54" s="59">
        <f t="shared" si="40"/>
        <v>135.33030558297088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2.8640765787088549</v>
      </c>
      <c r="CM54" s="21">
        <f>EXP(-LN(2)/2)*CM53+(1-EXP(-LN(2)/2))/(LN(2)/2)*CG54*CJ54*VLOOKUP('Données projet'!$B$12,Paramètres!$A$1:$I$89,3,0)*0.475*44/12</f>
        <v>1.1555158627246631</v>
      </c>
      <c r="CN54" s="22">
        <f t="shared" si="12"/>
        <v>4.0195924414335185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7.4</v>
      </c>
      <c r="CT54" s="12">
        <f>IF('Données projet'!$A$140&gt;35,CT53+CS54-DB53,IF(A54&lt;'Données projet'!$A$140,$CQ$205^A54,IF(A54='Données projet'!$A$140,'Données projet'!$B$140,CT53+CS54-DB53)))</f>
        <v>249.40000000000003</v>
      </c>
      <c r="CU54" s="17">
        <f>CT54*VLOOKUP('Données projet'!$B$13,Paramètres!$A$1:$I$89,3,0)*VLOOKUP('Données projet'!$B$13,Paramètres!$A$1:$I$89,5,0)</f>
        <v>198.42264000000003</v>
      </c>
      <c r="CV54" s="13">
        <f t="shared" si="41"/>
        <v>49.397352151183256</v>
      </c>
      <c r="CW54" s="20">
        <f t="shared" si="13"/>
        <v>431.61981966331086</v>
      </c>
      <c r="CX54" s="59">
        <f t="shared" si="14"/>
        <v>724.95315299664412</v>
      </c>
      <c r="CY54" s="59">
        <f ca="1">AVERAGE(OFFSET($CX$3,0,0,'Données projet'!$E$13+1,1))-AVERAGE(OFFSET($H$3,0,0,'Données projet'!$E$13+1,1))</f>
        <v>353.37479213497227</v>
      </c>
      <c r="CZ54" s="59">
        <f t="shared" si="42"/>
        <v>345.4750813433123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13.596601154031401</v>
      </c>
      <c r="DG54" s="21">
        <f>EXP(-LN(2)/25)*DG53+(1-EXP(-LN(2)/25))/(LN(2)/25)*Calculateur!DB54*Calculateur!DD54*VLOOKUP('Données projet'!$B$13,Paramètres!$A$1:$I$89,3,0)*0.475*44/12</f>
        <v>17.440286806535322</v>
      </c>
      <c r="DH54" s="21">
        <f>EXP(-LN(2)/2)*DH53+(1-EXP(-LN(2)/2))/(LN(2)/2)*DB54*DE54*VLOOKUP('Données projet'!$B$13,Paramètres!$A$1:$I$89,3,0)*0.475*44/12</f>
        <v>3.2606223039725277</v>
      </c>
      <c r="DI54" s="22">
        <f t="shared" si="15"/>
        <v>34.297510264539248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10.36375</v>
      </c>
      <c r="DO54" s="12">
        <f>IF('Données projet'!$A$166&gt;35,DO53+DN54-DW53,IF(A54&lt;'Données projet'!$A$166,$DL$205^A54,IF(A54='Données projet'!$A$166,'Données projet'!$B$166,DO53+DN54-DW53)))</f>
        <v>181.1537500000002</v>
      </c>
      <c r="DP54" s="17">
        <f>DO54*VLOOKUP('Données projet'!$B$14,Paramètres!$A$1:$I$89,3,0)*VLOOKUP('Données projet'!$B$14,Paramètres!$A$1:$I$89,5,0)</f>
        <v>163.90791300000018</v>
      </c>
      <c r="DQ54" s="13">
        <f t="shared" si="43"/>
        <v>41.72271436472046</v>
      </c>
      <c r="DR54" s="20">
        <f t="shared" si="16"/>
        <v>358.14000932688845</v>
      </c>
      <c r="DS54" s="59">
        <f t="shared" si="17"/>
        <v>651.47334266022176</v>
      </c>
      <c r="DT54" s="59">
        <f ca="1">AVERAGE(OFFSET($DS$3,0,0,'Données projet'!$E$14+1,1))-AVERAGE(OFFSET($H$3,0,0,'Données projet'!$E$14+1,1))</f>
        <v>635.71275911100679</v>
      </c>
      <c r="DU54" s="59">
        <f t="shared" si="44"/>
        <v>281.7776857269169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24.399935719333349</v>
      </c>
      <c r="EC54" s="21">
        <f>EXP(-LN(2)/2)*EC53+(1-EXP(-LN(2)/2))/(LN(2)/2)*DW54*DZ54*VLOOKUP('Données projet'!$B$14,Paramètres!$A$1:$I$89,3,0)*0.475*44/12</f>
        <v>4.8681348717648145</v>
      </c>
      <c r="ED54" s="22">
        <f t="shared" si="18"/>
        <v>29.268070591098166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10.36375</v>
      </c>
      <c r="EJ54" s="12">
        <f>IF('Données projet'!$A$192&gt;35,EJ53+EI54-ER53,IF(A54&lt;'Données projet'!$A$192,$EG$205^A54,IF(A54='Données projet'!$A$192,'Données projet'!$B$192,EJ53+EI54-ER53)))</f>
        <v>181.1537500000002</v>
      </c>
      <c r="EK54" s="17">
        <f>EJ54*VLOOKUP('Données projet'!$B$15,Paramètres!$A$1:$I$89,3,0)*VLOOKUP('Données projet'!$B$15,Paramètres!$A$1:$I$89,5,0)</f>
        <v>121.51793550000014</v>
      </c>
      <c r="EL54" s="13">
        <f t="shared" si="45"/>
        <v>32.028773401893382</v>
      </c>
      <c r="EM54" s="20">
        <f t="shared" si="19"/>
        <v>267.42718467079789</v>
      </c>
      <c r="EN54" s="59">
        <f t="shared" si="20"/>
        <v>560.7605180041312</v>
      </c>
      <c r="EO54" s="59">
        <f ca="1">AVERAGE(OFFSET($EN$3,0,0,'Données projet'!$E$15+1,1))-AVERAGE(OFFSET($H$3,0,0,'Données projet'!$E$15+1,1))</f>
        <v>482.99915419700773</v>
      </c>
      <c r="EP54" s="59">
        <f t="shared" si="46"/>
        <v>219.74157899604279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22.296492984908067</v>
      </c>
      <c r="EX54" s="21">
        <f>EXP(-LN(2)/2)*EX53+(1-EXP(-LN(2)/2))/(LN(2)/2)*ER54*EU54*VLOOKUP('Données projet'!$B$15,Paramètres!$A$1:$I$89,3,0)*0.475*44/12</f>
        <v>3.609134473894605</v>
      </c>
      <c r="EY54" s="22">
        <f t="shared" si="21"/>
        <v>25.905627458802673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10.36375</v>
      </c>
      <c r="FE54" s="12">
        <f>IF('Données projet'!$A$218&gt;35,FE53+FD54-FM53,IF(A54&lt;'Données projet'!$A$218,$FB$205^A54,IF(A54='Données projet'!$A$218,'Données projet'!$B$218,FE53+FD54-FM53)))</f>
        <v>181.1537500000002</v>
      </c>
      <c r="FF54" s="17">
        <f>FE54*VLOOKUP('Données projet'!$B$16,Paramètres!$A$1:$I$89,3,0)*VLOOKUP('Données projet'!$B$16,Paramètres!$A$1:$I$89,5,0)</f>
        <v>172.3859085000002</v>
      </c>
      <c r="FG54" s="13">
        <f t="shared" si="47"/>
        <v>43.623953502587391</v>
      </c>
      <c r="FH54" s="20">
        <f t="shared" si="22"/>
        <v>376.21717632117338</v>
      </c>
      <c r="FI54" s="59">
        <f t="shared" si="23"/>
        <v>669.55050965450664</v>
      </c>
      <c r="FJ54" s="59">
        <f ca="1">AVERAGE(OFFSET($FI$3,0,0,'Données projet'!$E$16+1,1))-AVERAGE(OFFSET($H$3,0,0,'Données projet'!$E$16+1,1))</f>
        <v>666.1523645983184</v>
      </c>
      <c r="FK54" s="59">
        <f t="shared" si="48"/>
        <v>294.13851344047526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25.662001359988523</v>
      </c>
      <c r="FS54" s="21">
        <f>EXP(-LN(2)/2)*FS53+(1-EXP(-LN(2)/2))/(LN(2)/2)*FM54*FP54*VLOOKUP('Données projet'!$B$16,Paramètres!$A$1:$I$89,3,0)*0.475*44/12</f>
        <v>5.1199349513388572</v>
      </c>
      <c r="FT54" s="22">
        <f t="shared" si="24"/>
        <v>30.781936311327378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7.4</v>
      </c>
      <c r="N55" s="13">
        <f>IF('Données projet'!$A$36&gt;35,N54+M55-V54,IF(A55&lt;'Données projet'!$A$36,$K$205^A55,IF(A55='Données projet'!$A$36,'Données projet'!$B$36,N54+M55-V54)))</f>
        <v>256.8</v>
      </c>
      <c r="O55" s="13">
        <f>N55*VLOOKUP('Données projet'!$B$9,Paramètres!$A$1:$I$89,3,0)*VLOOKUP('Données projet'!$B$9,Paramètres!$A$1:$I$89,5,0)</f>
        <v>188.28576000000001</v>
      </c>
      <c r="P55" s="13">
        <f t="shared" si="33"/>
        <v>47.160759045639651</v>
      </c>
      <c r="Q55" s="20">
        <f t="shared" si="53"/>
        <v>410.06935400448907</v>
      </c>
      <c r="R55" s="59">
        <f t="shared" si="0"/>
        <v>703.40268733782239</v>
      </c>
      <c r="S55" s="59">
        <f ca="1">AVERAGE(OFFSET($R$3,0,0,'Données projet'!$E$9+1,1))-AVERAGE(OFFSET($H$3,0,0,'Données projet'!$E$9+1,1))</f>
        <v>328.55631138162721</v>
      </c>
      <c r="T55" s="59">
        <f t="shared" si="34"/>
        <v>321.81422611044985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9.9666628853444372</v>
      </c>
      <c r="AA55" s="21">
        <f>EXP(-LN(2)/25)*AA54+(1-EXP(-LN(2)/25))/(LN(2)/25)*Calculateur!V55*Calculateur!X55*VLOOKUP('Données projet'!$B$9,Paramètres!$A$1:$I$89,3,0)*0.475*44/12</f>
        <v>12.683312430451929</v>
      </c>
      <c r="AB55" s="21">
        <f>EXP(-LN(2)/2)*AB54+(1-EXP(-LN(2)/2))/(LN(2)/2)*V55*Y55*VLOOKUP('Données projet'!$B$9,Paramètres!$A$1:$I$89,3,0)*0.475*44/12</f>
        <v>2.1247761308877</v>
      </c>
      <c r="AC55" s="22">
        <f t="shared" si="3"/>
        <v>24.774751446684068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7.4</v>
      </c>
      <c r="AI55" s="13">
        <f>IF('Données projet'!$A$62&gt;35,AI54+AH55-AQ54,IF(A55&lt;'Données projet'!$A$62,$AF$205^A55,IF(A55='Données projet'!$A$62,'Données projet'!$B$62,AI54+AH55-AQ54)))</f>
        <v>256.8</v>
      </c>
      <c r="AJ55" s="13">
        <f>AI55*VLOOKUP('Données projet'!$B$10,Paramètres!$A$1:$I$89,3,0)*VLOOKUP('Données projet'!$B$10,Paramètres!$A$1:$I$89,5,0)</f>
        <v>204.31008000000003</v>
      </c>
      <c r="AK55" s="13">
        <f t="shared" si="35"/>
        <v>50.690214235398379</v>
      </c>
      <c r="AL55" s="20">
        <f t="shared" si="4"/>
        <v>444.12551245998549</v>
      </c>
      <c r="AM55" s="59">
        <f t="shared" si="5"/>
        <v>737.4588457933188</v>
      </c>
      <c r="AN55" s="59">
        <f ca="1">AVERAGE(OFFSET($AM$3,0,0,'Données projet'!$E$10+1,1))-AVERAGE(OFFSET($H$3,0,0,'Données projet'!$E$10+1,1))</f>
        <v>353.37479213497227</v>
      </c>
      <c r="AO55" s="59">
        <f t="shared" si="36"/>
        <v>345.4750813433123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13.329980098508672</v>
      </c>
      <c r="AV55" s="21">
        <f>EXP(-LN(2)/25)*AV54+(1-EXP(-LN(2)/25))/(LN(2)/25)*Calculateur!AQ55*Calculateur!AS55*VLOOKUP('Données projet'!$B$10,Paramètres!$A$1:$I$89,3,0)*0.475*44/12</f>
        <v>16.96338124666579</v>
      </c>
      <c r="AW55" s="21">
        <f>EXP(-LN(2)/2)*AW54+(1-EXP(-LN(2)/2))/(LN(2)/2)*AQ55*AT55*VLOOKUP('Données projet'!$B$10,Paramètres!$A$1:$I$89,3,0)*0.475*44/12</f>
        <v>2.3056081420270789</v>
      </c>
      <c r="AX55" s="21">
        <f t="shared" si="6"/>
        <v>32.598969487201536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7.4</v>
      </c>
      <c r="BD55" s="12">
        <f>IF('Données projet'!$A$88&gt;35,BD54+BC55-BL54,IF(A55&lt;'Données projet'!$A$88,$BA$205^A55,IF(A55='Données projet'!$A$88,'Données projet'!$B$88,BD54+BC55-BL54)))</f>
        <v>256.8</v>
      </c>
      <c r="BE55" s="13">
        <f>BD55*VLOOKUP('Données projet'!$B$11,Paramètres!$A$1:$I$89,3,0)*VLOOKUP('Données projet'!$B$11,Paramètres!$A$1:$I$89,5,0)</f>
        <v>208.31616</v>
      </c>
      <c r="BF55" s="13">
        <f t="shared" si="37"/>
        <v>51.567452064520282</v>
      </c>
      <c r="BG55" s="20">
        <f t="shared" si="7"/>
        <v>452.63062434570611</v>
      </c>
      <c r="BH55" s="59">
        <f t="shared" si="8"/>
        <v>745.96395767903937</v>
      </c>
      <c r="BI55" s="59">
        <f ca="1">AVERAGE(OFFSET($BH$3,0,0,'Données projet'!$E$11+1,1))-AVERAGE(OFFSET($H$3,0,0,'Données projet'!$E$11+1,1))</f>
        <v>359.57284550600366</v>
      </c>
      <c r="BJ55" s="59">
        <f t="shared" si="38"/>
        <v>351.38386928091433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13.59135225730296</v>
      </c>
      <c r="BQ55" s="21">
        <f>EXP(-LN(2)/25)*BQ54+(1-EXP(-LN(2)/25))/(LN(2)/25)*Calculateur!BL55*Calculateur!BN55*VLOOKUP('Données projet'!$B$11,Paramètres!$A$1:$I$89,3,0)*0.475*44/12</f>
        <v>17.295996565227878</v>
      </c>
      <c r="BR55" s="21">
        <f>EXP(-LN(2)/2)*BR54+(1-EXP(-LN(2)/2))/(LN(2)/2)*BL55*BO55*VLOOKUP('Données projet'!$B$11,Paramètres!$A$1:$I$89,3,0)*0.475*44/12</f>
        <v>2.3508161448119234</v>
      </c>
      <c r="BS55" s="22">
        <f t="shared" si="9"/>
        <v>33.238164967342762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2.8205128205128234</v>
      </c>
      <c r="BY55" s="12">
        <f>IF('Données projet'!$A$114&gt;35,BY54+BX55-CG54,IF(A55&lt;'Données projet'!$A$114,$BV$205^A55,IF(A55='Données projet'!$A$114,'Données projet'!$B$114,BY54+BX55-CG54)))</f>
        <v>87.692307692307679</v>
      </c>
      <c r="BZ55" s="13">
        <f>BY55*VLOOKUP('Données projet'!$B$12,Paramètres!$A$1:$I$89,3,0)*VLOOKUP('Données projet'!$B$12,Paramètres!$A$1:$I$89,5,0)</f>
        <v>71.135999999999996</v>
      </c>
      <c r="CA55" s="13">
        <f t="shared" si="39"/>
        <v>19.955301551927469</v>
      </c>
      <c r="CB55" s="20">
        <f t="shared" si="10"/>
        <v>158.65068353627368</v>
      </c>
      <c r="CC55" s="59">
        <f t="shared" si="11"/>
        <v>451.98401686960699</v>
      </c>
      <c r="CD55" s="59">
        <f ca="1">AVERAGE(OFFSET($CC$3,0,0,'Données projet'!$E$12+1,1))-AVERAGE(OFFSET($H$3,0,0,'Données projet'!$E$12+1,1))</f>
        <v>159.4660488566085</v>
      </c>
      <c r="CE55" s="59">
        <f t="shared" si="40"/>
        <v>135.33030558297088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2.7857582540488197</v>
      </c>
      <c r="CM55" s="21">
        <f>EXP(-LN(2)/2)*CM54+(1-EXP(-LN(2)/2))/(LN(2)/2)*CG55*CJ55*VLOOKUP('Données projet'!$B$12,Paramètres!$A$1:$I$89,3,0)*0.475*44/12</f>
        <v>0.81707310230123309</v>
      </c>
      <c r="CN55" s="22">
        <f t="shared" si="12"/>
        <v>3.6028313563500527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7.4</v>
      </c>
      <c r="CT55" s="12">
        <f>IF('Données projet'!$A$140&gt;35,CT54+CS55-DB54,IF(A55&lt;'Données projet'!$A$140,$CQ$205^A55,IF(A55='Données projet'!$A$140,'Données projet'!$B$140,CT54+CS55-DB54)))</f>
        <v>256.8</v>
      </c>
      <c r="CU55" s="17">
        <f>CT55*VLOOKUP('Données projet'!$B$13,Paramètres!$A$1:$I$89,3,0)*VLOOKUP('Données projet'!$B$13,Paramètres!$A$1:$I$89,5,0)</f>
        <v>204.31008000000003</v>
      </c>
      <c r="CV55" s="13">
        <f t="shared" si="41"/>
        <v>50.690214235398379</v>
      </c>
      <c r="CW55" s="20">
        <f t="shared" si="13"/>
        <v>444.12551245998549</v>
      </c>
      <c r="CX55" s="59">
        <f t="shared" si="14"/>
        <v>737.4588457933188</v>
      </c>
      <c r="CY55" s="59">
        <f ca="1">AVERAGE(OFFSET($CX$3,0,0,'Données projet'!$E$13+1,1))-AVERAGE(OFFSET($H$3,0,0,'Données projet'!$E$13+1,1))</f>
        <v>353.37479213497227</v>
      </c>
      <c r="CZ55" s="59">
        <f t="shared" si="42"/>
        <v>345.4750813433123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13.329980098508672</v>
      </c>
      <c r="DG55" s="21">
        <f>EXP(-LN(2)/25)*DG54+(1-EXP(-LN(2)/25))/(LN(2)/25)*Calculateur!DB55*Calculateur!DD55*VLOOKUP('Données projet'!$B$13,Paramètres!$A$1:$I$89,3,0)*0.475*44/12</f>
        <v>16.96338124666579</v>
      </c>
      <c r="DH55" s="21">
        <f>EXP(-LN(2)/2)*DH54+(1-EXP(-LN(2)/2))/(LN(2)/2)*DB55*DE55*VLOOKUP('Données projet'!$B$13,Paramètres!$A$1:$I$89,3,0)*0.475*44/12</f>
        <v>2.3056081420270789</v>
      </c>
      <c r="DI55" s="22">
        <f t="shared" si="15"/>
        <v>32.598969487201536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10.36375</v>
      </c>
      <c r="DO55" s="12">
        <f>IF('Données projet'!$A$166&gt;35,DO54+DN55-DW54,IF(A55&lt;'Données projet'!$A$166,$DL$205^A55,IF(A55='Données projet'!$A$166,'Données projet'!$B$166,DO54+DN55-DW54)))</f>
        <v>191.51750000000021</v>
      </c>
      <c r="DP55" s="17">
        <f>DO55*VLOOKUP('Données projet'!$B$14,Paramètres!$A$1:$I$89,3,0)*VLOOKUP('Données projet'!$B$14,Paramètres!$A$1:$I$89,5,0)</f>
        <v>173.28503400000019</v>
      </c>
      <c r="DQ55" s="13">
        <f t="shared" si="43"/>
        <v>43.82494037101592</v>
      </c>
      <c r="DR55" s="20">
        <f t="shared" si="16"/>
        <v>378.133205362853</v>
      </c>
      <c r="DS55" s="59">
        <f t="shared" si="17"/>
        <v>671.46653869618626</v>
      </c>
      <c r="DT55" s="59">
        <f ca="1">AVERAGE(OFFSET($DS$3,0,0,'Données projet'!$E$14+1,1))-AVERAGE(OFFSET($H$3,0,0,'Données projet'!$E$14+1,1))</f>
        <v>635.71275911100679</v>
      </c>
      <c r="DU55" s="59">
        <f t="shared" si="44"/>
        <v>281.7776857269169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23.732718193951328</v>
      </c>
      <c r="EC55" s="21">
        <f>EXP(-LN(2)/2)*EC54+(1-EXP(-LN(2)/2))/(LN(2)/2)*DW55*DZ55*VLOOKUP('Données projet'!$B$14,Paramètres!$A$1:$I$89,3,0)*0.475*44/12</f>
        <v>3.4422911795556046</v>
      </c>
      <c r="ED55" s="22">
        <f t="shared" si="18"/>
        <v>27.175009373506931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10.36375</v>
      </c>
      <c r="EJ55" s="12">
        <f>IF('Données projet'!$A$192&gt;35,EJ54+EI55-ER54,IF(A55&lt;'Données projet'!$A$192,$EG$205^A55,IF(A55='Données projet'!$A$192,'Données projet'!$B$192,EJ54+EI55-ER54)))</f>
        <v>191.51750000000021</v>
      </c>
      <c r="EK55" s="17">
        <f>EJ55*VLOOKUP('Données projet'!$B$15,Paramètres!$A$1:$I$89,3,0)*VLOOKUP('Données projet'!$B$15,Paramètres!$A$1:$I$89,5,0)</f>
        <v>128.46993900000012</v>
      </c>
      <c r="EL55" s="13">
        <f t="shared" si="45"/>
        <v>33.642563909543981</v>
      </c>
      <c r="EM55" s="20">
        <f t="shared" si="19"/>
        <v>282.34594256745601</v>
      </c>
      <c r="EN55" s="59">
        <f t="shared" si="20"/>
        <v>575.67927590078932</v>
      </c>
      <c r="EO55" s="59">
        <f ca="1">AVERAGE(OFFSET($EN$3,0,0,'Données projet'!$E$15+1,1))-AVERAGE(OFFSET($H$3,0,0,'Données projet'!$E$15+1,1))</f>
        <v>482.99915419700773</v>
      </c>
      <c r="EP55" s="59">
        <f t="shared" si="46"/>
        <v>219.74157899604279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21.686794211714147</v>
      </c>
      <c r="EX55" s="21">
        <f>EXP(-LN(2)/2)*EX54+(1-EXP(-LN(2)/2))/(LN(2)/2)*ER55*EU55*VLOOKUP('Données projet'!$B$15,Paramètres!$A$1:$I$89,3,0)*0.475*44/12</f>
        <v>2.552043460705018</v>
      </c>
      <c r="EY55" s="22">
        <f t="shared" si="21"/>
        <v>24.238837672419166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10.36375</v>
      </c>
      <c r="FE55" s="12">
        <f>IF('Données projet'!$A$218&gt;35,FE54+FD55-FM54,IF(A55&lt;'Données projet'!$A$218,$FB$205^A55,IF(A55='Données projet'!$A$218,'Données projet'!$B$218,FE54+FD55-FM54)))</f>
        <v>191.51750000000021</v>
      </c>
      <c r="FF55" s="17">
        <f>FE55*VLOOKUP('Données projet'!$B$16,Paramètres!$A$1:$I$89,3,0)*VLOOKUP('Données projet'!$B$16,Paramètres!$A$1:$I$89,5,0)</f>
        <v>182.2480530000002</v>
      </c>
      <c r="FG55" s="13">
        <f t="shared" si="47"/>
        <v>45.821974675153001</v>
      </c>
      <c r="FH55" s="20">
        <f t="shared" si="22"/>
        <v>397.22196486755848</v>
      </c>
      <c r="FI55" s="59">
        <f t="shared" si="23"/>
        <v>690.5552982008918</v>
      </c>
      <c r="FJ55" s="59">
        <f ca="1">AVERAGE(OFFSET($FI$3,0,0,'Données projet'!$E$16+1,1))-AVERAGE(OFFSET($H$3,0,0,'Données projet'!$E$16+1,1))</f>
        <v>666.1523645983184</v>
      </c>
      <c r="FK55" s="59">
        <f t="shared" si="48"/>
        <v>294.13851344047526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24.960272583293637</v>
      </c>
      <c r="FS55" s="21">
        <f>EXP(-LN(2)/2)*FS54+(1-EXP(-LN(2)/2))/(LN(2)/2)*FM55*FP55*VLOOKUP('Données projet'!$B$16,Paramètres!$A$1:$I$89,3,0)*0.475*44/12</f>
        <v>3.6203407233257225</v>
      </c>
      <c r="FT55" s="22">
        <f t="shared" si="24"/>
        <v>28.580613306619359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7.4</v>
      </c>
      <c r="N56" s="13">
        <f>IF('Données projet'!$A$36&gt;35,N55+M56-V55,IF(A56&lt;'Données projet'!$A$36,$K$205^A56,IF(A56='Données projet'!$A$36,'Données projet'!$B$36,N55+M56-V55)))</f>
        <v>264.2</v>
      </c>
      <c r="O56" s="13">
        <f>N56*VLOOKUP('Données projet'!$B$9,Paramètres!$A$1:$I$89,3,0)*VLOOKUP('Données projet'!$B$9,Paramètres!$A$1:$I$89,5,0)</f>
        <v>193.71143999999998</v>
      </c>
      <c r="P56" s="13">
        <f t="shared" si="33"/>
        <v>48.359573394195209</v>
      </c>
      <c r="Q56" s="20">
        <f t="shared" si="53"/>
        <v>421.60701499488988</v>
      </c>
      <c r="R56" s="59">
        <f t="shared" si="0"/>
        <v>714.94034832822319</v>
      </c>
      <c r="S56" s="59">
        <f ca="1">AVERAGE(OFFSET($R$3,0,0,'Données projet'!$E$9+1,1))-AVERAGE(OFFSET($H$3,0,0,'Données projet'!$E$9+1,1))</f>
        <v>328.55631138162721</v>
      </c>
      <c r="T56" s="59">
        <f t="shared" si="34"/>
        <v>321.81422611044985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9.7712227052269345</v>
      </c>
      <c r="AA56" s="21">
        <f>EXP(-LN(2)/25)*AA55+(1-EXP(-LN(2)/25))/(LN(2)/25)*Calculateur!V56*Calculateur!X56*VLOOKUP('Données projet'!$B$9,Paramètres!$A$1:$I$89,3,0)*0.475*44/12</f>
        <v>12.336486585054809</v>
      </c>
      <c r="AB56" s="21">
        <f>EXP(-LN(2)/2)*AB55+(1-EXP(-LN(2)/2))/(LN(2)/2)*V56*Y56*VLOOKUP('Données projet'!$B$9,Paramètres!$A$1:$I$89,3,0)*0.475*44/12</f>
        <v>1.502443610654008</v>
      </c>
      <c r="AC56" s="22">
        <f t="shared" si="3"/>
        <v>23.610152900935752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7.4</v>
      </c>
      <c r="AI56" s="13">
        <f>IF('Données projet'!$A$62&gt;35,AI55+AH56-AQ55,IF(A56&lt;'Données projet'!$A$62,$AF$205^A56,IF(A56='Données projet'!$A$62,'Données projet'!$B$62,AI55+AH56-AQ55)))</f>
        <v>264.2</v>
      </c>
      <c r="AJ56" s="13">
        <f>AI56*VLOOKUP('Données projet'!$B$10,Paramètres!$A$1:$I$89,3,0)*VLOOKUP('Données projet'!$B$10,Paramètres!$A$1:$I$89,5,0)</f>
        <v>210.19752</v>
      </c>
      <c r="AK56" s="13">
        <f t="shared" si="35"/>
        <v>51.978746425856599</v>
      </c>
      <c r="AL56" s="20">
        <f t="shared" si="4"/>
        <v>456.62366402503358</v>
      </c>
      <c r="AM56" s="59">
        <f t="shared" si="5"/>
        <v>749.95699735836683</v>
      </c>
      <c r="AN56" s="59">
        <f ca="1">AVERAGE(OFFSET($AM$3,0,0,'Données projet'!$E$10+1,1))-AVERAGE(OFFSET($H$3,0,0,'Données projet'!$E$10+1,1))</f>
        <v>353.37479213497227</v>
      </c>
      <c r="AO56" s="59">
        <f t="shared" si="36"/>
        <v>345.4750813433123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13.068587319261958</v>
      </c>
      <c r="AV56" s="21">
        <f>EXP(-LN(2)/25)*AV55+(1-EXP(-LN(2)/25))/(LN(2)/25)*Calculateur!AQ56*Calculateur!AS56*VLOOKUP('Données projet'!$B$10,Paramètres!$A$1:$I$89,3,0)*0.475*44/12</f>
        <v>16.499516694410264</v>
      </c>
      <c r="AW56" s="21">
        <f>EXP(-LN(2)/2)*AW55+(1-EXP(-LN(2)/2))/(LN(2)/2)*AQ56*AT56*VLOOKUP('Données projet'!$B$10,Paramètres!$A$1:$I$89,3,0)*0.475*44/12</f>
        <v>1.6303111519862641</v>
      </c>
      <c r="AX56" s="21">
        <f t="shared" si="6"/>
        <v>31.198415165658485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7.4</v>
      </c>
      <c r="BD56" s="12">
        <f>IF('Données projet'!$A$88&gt;35,BD55+BC56-BL55,IF(A56&lt;'Données projet'!$A$88,$BA$205^A56,IF(A56='Données projet'!$A$88,'Données projet'!$B$88,BD55+BC56-BL55)))</f>
        <v>264.2</v>
      </c>
      <c r="BE56" s="13">
        <f>BD56*VLOOKUP('Données projet'!$B$11,Paramètres!$A$1:$I$89,3,0)*VLOOKUP('Données projet'!$B$11,Paramètres!$A$1:$I$89,5,0)</f>
        <v>214.31903999999997</v>
      </c>
      <c r="BF56" s="13">
        <f t="shared" si="37"/>
        <v>52.878283414659698</v>
      </c>
      <c r="BG56" s="20">
        <f t="shared" si="7"/>
        <v>465.3686716138655</v>
      </c>
      <c r="BH56" s="59">
        <f t="shared" si="8"/>
        <v>758.70200494719882</v>
      </c>
      <c r="BI56" s="59">
        <f ca="1">AVERAGE(OFFSET($BH$3,0,0,'Données projet'!$E$11+1,1))-AVERAGE(OFFSET($H$3,0,0,'Données projet'!$E$11+1,1))</f>
        <v>359.57284550600366</v>
      </c>
      <c r="BJ56" s="59">
        <f t="shared" si="38"/>
        <v>351.38386928091433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13.324834129443566</v>
      </c>
      <c r="BQ56" s="21">
        <f>EXP(-LN(2)/25)*BQ55+(1-EXP(-LN(2)/25))/(LN(2)/25)*Calculateur!BL56*Calculateur!BN56*VLOOKUP('Données projet'!$B$11,Paramètres!$A$1:$I$89,3,0)*0.475*44/12</f>
        <v>16.823036629594792</v>
      </c>
      <c r="BR56" s="21">
        <f>EXP(-LN(2)/2)*BR55+(1-EXP(-LN(2)/2))/(LN(2)/2)*BL56*BO56*VLOOKUP('Données projet'!$B$11,Paramètres!$A$1:$I$89,3,0)*0.475*44/12</f>
        <v>1.662278037319328</v>
      </c>
      <c r="BS56" s="22">
        <f t="shared" si="9"/>
        <v>31.810148796357687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2.8205128205128234</v>
      </c>
      <c r="BY56" s="12">
        <f>IF('Données projet'!$A$114&gt;35,BY55+BX56-CG55,IF(A56&lt;'Données projet'!$A$114,$BV$205^A56,IF(A56='Données projet'!$A$114,'Données projet'!$B$114,BY55+BX56-CG55)))</f>
        <v>90.512820512820497</v>
      </c>
      <c r="BZ56" s="13">
        <f>BY56*VLOOKUP('Données projet'!$B$12,Paramètres!$A$1:$I$89,3,0)*VLOOKUP('Données projet'!$B$12,Paramètres!$A$1:$I$89,5,0)</f>
        <v>73.423999999999992</v>
      </c>
      <c r="CA56" s="13">
        <f t="shared" si="39"/>
        <v>20.521379760278482</v>
      </c>
      <c r="CB56" s="20">
        <f t="shared" si="10"/>
        <v>163.62153641581833</v>
      </c>
      <c r="CC56" s="59">
        <f t="shared" si="11"/>
        <v>456.95486974915161</v>
      </c>
      <c r="CD56" s="59">
        <f ca="1">AVERAGE(OFFSET($CC$3,0,0,'Données projet'!$E$12+1,1))-AVERAGE(OFFSET($H$3,0,0,'Données projet'!$E$12+1,1))</f>
        <v>159.4660488566085</v>
      </c>
      <c r="CE56" s="59">
        <f t="shared" si="40"/>
        <v>135.33030558297088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2.709581548095195</v>
      </c>
      <c r="CM56" s="21">
        <f>EXP(-LN(2)/2)*CM55+(1-EXP(-LN(2)/2))/(LN(2)/2)*CG56*CJ56*VLOOKUP('Données projet'!$B$12,Paramètres!$A$1:$I$89,3,0)*0.475*44/12</f>
        <v>0.57775793136233167</v>
      </c>
      <c r="CN56" s="22">
        <f t="shared" si="12"/>
        <v>3.2873394794575268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7.4</v>
      </c>
      <c r="CT56" s="12">
        <f>IF('Données projet'!$A$140&gt;35,CT55+CS56-DB55,IF(A56&lt;'Données projet'!$A$140,$CQ$205^A56,IF(A56='Données projet'!$A$140,'Données projet'!$B$140,CT55+CS56-DB55)))</f>
        <v>264.2</v>
      </c>
      <c r="CU56" s="17">
        <f>CT56*VLOOKUP('Données projet'!$B$13,Paramètres!$A$1:$I$89,3,0)*VLOOKUP('Données projet'!$B$13,Paramètres!$A$1:$I$89,5,0)</f>
        <v>210.19752</v>
      </c>
      <c r="CV56" s="13">
        <f t="shared" si="41"/>
        <v>51.978746425856599</v>
      </c>
      <c r="CW56" s="20">
        <f t="shared" si="13"/>
        <v>456.62366402503358</v>
      </c>
      <c r="CX56" s="59">
        <f t="shared" si="14"/>
        <v>749.95699735836683</v>
      </c>
      <c r="CY56" s="59">
        <f ca="1">AVERAGE(OFFSET($CX$3,0,0,'Données projet'!$E$13+1,1))-AVERAGE(OFFSET($H$3,0,0,'Données projet'!$E$13+1,1))</f>
        <v>353.37479213497227</v>
      </c>
      <c r="CZ56" s="59">
        <f t="shared" si="42"/>
        <v>345.4750813433123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13.068587319261958</v>
      </c>
      <c r="DG56" s="21">
        <f>EXP(-LN(2)/25)*DG55+(1-EXP(-LN(2)/25))/(LN(2)/25)*Calculateur!DB56*Calculateur!DD56*VLOOKUP('Données projet'!$B$13,Paramètres!$A$1:$I$89,3,0)*0.475*44/12</f>
        <v>16.499516694410264</v>
      </c>
      <c r="DH56" s="21">
        <f>EXP(-LN(2)/2)*DH55+(1-EXP(-LN(2)/2))/(LN(2)/2)*DB56*DE56*VLOOKUP('Données projet'!$B$13,Paramètres!$A$1:$I$89,3,0)*0.475*44/12</f>
        <v>1.6303111519862641</v>
      </c>
      <c r="DI56" s="22">
        <f t="shared" si="15"/>
        <v>31.198415165658485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10.36375</v>
      </c>
      <c r="DO56" s="12">
        <f>IF('Données projet'!$A$166&gt;35,DO55+DN56-DW55,IF(A56&lt;'Données projet'!$A$166,$DL$205^A56,IF(A56='Données projet'!$A$166,'Données projet'!$B$166,DO55+DN56-DW55)))</f>
        <v>201.88125000000022</v>
      </c>
      <c r="DP56" s="17">
        <f>DO56*VLOOKUP('Données projet'!$B$14,Paramètres!$A$1:$I$89,3,0)*VLOOKUP('Données projet'!$B$14,Paramètres!$A$1:$I$89,5,0)</f>
        <v>182.66215500000018</v>
      </c>
      <c r="DQ56" s="13">
        <f t="shared" si="43"/>
        <v>45.913959577546748</v>
      </c>
      <c r="DR56" s="20">
        <f t="shared" si="16"/>
        <v>398.10339955589421</v>
      </c>
      <c r="DS56" s="59">
        <f t="shared" si="17"/>
        <v>691.43673288922753</v>
      </c>
      <c r="DT56" s="59">
        <f ca="1">AVERAGE(OFFSET($DS$3,0,0,'Données projet'!$E$14+1,1))-AVERAGE(OFFSET($H$3,0,0,'Données projet'!$E$14+1,1))</f>
        <v>635.71275911100679</v>
      </c>
      <c r="DU56" s="59">
        <f t="shared" si="44"/>
        <v>281.7776857269169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23.08374576688832</v>
      </c>
      <c r="EC56" s="21">
        <f>EXP(-LN(2)/2)*EC55+(1-EXP(-LN(2)/2))/(LN(2)/2)*DW56*DZ56*VLOOKUP('Données projet'!$B$14,Paramètres!$A$1:$I$89,3,0)*0.475*44/12</f>
        <v>2.4340674358824077</v>
      </c>
      <c r="ED56" s="22">
        <f t="shared" si="18"/>
        <v>25.517813202770729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10.36375</v>
      </c>
      <c r="EJ56" s="12">
        <f>IF('Données projet'!$A$192&gt;35,EJ55+EI56-ER55,IF(A56&lt;'Données projet'!$A$192,$EG$205^A56,IF(A56='Données projet'!$A$192,'Données projet'!$B$192,EJ55+EI56-ER55)))</f>
        <v>201.88125000000022</v>
      </c>
      <c r="EK56" s="17">
        <f>EJ56*VLOOKUP('Données projet'!$B$15,Paramètres!$A$1:$I$89,3,0)*VLOOKUP('Données projet'!$B$15,Paramètres!$A$1:$I$89,5,0)</f>
        <v>135.42194250000017</v>
      </c>
      <c r="EL56" s="13">
        <f t="shared" si="45"/>
        <v>35.246216112353601</v>
      </c>
      <c r="EM56" s="20">
        <f t="shared" si="19"/>
        <v>297.24704291651614</v>
      </c>
      <c r="EN56" s="59">
        <f t="shared" si="20"/>
        <v>590.58037624984945</v>
      </c>
      <c r="EO56" s="59">
        <f ca="1">AVERAGE(OFFSET($EN$3,0,0,'Données projet'!$E$15+1,1))-AVERAGE(OFFSET($H$3,0,0,'Données projet'!$E$15+1,1))</f>
        <v>482.99915419700773</v>
      </c>
      <c r="EP56" s="59">
        <f t="shared" si="46"/>
        <v>219.74157899604279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21.093767683535884</v>
      </c>
      <c r="EX56" s="21">
        <f>EXP(-LN(2)/2)*EX55+(1-EXP(-LN(2)/2))/(LN(2)/2)*ER56*EU56*VLOOKUP('Données projet'!$B$15,Paramètres!$A$1:$I$89,3,0)*0.475*44/12</f>
        <v>1.8045672369473027</v>
      </c>
      <c r="EY56" s="22">
        <f t="shared" si="21"/>
        <v>22.898334920483187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10.36375</v>
      </c>
      <c r="FE56" s="12">
        <f>IF('Données projet'!$A$218&gt;35,FE55+FD56-FM55,IF(A56&lt;'Données projet'!$A$218,$FB$205^A56,IF(A56='Données projet'!$A$218,'Données projet'!$B$218,FE55+FD56-FM55)))</f>
        <v>201.88125000000022</v>
      </c>
      <c r="FF56" s="17">
        <f>FE56*VLOOKUP('Données projet'!$B$16,Paramètres!$A$1:$I$89,3,0)*VLOOKUP('Données projet'!$B$16,Paramètres!$A$1:$I$89,5,0)</f>
        <v>192.11019750000023</v>
      </c>
      <c r="FG56" s="13">
        <f t="shared" si="47"/>
        <v>48.00618723464968</v>
      </c>
      <c r="FH56" s="20">
        <f t="shared" si="22"/>
        <v>418.20270341284862</v>
      </c>
      <c r="FI56" s="59">
        <f t="shared" si="23"/>
        <v>711.53603674618194</v>
      </c>
      <c r="FJ56" s="59">
        <f ca="1">AVERAGE(OFFSET($FI$3,0,0,'Données projet'!$E$16+1,1))-AVERAGE(OFFSET($H$3,0,0,'Données projet'!$E$16+1,1))</f>
        <v>666.1523645983184</v>
      </c>
      <c r="FK56" s="59">
        <f t="shared" si="48"/>
        <v>294.13851344047526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24.277732616899787</v>
      </c>
      <c r="FS56" s="21">
        <f>EXP(-LN(2)/2)*FS55+(1-EXP(-LN(2)/2))/(LN(2)/2)*FM56*FP56*VLOOKUP('Données projet'!$B$16,Paramètres!$A$1:$I$89,3,0)*0.475*44/12</f>
        <v>2.5599674756694291</v>
      </c>
      <c r="FT56" s="22">
        <f t="shared" si="24"/>
        <v>26.837700092569214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7.4</v>
      </c>
      <c r="N57" s="13">
        <f>IF('Données projet'!$A$36&gt;35,N56+M57-V56,IF(A57&lt;'Données projet'!$A$36,$K$205^A57,IF(A57='Données projet'!$A$36,'Données projet'!$B$36,N56+M57-V56)))</f>
        <v>271.59999999999997</v>
      </c>
      <c r="O57" s="13">
        <f>N57*VLOOKUP('Données projet'!$B$9,Paramètres!$A$1:$I$89,3,0)*VLOOKUP('Données projet'!$B$9,Paramètres!$A$1:$I$89,5,0)</f>
        <v>199.13711999999995</v>
      </c>
      <c r="P57" s="13">
        <f t="shared" si="33"/>
        <v>49.554485124576232</v>
      </c>
      <c r="Q57" s="20">
        <f t="shared" si="53"/>
        <v>433.13787892530354</v>
      </c>
      <c r="R57" s="59">
        <f t="shared" si="0"/>
        <v>726.4712122586368</v>
      </c>
      <c r="S57" s="59">
        <f ca="1">AVERAGE(OFFSET($R$3,0,0,'Données projet'!$E$9+1,1))-AVERAGE(OFFSET($H$3,0,0,'Données projet'!$E$9+1,1))</f>
        <v>328.55631138162721</v>
      </c>
      <c r="T57" s="59">
        <f t="shared" si="34"/>
        <v>321.81422611044985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9.5796149878347983</v>
      </c>
      <c r="AA57" s="21">
        <f>EXP(-LN(2)/25)*AA56+(1-EXP(-LN(2)/25))/(LN(2)/25)*Calculateur!V57*Calculateur!X57*VLOOKUP('Données projet'!$B$9,Paramètres!$A$1:$I$89,3,0)*0.475*44/12</f>
        <v>11.99914471063885</v>
      </c>
      <c r="AB57" s="21">
        <f>EXP(-LN(2)/2)*AB56+(1-EXP(-LN(2)/2))/(LN(2)/2)*V57*Y57*VLOOKUP('Données projet'!$B$9,Paramètres!$A$1:$I$89,3,0)*0.475*44/12</f>
        <v>1.06238806544385</v>
      </c>
      <c r="AC57" s="22">
        <f t="shared" si="3"/>
        <v>22.641147763917498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7.4</v>
      </c>
      <c r="AI57" s="13">
        <f>IF('Données projet'!$A$62&gt;35,AI56+AH57-AQ56,IF(A57&lt;'Données projet'!$A$62,$AF$205^A57,IF(A57='Données projet'!$A$62,'Données projet'!$B$62,AI56+AH57-AQ56)))</f>
        <v>271.59999999999997</v>
      </c>
      <c r="AJ57" s="13">
        <f>AI57*VLOOKUP('Données projet'!$B$10,Paramètres!$A$1:$I$89,3,0)*VLOOKUP('Données projet'!$B$10,Paramètres!$A$1:$I$89,5,0)</f>
        <v>216.08496</v>
      </c>
      <c r="AK57" s="13">
        <f t="shared" si="35"/>
        <v>53.26308393083157</v>
      </c>
      <c r="AL57" s="20">
        <f t="shared" si="4"/>
        <v>469.11450984619825</v>
      </c>
      <c r="AM57" s="59">
        <f t="shared" si="5"/>
        <v>762.44784317953156</v>
      </c>
      <c r="AN57" s="59">
        <f ca="1">AVERAGE(OFFSET($AM$3,0,0,'Données projet'!$E$10+1,1))-AVERAGE(OFFSET($H$3,0,0,'Données projet'!$E$10+1,1))</f>
        <v>353.37479213497227</v>
      </c>
      <c r="AO57" s="59">
        <f t="shared" si="36"/>
        <v>345.4750813433123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12.81232029298242</v>
      </c>
      <c r="AV57" s="21">
        <f>EXP(-LN(2)/25)*AV56+(1-EXP(-LN(2)/25))/(LN(2)/25)*Calculateur!AQ57*Calculateur!AS57*VLOOKUP('Données projet'!$B$10,Paramètres!$A$1:$I$89,3,0)*0.475*44/12</f>
        <v>16.048336542729743</v>
      </c>
      <c r="AW57" s="21">
        <f>EXP(-LN(2)/2)*AW56+(1-EXP(-LN(2)/2))/(LN(2)/2)*AQ57*AT57*VLOOKUP('Données projet'!$B$10,Paramètres!$A$1:$I$89,3,0)*0.475*44/12</f>
        <v>1.1528040710135394</v>
      </c>
      <c r="AX57" s="21">
        <f t="shared" si="6"/>
        <v>30.013460906725701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7.4</v>
      </c>
      <c r="BD57" s="12">
        <f>IF('Données projet'!$A$88&gt;35,BD56+BC57-BL56,IF(A57&lt;'Données projet'!$A$88,$BA$205^A57,IF(A57='Données projet'!$A$88,'Données projet'!$B$88,BD56+BC57-BL56)))</f>
        <v>271.59999999999997</v>
      </c>
      <c r="BE57" s="13">
        <f>BD57*VLOOKUP('Données projet'!$B$11,Paramètres!$A$1:$I$89,3,0)*VLOOKUP('Données projet'!$B$11,Paramètres!$A$1:$I$89,5,0)</f>
        <v>220.32192000000001</v>
      </c>
      <c r="BF57" s="13">
        <f t="shared" si="37"/>
        <v>54.18484748666976</v>
      </c>
      <c r="BG57" s="20">
        <f t="shared" si="7"/>
        <v>478.09928670594991</v>
      </c>
      <c r="BH57" s="59">
        <f t="shared" si="8"/>
        <v>771.43262003928317</v>
      </c>
      <c r="BI57" s="59">
        <f ca="1">AVERAGE(OFFSET($BH$3,0,0,'Données projet'!$E$11+1,1))-AVERAGE(OFFSET($H$3,0,0,'Données projet'!$E$11+1,1))</f>
        <v>359.57284550600366</v>
      </c>
      <c r="BJ57" s="59">
        <f t="shared" si="38"/>
        <v>351.38386928091433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13.063542259511488</v>
      </c>
      <c r="BQ57" s="21">
        <f>EXP(-LN(2)/25)*BQ56+(1-EXP(-LN(2)/25))/(LN(2)/25)*Calculateur!BL57*Calculateur!BN57*VLOOKUP('Données projet'!$B$11,Paramètres!$A$1:$I$89,3,0)*0.475*44/12</f>
        <v>16.363009808273475</v>
      </c>
      <c r="BR57" s="21">
        <f>EXP(-LN(2)/2)*BR56+(1-EXP(-LN(2)/2))/(LN(2)/2)*BL57*BO57*VLOOKUP('Données projet'!$B$11,Paramètres!$A$1:$I$89,3,0)*0.475*44/12</f>
        <v>1.1754080724059619</v>
      </c>
      <c r="BS57" s="22">
        <f t="shared" si="9"/>
        <v>30.601960140190922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2.8205128205128234</v>
      </c>
      <c r="BY57" s="12">
        <f>IF('Données projet'!$A$114&gt;35,BY56+BX57-CG56,IF(A57&lt;'Données projet'!$A$114,$BV$205^A57,IF(A57='Données projet'!$A$114,'Données projet'!$B$114,BY56+BX57-CG56)))</f>
        <v>93.333333333333314</v>
      </c>
      <c r="BZ57" s="13">
        <f>BY57*VLOOKUP('Données projet'!$B$12,Paramètres!$A$1:$I$89,3,0)*VLOOKUP('Données projet'!$B$12,Paramètres!$A$1:$I$89,5,0)</f>
        <v>75.711999999999989</v>
      </c>
      <c r="CA57" s="13">
        <f t="shared" si="39"/>
        <v>21.085408061126401</v>
      </c>
      <c r="CB57" s="20">
        <f t="shared" si="10"/>
        <v>168.58881903979511</v>
      </c>
      <c r="CC57" s="59">
        <f t="shared" si="11"/>
        <v>461.92215237312843</v>
      </c>
      <c r="CD57" s="59">
        <f ca="1">AVERAGE(OFFSET($CC$3,0,0,'Données projet'!$E$12+1,1))-AVERAGE(OFFSET($H$3,0,0,'Données projet'!$E$12+1,1))</f>
        <v>159.4660488566085</v>
      </c>
      <c r="CE57" s="59">
        <f t="shared" si="40"/>
        <v>135.33030558297088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2.635487898171831</v>
      </c>
      <c r="CM57" s="21">
        <f>EXP(-LN(2)/2)*CM56+(1-EXP(-LN(2)/2))/(LN(2)/2)*CG57*CJ57*VLOOKUP('Données projet'!$B$12,Paramètres!$A$1:$I$89,3,0)*0.475*44/12</f>
        <v>0.40853655115061666</v>
      </c>
      <c r="CN57" s="22">
        <f t="shared" si="12"/>
        <v>3.0440244493224475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7.4</v>
      </c>
      <c r="CT57" s="12">
        <f>IF('Données projet'!$A$140&gt;35,CT56+CS57-DB56,IF(A57&lt;'Données projet'!$A$140,$CQ$205^A57,IF(A57='Données projet'!$A$140,'Données projet'!$B$140,CT56+CS57-DB56)))</f>
        <v>271.59999999999997</v>
      </c>
      <c r="CU57" s="17">
        <f>CT57*VLOOKUP('Données projet'!$B$13,Paramètres!$A$1:$I$89,3,0)*VLOOKUP('Données projet'!$B$13,Paramètres!$A$1:$I$89,5,0)</f>
        <v>216.08496</v>
      </c>
      <c r="CV57" s="13">
        <f t="shared" si="41"/>
        <v>53.26308393083157</v>
      </c>
      <c r="CW57" s="20">
        <f t="shared" si="13"/>
        <v>469.11450984619825</v>
      </c>
      <c r="CX57" s="59">
        <f t="shared" si="14"/>
        <v>762.44784317953156</v>
      </c>
      <c r="CY57" s="59">
        <f ca="1">AVERAGE(OFFSET($CX$3,0,0,'Données projet'!$E$13+1,1))-AVERAGE(OFFSET($H$3,0,0,'Données projet'!$E$13+1,1))</f>
        <v>353.37479213497227</v>
      </c>
      <c r="CZ57" s="59">
        <f t="shared" si="42"/>
        <v>345.4750813433123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12.81232029298242</v>
      </c>
      <c r="DG57" s="21">
        <f>EXP(-LN(2)/25)*DG56+(1-EXP(-LN(2)/25))/(LN(2)/25)*Calculateur!DB57*Calculateur!DD57*VLOOKUP('Données projet'!$B$13,Paramètres!$A$1:$I$89,3,0)*0.475*44/12</f>
        <v>16.048336542729743</v>
      </c>
      <c r="DH57" s="21">
        <f>EXP(-LN(2)/2)*DH56+(1-EXP(-LN(2)/2))/(LN(2)/2)*DB57*DE57*VLOOKUP('Données projet'!$B$13,Paramètres!$A$1:$I$89,3,0)*0.475*44/12</f>
        <v>1.1528040710135394</v>
      </c>
      <c r="DI57" s="22">
        <f t="shared" si="15"/>
        <v>30.013460906725701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10.36375</v>
      </c>
      <c r="DO57" s="12">
        <f>IF('Données projet'!$A$166&gt;35,DO56+DN57-DW56,IF(A57&lt;'Données projet'!$A$166,$DL$205^A57,IF(A57='Données projet'!$A$166,'Données projet'!$B$166,DO56+DN57-DW56)))</f>
        <v>212.24500000000023</v>
      </c>
      <c r="DP57" s="17">
        <f>DO57*VLOOKUP('Données projet'!$B$14,Paramètres!$A$1:$I$89,3,0)*VLOOKUP('Données projet'!$B$14,Paramètres!$A$1:$I$89,5,0)</f>
        <v>192.0392760000002</v>
      </c>
      <c r="DQ57" s="13">
        <f t="shared" si="43"/>
        <v>47.990527307113453</v>
      </c>
      <c r="DR57" s="20">
        <f t="shared" si="16"/>
        <v>418.05190742655623</v>
      </c>
      <c r="DS57" s="59">
        <f t="shared" si="17"/>
        <v>711.38524075988948</v>
      </c>
      <c r="DT57" s="59">
        <f ca="1">AVERAGE(OFFSET($DS$3,0,0,'Données projet'!$E$14+1,1))-AVERAGE(OFFSET($H$3,0,0,'Données projet'!$E$14+1,1))</f>
        <v>635.71275911100679</v>
      </c>
      <c r="DU57" s="59">
        <f t="shared" si="44"/>
        <v>281.7776857269169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22.452519524971329</v>
      </c>
      <c r="EC57" s="21">
        <f>EXP(-LN(2)/2)*EC56+(1-EXP(-LN(2)/2))/(LN(2)/2)*DW57*DZ57*VLOOKUP('Données projet'!$B$14,Paramètres!$A$1:$I$89,3,0)*0.475*44/12</f>
        <v>1.7211455897778025</v>
      </c>
      <c r="ED57" s="22">
        <f t="shared" si="18"/>
        <v>24.173665114749131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10.36375</v>
      </c>
      <c r="EJ57" s="12">
        <f>IF('Données projet'!$A$192&gt;35,EJ56+EI57-ER56,IF(A57&lt;'Données projet'!$A$192,$EG$205^A57,IF(A57='Données projet'!$A$192,'Données projet'!$B$192,EJ56+EI57-ER56)))</f>
        <v>212.24500000000023</v>
      </c>
      <c r="EK57" s="17">
        <f>EJ57*VLOOKUP('Données projet'!$B$15,Paramètres!$A$1:$I$89,3,0)*VLOOKUP('Données projet'!$B$15,Paramètres!$A$1:$I$89,5,0)</f>
        <v>142.37394600000016</v>
      </c>
      <c r="EL57" s="13">
        <f t="shared" si="45"/>
        <v>36.840309839875196</v>
      </c>
      <c r="EM57" s="20">
        <f t="shared" si="19"/>
        <v>312.13149558778292</v>
      </c>
      <c r="EN57" s="59">
        <f t="shared" si="20"/>
        <v>605.46482892111624</v>
      </c>
      <c r="EO57" s="59">
        <f ca="1">AVERAGE(OFFSET($EN$3,0,0,'Données projet'!$E$15+1,1))-AVERAGE(OFFSET($H$3,0,0,'Données projet'!$E$15+1,1))</f>
        <v>482.99915419700773</v>
      </c>
      <c r="EP57" s="59">
        <f t="shared" si="46"/>
        <v>219.74157899604279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20.516957496956564</v>
      </c>
      <c r="EX57" s="21">
        <f>EXP(-LN(2)/2)*EX56+(1-EXP(-LN(2)/2))/(LN(2)/2)*ER57*EU57*VLOOKUP('Données projet'!$B$15,Paramètres!$A$1:$I$89,3,0)*0.475*44/12</f>
        <v>1.2760217303525092</v>
      </c>
      <c r="EY57" s="22">
        <f t="shared" si="21"/>
        <v>21.792979227309075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10.36375</v>
      </c>
      <c r="FE57" s="12">
        <f>IF('Données projet'!$A$218&gt;35,FE56+FD57-FM56,IF(A57&lt;'Données projet'!$A$218,$FB$205^A57,IF(A57='Données projet'!$A$218,'Données projet'!$B$218,FE56+FD57-FM56)))</f>
        <v>212.24500000000023</v>
      </c>
      <c r="FF57" s="17">
        <f>FE57*VLOOKUP('Données projet'!$B$16,Paramètres!$A$1:$I$89,3,0)*VLOOKUP('Données projet'!$B$16,Paramètres!$A$1:$I$89,5,0)</f>
        <v>201.97234200000022</v>
      </c>
      <c r="FG57" s="13">
        <f t="shared" si="47"/>
        <v>50.177380922761891</v>
      </c>
      <c r="FH57" s="20">
        <f t="shared" si="22"/>
        <v>439.16076742381068</v>
      </c>
      <c r="FI57" s="59">
        <f t="shared" si="23"/>
        <v>732.494100757144</v>
      </c>
      <c r="FJ57" s="59">
        <f ca="1">AVERAGE(OFFSET($FI$3,0,0,'Données projet'!$E$16+1,1))-AVERAGE(OFFSET($H$3,0,0,'Données projet'!$E$16+1,1))</f>
        <v>666.1523645983184</v>
      </c>
      <c r="FK57" s="59">
        <f t="shared" si="48"/>
        <v>294.13851344047526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23.613856741780189</v>
      </c>
      <c r="FS57" s="21">
        <f>EXP(-LN(2)/2)*FS56+(1-EXP(-LN(2)/2))/(LN(2)/2)*FM57*FP57*VLOOKUP('Données projet'!$B$16,Paramètres!$A$1:$I$89,3,0)*0.475*44/12</f>
        <v>1.8101703616628615</v>
      </c>
      <c r="FT57" s="22">
        <f t="shared" si="24"/>
        <v>25.424027103443052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279</v>
      </c>
      <c r="L58" s="12">
        <f>VLOOKUP(A58,'Données projet'!$A$35:$I$55,9,0)</f>
        <v>7.4</v>
      </c>
      <c r="M58" s="12">
        <f t="array" ref="M58">INDEX(L:L,MIN(IF(ISNUMBER(L58:L254),ROW(L58:L254),"")))</f>
        <v>7.4</v>
      </c>
      <c r="N58" s="13">
        <f>IF('Données projet'!$A$36&gt;35,N57+M58-V57,IF(A58&lt;'Données projet'!$A$36,$K$205^A58,IF(A58='Données projet'!$A$36,'Données projet'!$B$36,N57+M58-V57)))</f>
        <v>278.99999999999994</v>
      </c>
      <c r="O58" s="13">
        <f>N58*VLOOKUP('Données projet'!$B$9,Paramètres!$A$1:$I$89,3,0)*VLOOKUP('Données projet'!$B$9,Paramètres!$A$1:$I$89,5,0)</f>
        <v>204.56279999999995</v>
      </c>
      <c r="P58" s="13">
        <f t="shared" si="33"/>
        <v>50.74561278586372</v>
      </c>
      <c r="Q58" s="20">
        <f t="shared" si="53"/>
        <v>444.66215226871259</v>
      </c>
      <c r="R58" s="59">
        <f t="shared" si="0"/>
        <v>737.99548560204585</v>
      </c>
      <c r="S58" s="59">
        <f ca="1">AVERAGE(OFFSET($R$3,0,0,'Données projet'!$E$9+1,1))-AVERAGE(OFFSET($H$3,0,0,'Données projet'!$E$9+1,1))</f>
        <v>328.55631138162721</v>
      </c>
      <c r="T58" s="59">
        <f t="shared" si="34"/>
        <v>321.81422611044985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16</v>
      </c>
      <c r="W58" s="16">
        <f>IF(ISNA(VLOOKUP(A58,'Données projet'!$A$35:$I$55,5,0)),0%,VLOOKUP(A58,'Données projet'!$A$35:$I$55,5,0)*VLOOKUP('Données projet'!$B$9,Paramètres!$A$1:$I$89,7,0))</f>
        <v>0.1075</v>
      </c>
      <c r="X58" s="16">
        <f>IF(ISNA(VLOOKUP(A58,'Données projet'!$A$35:$I$55,6,0)),0%,VLOOKUP(A58,'Données projet'!$A$35:$I$55,6,0)*VLOOKUP('Données projet'!$B$9,Paramètres!$A$1:$I$89,7,0))</f>
        <v>0.1075</v>
      </c>
      <c r="Y58" s="16">
        <f>IF(ISNA(VLOOKUP(A58,'Données projet'!$A$35:$I$55,7,0)),0%,VLOOKUP(A58,'Données projet'!$A$35:$I$55,7,0))</f>
        <v>0.25</v>
      </c>
      <c r="Z58" s="21">
        <f>EXP(-LN(2)/35)*Z57+(1-EXP(-LN(2)/35))/(LN(2)/35)*V58*W58*VLOOKUP('Données projet'!$B$9,Paramètres!$A$1:$I$89,3,0)*0.475*44/12</f>
        <v>10.785877698422075</v>
      </c>
      <c r="AA58" s="21">
        <f>EXP(-LN(2)/25)*AA57+(1-EXP(-LN(2)/25))/(LN(2)/25)*Calculateur!V58*Calculateur!X58*VLOOKUP('Données projet'!$B$9,Paramètres!$A$1:$I$89,3,0)*0.475*44/12</f>
        <v>13.059651430486975</v>
      </c>
      <c r="AB58" s="21">
        <f>EXP(-LN(2)/2)*AB57+(1-EXP(-LN(2)/2))/(LN(2)/2)*V58*Y58*VLOOKUP('Données projet'!$B$9,Paramètres!$A$1:$I$89,3,0)*0.475*44/12</f>
        <v>3.5183975404816863</v>
      </c>
      <c r="AC58" s="22">
        <f t="shared" si="3"/>
        <v>27.363926669390736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279</v>
      </c>
      <c r="AG58" s="12">
        <f>VLOOKUP(A58,'Données projet'!$A$61:$I$81,9,0)</f>
        <v>7.4</v>
      </c>
      <c r="AH58" s="12">
        <f t="array" ref="AH58">INDEX(AG:AG,MIN(IF(ISNUMBER(AG58:AG254),ROW(AG58:AG254),"")))</f>
        <v>7.4</v>
      </c>
      <c r="AI58" s="13">
        <f>IF('Données projet'!$A$62&gt;35,AI57+AH58-AQ57,IF(A58&lt;'Données projet'!$A$62,$AF$205^A58,IF(A58='Données projet'!$A$62,'Données projet'!$B$62,AI57+AH58-AQ57)))</f>
        <v>278.99999999999994</v>
      </c>
      <c r="AJ58" s="13">
        <f>AI58*VLOOKUP('Données projet'!$B$10,Paramètres!$A$1:$I$89,3,0)*VLOOKUP('Données projet'!$B$10,Paramètres!$A$1:$I$89,5,0)</f>
        <v>221.97239999999996</v>
      </c>
      <c r="AK58" s="13">
        <f t="shared" si="35"/>
        <v>54.543354171476821</v>
      </c>
      <c r="AL58" s="20">
        <f t="shared" si="4"/>
        <v>481.59827184865543</v>
      </c>
      <c r="AM58" s="59">
        <f t="shared" si="5"/>
        <v>774.93160518198874</v>
      </c>
      <c r="AN58" s="59">
        <f ca="1">AVERAGE(OFFSET($AM$3,0,0,'Données projet'!$E$10+1,1))-AVERAGE(OFFSET($H$3,0,0,'Données projet'!$E$10+1,1))</f>
        <v>353.37479213497227</v>
      </c>
      <c r="AO58" s="59">
        <f t="shared" si="36"/>
        <v>345.4750813433123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16</v>
      </c>
      <c r="AR58" s="16">
        <f>IF(ISNA(VLOOKUP(A58,'Données projet'!$A$61:$I$81,5,0)),0%,VLOOKUP(A58,'Données projet'!$A$61:$I$81,5,0)*VLOOKUP('Données projet'!$B$10,Paramètres!$A$1:$I$89,7,0))</f>
        <v>0.13250000000000001</v>
      </c>
      <c r="AS58" s="16">
        <f>IF(ISNA(VLOOKUP(A58,'Données projet'!$A$61:$I$81,6,0)),0%,VLOOKUP(A58,'Données projet'!$A$61:$I$81,6,0)*VLOOKUP('Données projet'!$B$10,Paramètres!$A$1:$I$89,7,0))</f>
        <v>0.13250000000000001</v>
      </c>
      <c r="AT58" s="16">
        <f>IF(ISNA(VLOOKUP(A58,'Données projet'!$A$61:$I$81,7,0)),0%,VLOOKUP(A58,'Données projet'!$A$61:$I$81,7,0))</f>
        <v>0.25</v>
      </c>
      <c r="AU58" s="21">
        <f>EXP(-LN(2)/35)*AU57+(1-EXP(-LN(2)/35))/(LN(2)/35)*AQ58*AR58*VLOOKUP('Données projet'!$B$10,Paramètres!$A$1:$I$89,3,0)*0.475*44/12</f>
        <v>14.425644442768373</v>
      </c>
      <c r="AV58" s="21">
        <f>EXP(-LN(2)/25)*AV57+(1-EXP(-LN(2)/25))/(LN(2)/25)*Calculateur!AQ58*Calculateur!AS58*VLOOKUP('Données projet'!$B$10,Paramètres!$A$1:$I$89,3,0)*0.475*44/12</f>
        <v>17.466718365465756</v>
      </c>
      <c r="AW58" s="21">
        <f>EXP(-LN(2)/2)*AW57+(1-EXP(-LN(2)/2))/(LN(2)/2)*AQ58*AT58*VLOOKUP('Données projet'!$B$10,Paramètres!$A$1:$I$89,3,0)*0.475*44/12</f>
        <v>3.8178356290333193</v>
      </c>
      <c r="AX58" s="21">
        <f t="shared" si="6"/>
        <v>35.710198437267451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279</v>
      </c>
      <c r="BB58" s="12">
        <f>VLOOKUP(A58,'Données projet'!$A$87:$I$107,9,0)</f>
        <v>7.4</v>
      </c>
      <c r="BC58" s="12">
        <f t="array" ref="BC58">INDEX(BB:BB,MIN(IF(ISNUMBER(BB58:BB254),ROW(BB58:BB254),"")))</f>
        <v>7.4</v>
      </c>
      <c r="BD58" s="12">
        <f>IF('Données projet'!$A$88&gt;35,BD57+BC58-BL57,IF(A58&lt;'Données projet'!$A$88,$BA$205^A58,IF(A58='Données projet'!$A$88,'Données projet'!$B$88,BD57+BC58-BL57)))</f>
        <v>278.99999999999994</v>
      </c>
      <c r="BE58" s="13">
        <f>BD58*VLOOKUP('Données projet'!$B$11,Paramètres!$A$1:$I$89,3,0)*VLOOKUP('Données projet'!$B$11,Paramètres!$A$1:$I$89,5,0)</f>
        <v>226.32479999999998</v>
      </c>
      <c r="BF58" s="13">
        <f t="shared" si="37"/>
        <v>55.48727390683667</v>
      </c>
      <c r="BG58" s="20">
        <f t="shared" si="7"/>
        <v>490.82269538774045</v>
      </c>
      <c r="BH58" s="59">
        <f t="shared" si="8"/>
        <v>784.15602872107377</v>
      </c>
      <c r="BI58" s="59">
        <f ca="1">AVERAGE(OFFSET($BH$3,0,0,'Données projet'!$E$11+1,1))-AVERAGE(OFFSET($H$3,0,0,'Données projet'!$E$11+1,1))</f>
        <v>359.57284550600366</v>
      </c>
      <c r="BJ58" s="59">
        <f t="shared" si="38"/>
        <v>351.38386928091433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16</v>
      </c>
      <c r="BM58" s="16">
        <f>IF(ISNA(VLOOKUP(A58,'Données projet'!$A$87:$I$107,5,0)),0%,VLOOKUP(A58,'Données projet'!$A$87:$I$107,5,0)*VLOOKUP('Données projet'!$B$11,Paramètres!$A$1:$I$89,7,0))</f>
        <v>0.13250000000000001</v>
      </c>
      <c r="BN58" s="16">
        <f>IF(ISNA(VLOOKUP(A58,'Données projet'!$A$87:$I$107,6,0)),0%,VLOOKUP(A58,'Données projet'!$A$87:$I$107,6,0)*VLOOKUP('Données projet'!$B$11,Paramètres!$A$1:$I$89,7,0))</f>
        <v>0.13250000000000001</v>
      </c>
      <c r="BO58" s="16">
        <f>IF(ISNA(VLOOKUP(A58,'Données projet'!$A$87:$I$107,7,0)),0%,VLOOKUP(A58,'Données projet'!$A$87:$I$107,7,0))</f>
        <v>0.25</v>
      </c>
      <c r="BP58" s="21">
        <f>EXP(-LN(2)/35)*BP57+(1-EXP(-LN(2)/35))/(LN(2)/35)*BL58*BM58*VLOOKUP('Données projet'!$B$11,Paramètres!$A$1:$I$89,3,0)*0.475*44/12</f>
        <v>14.708500216155988</v>
      </c>
      <c r="BQ58" s="21">
        <f>EXP(-LN(2)/25)*BQ57+(1-EXP(-LN(2)/25))/(LN(2)/25)*Calculateur!BL58*Calculateur!BN58*VLOOKUP('Données projet'!$B$11,Paramètres!$A$1:$I$89,3,0)*0.475*44/12</f>
        <v>17.809203039298428</v>
      </c>
      <c r="BR58" s="21">
        <f>EXP(-LN(2)/2)*BR57+(1-EXP(-LN(2)/2))/(LN(2)/2)*BL58*BO58*VLOOKUP('Données projet'!$B$11,Paramètres!$A$1:$I$89,3,0)*0.475*44/12</f>
        <v>3.8926951511712282</v>
      </c>
      <c r="BS58" s="22">
        <f t="shared" si="9"/>
        <v>36.410398406625646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96.15384615384616</v>
      </c>
      <c r="BW58" s="12">
        <f>VLOOKUP(A58,'Données projet'!$A$113:$I$133,9,0)</f>
        <v>2.8205128205128234</v>
      </c>
      <c r="BX58" s="12">
        <f t="array" ref="BX58">INDEX(BW:BW,MIN(IF(ISNUMBER(BW58:BW254),ROW(BW58:BW254),"")))</f>
        <v>2.8205128205128234</v>
      </c>
      <c r="BY58" s="12">
        <f>IF('Données projet'!$A$114&gt;35,BY57+BX58-CG57,IF(A58&lt;'Données projet'!$A$114,$BV$205^A58,IF(A58='Données projet'!$A$114,'Données projet'!$B$114,BY57+BX58-CG57)))</f>
        <v>96.153846153846132</v>
      </c>
      <c r="BZ58" s="13">
        <f>BY58*VLOOKUP('Données projet'!$B$12,Paramètres!$A$1:$I$89,3,0)*VLOOKUP('Données projet'!$B$12,Paramètres!$A$1:$I$89,5,0)</f>
        <v>77.999999999999986</v>
      </c>
      <c r="CA58" s="13">
        <f t="shared" si="39"/>
        <v>21.647455512768612</v>
      </c>
      <c r="CB58" s="20">
        <f t="shared" si="10"/>
        <v>173.55265168473863</v>
      </c>
      <c r="CC58" s="59">
        <f t="shared" si="11"/>
        <v>466.88598501807195</v>
      </c>
      <c r="CD58" s="59">
        <f ca="1">AVERAGE(OFFSET($CC$3,0,0,'Données projet'!$E$12+1,1))-AVERAGE(OFFSET($H$3,0,0,'Données projet'!$E$12+1,1))</f>
        <v>159.4660488566085</v>
      </c>
      <c r="CE58" s="59">
        <f t="shared" si="40"/>
        <v>135.33030558297088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7.0512820512820511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0.1075</v>
      </c>
      <c r="CJ58" s="16">
        <f>IF(ISNA(VLOOKUP(A58,'Données projet'!$A$113:$I$133,7,0)),0%,VLOOKUP(A58,'Données projet'!$A$113:$I$133,7,0))</f>
        <v>0.25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3.2404976299102612</v>
      </c>
      <c r="CM58" s="21">
        <f>EXP(-LN(2)/2)*CM57+(1-EXP(-LN(2)/2))/(LN(2)/2)*CG58*CJ58*VLOOKUP('Données projet'!$B$12,Paramètres!$A$1:$I$89,3,0)*0.475*44/12</f>
        <v>1.6381224535668713</v>
      </c>
      <c r="CN58" s="22">
        <f t="shared" si="12"/>
        <v>4.8786200834771325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279</v>
      </c>
      <c r="CR58" s="12">
        <f>VLOOKUP(A58,'Données projet'!$A$139:$I$159,9,0)</f>
        <v>7.4</v>
      </c>
      <c r="CS58" s="12">
        <f t="array" ref="CS58">INDEX(CR:CR,MIN(IF(ISNUMBER(CR58:CR254),ROW(CR58:CR254),"")))</f>
        <v>7.4</v>
      </c>
      <c r="CT58" s="12">
        <f>IF('Données projet'!$A$140&gt;35,CT57+CS58-DB57,IF(A58&lt;'Données projet'!$A$140,$CQ$205^A58,IF(A58='Données projet'!$A$140,'Données projet'!$B$140,CT57+CS58-DB57)))</f>
        <v>278.99999999999994</v>
      </c>
      <c r="CU58" s="17">
        <f>CT58*VLOOKUP('Données projet'!$B$13,Paramètres!$A$1:$I$89,3,0)*VLOOKUP('Données projet'!$B$13,Paramètres!$A$1:$I$89,5,0)</f>
        <v>221.97239999999996</v>
      </c>
      <c r="CV58" s="13">
        <f t="shared" si="41"/>
        <v>54.543354171476821</v>
      </c>
      <c r="CW58" s="20">
        <f t="shared" si="13"/>
        <v>481.59827184865543</v>
      </c>
      <c r="CX58" s="59">
        <f t="shared" si="14"/>
        <v>774.93160518198874</v>
      </c>
      <c r="CY58" s="59">
        <f ca="1">AVERAGE(OFFSET($CX$3,0,0,'Données projet'!$E$13+1,1))-AVERAGE(OFFSET($H$3,0,0,'Données projet'!$E$13+1,1))</f>
        <v>353.37479213497227</v>
      </c>
      <c r="CZ58" s="59">
        <f t="shared" si="42"/>
        <v>345.4750813433123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16</v>
      </c>
      <c r="DC58" s="16">
        <f>IF(ISNA(VLOOKUP(A58,'Données projet'!$A$139:$I$159,5,0)),0%,VLOOKUP(A58,'Données projet'!$A$139:$I$159,5,0)*VLOOKUP('Données projet'!$B$13,Paramètres!$A$1:$I$89,7,0))</f>
        <v>0.13250000000000001</v>
      </c>
      <c r="DD58" s="16">
        <f>IF(ISNA(VLOOKUP(A58,'Données projet'!$A$139:$I$159,6,0)),0%,VLOOKUP(A58,'Données projet'!$A$139:$I$159,6,0)*VLOOKUP('Données projet'!$B$13,Paramètres!$A$1:$I$89,7,0))</f>
        <v>0.13250000000000001</v>
      </c>
      <c r="DE58" s="16">
        <f>IF(ISNA(VLOOKUP(A58,'Données projet'!$A$139:$I$159,7,0)),0%,VLOOKUP(A58,'Données projet'!$A$139:$I$159,7,0))</f>
        <v>0.25</v>
      </c>
      <c r="DF58" s="21">
        <f>EXP(-LN(2)/35)*DF57+(1-EXP(-LN(2)/35))/(LN(2)/35)*DB58*DC58*VLOOKUP('Données projet'!$B$13,Paramètres!$A$1:$I$89,3,0)*0.475*44/12</f>
        <v>14.425644442768373</v>
      </c>
      <c r="DG58" s="21">
        <f>EXP(-LN(2)/25)*DG57+(1-EXP(-LN(2)/25))/(LN(2)/25)*Calculateur!DB58*Calculateur!DD58*VLOOKUP('Données projet'!$B$13,Paramètres!$A$1:$I$89,3,0)*0.475*44/12</f>
        <v>17.466718365465756</v>
      </c>
      <c r="DH58" s="21">
        <f>EXP(-LN(2)/2)*DH57+(1-EXP(-LN(2)/2))/(LN(2)/2)*DB58*DE58*VLOOKUP('Données projet'!$B$13,Paramètres!$A$1:$I$89,3,0)*0.475*44/12</f>
        <v>3.8178356290333193</v>
      </c>
      <c r="DI58" s="22">
        <f t="shared" si="15"/>
        <v>35.710198437267451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10.36375</v>
      </c>
      <c r="DO58" s="12">
        <f>IF('Données projet'!$A$166&gt;35,DO57+DN58-DW57,IF(A58&lt;'Données projet'!$A$166,$DL$205^A58,IF(A58='Données projet'!$A$166,'Données projet'!$B$166,DO57+DN58-DW57)))</f>
        <v>222.60875000000024</v>
      </c>
      <c r="DP58" s="17">
        <f>DO58*VLOOKUP('Données projet'!$B$14,Paramètres!$A$1:$I$89,3,0)*VLOOKUP('Données projet'!$B$14,Paramètres!$A$1:$I$89,5,0)</f>
        <v>201.41639700000019</v>
      </c>
      <c r="DQ58" s="13">
        <f t="shared" si="43"/>
        <v>50.055320951535919</v>
      </c>
      <c r="DR58" s="20">
        <f t="shared" si="16"/>
        <v>437.97990876559203</v>
      </c>
      <c r="DS58" s="59">
        <f t="shared" si="17"/>
        <v>731.31324209892534</v>
      </c>
      <c r="DT58" s="59">
        <f ca="1">AVERAGE(OFFSET($DS$3,0,0,'Données projet'!$E$14+1,1))-AVERAGE(OFFSET($H$3,0,0,'Données projet'!$E$14+1,1))</f>
        <v>635.71275911100679</v>
      </c>
      <c r="DU58" s="59">
        <f t="shared" si="44"/>
        <v>281.7776857269169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21.838554197834302</v>
      </c>
      <c r="EC58" s="21">
        <f>EXP(-LN(2)/2)*EC57+(1-EXP(-LN(2)/2))/(LN(2)/2)*DW58*DZ58*VLOOKUP('Données projet'!$B$14,Paramètres!$A$1:$I$89,3,0)*0.475*44/12</f>
        <v>1.2170337179412041</v>
      </c>
      <c r="ED58" s="22">
        <f t="shared" si="18"/>
        <v>23.055587915775504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10.36375</v>
      </c>
      <c r="EJ58" s="12">
        <f>IF('Données projet'!$A$192&gt;35,EJ57+EI58-ER57,IF(A58&lt;'Données projet'!$A$192,$EG$205^A58,IF(A58='Données projet'!$A$192,'Données projet'!$B$192,EJ57+EI58-ER57)))</f>
        <v>222.60875000000024</v>
      </c>
      <c r="EK58" s="17">
        <f>EJ58*VLOOKUP('Données projet'!$B$15,Paramètres!$A$1:$I$89,3,0)*VLOOKUP('Données projet'!$B$15,Paramètres!$A$1:$I$89,5,0)</f>
        <v>149.32594950000015</v>
      </c>
      <c r="EL58" s="13">
        <f t="shared" si="45"/>
        <v>38.425365097325034</v>
      </c>
      <c r="EM58" s="20">
        <f t="shared" si="19"/>
        <v>327.00020625700802</v>
      </c>
      <c r="EN58" s="59">
        <f t="shared" si="20"/>
        <v>620.33353959034139</v>
      </c>
      <c r="EO58" s="59">
        <f ca="1">AVERAGE(OFFSET($EN$3,0,0,'Données projet'!$E$15+1,1))-AVERAGE(OFFSET($H$3,0,0,'Données projet'!$E$15+1,1))</f>
        <v>482.99915419700773</v>
      </c>
      <c r="EP58" s="59">
        <f t="shared" si="46"/>
        <v>219.74157899604279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19.955920215262385</v>
      </c>
      <c r="EX58" s="21">
        <f>EXP(-LN(2)/2)*EX57+(1-EXP(-LN(2)/2))/(LN(2)/2)*ER58*EU58*VLOOKUP('Données projet'!$B$15,Paramètres!$A$1:$I$89,3,0)*0.475*44/12</f>
        <v>0.90228361847365157</v>
      </c>
      <c r="EY58" s="22">
        <f t="shared" si="21"/>
        <v>20.858203833736034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10.36375</v>
      </c>
      <c r="FE58" s="12">
        <f>IF('Données projet'!$A$218&gt;35,FE57+FD58-FM57,IF(A58&lt;'Données projet'!$A$218,$FB$205^A58,IF(A58='Données projet'!$A$218,'Données projet'!$B$218,FE57+FD58-FM57)))</f>
        <v>222.60875000000024</v>
      </c>
      <c r="FF58" s="17">
        <f>FE58*VLOOKUP('Données projet'!$B$16,Paramètres!$A$1:$I$89,3,0)*VLOOKUP('Données projet'!$B$16,Paramètres!$A$1:$I$89,5,0)</f>
        <v>211.83448650000022</v>
      </c>
      <c r="FG58" s="13">
        <f t="shared" si="47"/>
        <v>52.336263999000323</v>
      </c>
      <c r="FH58" s="20">
        <f t="shared" si="22"/>
        <v>460.09739045242594</v>
      </c>
      <c r="FI58" s="59">
        <f t="shared" si="23"/>
        <v>753.43072378575926</v>
      </c>
      <c r="FJ58" s="59">
        <f ca="1">AVERAGE(OFFSET($FI$3,0,0,'Données projet'!$E$16+1,1))-AVERAGE(OFFSET($H$3,0,0,'Données projet'!$E$16+1,1))</f>
        <v>666.1523645983184</v>
      </c>
      <c r="FK58" s="59">
        <f t="shared" si="48"/>
        <v>294.13851344047526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22.968134587377456</v>
      </c>
      <c r="FS58" s="21">
        <f>EXP(-LN(2)/2)*FS57+(1-EXP(-LN(2)/2))/(LN(2)/2)*FM58*FP58*VLOOKUP('Données projet'!$B$16,Paramètres!$A$1:$I$89,3,0)*0.475*44/12</f>
        <v>1.2799837378347148</v>
      </c>
      <c r="FT58" s="22">
        <f t="shared" si="24"/>
        <v>24.248118325212172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6.2</v>
      </c>
      <c r="N59" s="13">
        <f>IF('Données projet'!$A$36&gt;35,N58+M59-V58,IF(A59&lt;'Données projet'!$A$36,$K$205^A59,IF(A59='Données projet'!$A$36,'Données projet'!$B$36,N58+M59-V58)))</f>
        <v>269.19999999999993</v>
      </c>
      <c r="O59" s="13">
        <f>N59*VLOOKUP('Données projet'!$B$9,Paramètres!$A$1:$I$89,3,0)*VLOOKUP('Données projet'!$B$9,Paramètres!$A$1:$I$89,5,0)</f>
        <v>197.37743999999995</v>
      </c>
      <c r="P59" s="13">
        <f t="shared" si="33"/>
        <v>49.167366395757924</v>
      </c>
      <c r="Q59" s="20">
        <f t="shared" si="53"/>
        <v>429.39887113927824</v>
      </c>
      <c r="R59" s="59">
        <f t="shared" si="0"/>
        <v>722.73220447261156</v>
      </c>
      <c r="S59" s="59">
        <f ca="1">AVERAGE(OFFSET($R$3,0,0,'Données projet'!$E$9+1,1))-AVERAGE(OFFSET($H$3,0,0,'Données projet'!$E$9+1,1))</f>
        <v>328.55631138162721</v>
      </c>
      <c r="T59" s="59">
        <f t="shared" si="34"/>
        <v>321.81422611044985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10.574373215491818</v>
      </c>
      <c r="AA59" s="21">
        <f>EXP(-LN(2)/25)*AA58+(1-EXP(-LN(2)/25))/(LN(2)/25)*Calculateur!V59*Calculateur!X59*VLOOKUP('Données projet'!$B$9,Paramètres!$A$1:$I$89,3,0)*0.475*44/12</f>
        <v>12.702534575343087</v>
      </c>
      <c r="AB59" s="21">
        <f>EXP(-LN(2)/2)*AB58+(1-EXP(-LN(2)/2))/(LN(2)/2)*V59*Y59*VLOOKUP('Données projet'!$B$9,Paramètres!$A$1:$I$89,3,0)*0.475*44/12</f>
        <v>2.4878827597846711</v>
      </c>
      <c r="AC59" s="22">
        <f t="shared" si="3"/>
        <v>25.764790550619576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6.2</v>
      </c>
      <c r="AI59" s="13">
        <f>IF('Données projet'!$A$62&gt;35,AI58+AH59-AQ58,IF(A59&lt;'Données projet'!$A$62,$AF$205^A59,IF(A59='Données projet'!$A$62,'Données projet'!$B$62,AI58+AH59-AQ58)))</f>
        <v>269.19999999999993</v>
      </c>
      <c r="AJ59" s="13">
        <f>AI59*VLOOKUP('Données projet'!$B$10,Paramètres!$A$1:$I$89,3,0)*VLOOKUP('Données projet'!$B$10,Paramètres!$A$1:$I$89,5,0)</f>
        <v>214.17551999999998</v>
      </c>
      <c r="AK59" s="13">
        <f t="shared" si="35"/>
        <v>52.846993696165399</v>
      </c>
      <c r="AL59" s="20">
        <f t="shared" si="4"/>
        <v>465.06421135415468</v>
      </c>
      <c r="AM59" s="59">
        <f t="shared" si="5"/>
        <v>758.39754468748799</v>
      </c>
      <c r="AN59" s="59">
        <f ca="1">AVERAGE(OFFSET($AM$3,0,0,'Données projet'!$E$10+1,1))-AVERAGE(OFFSET($H$3,0,0,'Données projet'!$E$10+1,1))</f>
        <v>353.37479213497227</v>
      </c>
      <c r="AO59" s="59">
        <f t="shared" si="36"/>
        <v>345.4750813433123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14.142766354019988</v>
      </c>
      <c r="AV59" s="21">
        <f>EXP(-LN(2)/25)*AV58+(1-EXP(-LN(2)/25))/(LN(2)/25)*Calculateur!AQ59*Calculateur!AS59*VLOOKUP('Données projet'!$B$10,Paramètres!$A$1:$I$89,3,0)*0.475*44/12</f>
        <v>16.989090033227296</v>
      </c>
      <c r="AW59" s="21">
        <f>EXP(-LN(2)/2)*AW58+(1-EXP(-LN(2)/2))/(LN(2)/2)*AQ59*AT59*VLOOKUP('Données projet'!$B$10,Paramètres!$A$1:$I$89,3,0)*0.475*44/12</f>
        <v>2.6996174627450684</v>
      </c>
      <c r="AX59" s="21">
        <f t="shared" si="6"/>
        <v>33.831473849992349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6.2</v>
      </c>
      <c r="BD59" s="12">
        <f>IF('Données projet'!$A$88&gt;35,BD58+BC59-BL58,IF(A59&lt;'Données projet'!$A$88,$BA$205^A59,IF(A59='Données projet'!$A$88,'Données projet'!$B$88,BD58+BC59-BL58)))</f>
        <v>269.19999999999993</v>
      </c>
      <c r="BE59" s="13">
        <f>BD59*VLOOKUP('Données projet'!$B$11,Paramètres!$A$1:$I$89,3,0)*VLOOKUP('Données projet'!$B$11,Paramètres!$A$1:$I$89,5,0)</f>
        <v>218.37503999999998</v>
      </c>
      <c r="BF59" s="13">
        <f t="shared" si="37"/>
        <v>53.761556452013281</v>
      </c>
      <c r="BG59" s="20">
        <f t="shared" si="7"/>
        <v>473.97123882058969</v>
      </c>
      <c r="BH59" s="59">
        <f t="shared" si="8"/>
        <v>767.304572153923</v>
      </c>
      <c r="BI59" s="59">
        <f ca="1">AVERAGE(OFFSET($BH$3,0,0,'Données projet'!$E$11+1,1))-AVERAGE(OFFSET($H$3,0,0,'Données projet'!$E$11+1,1))</f>
        <v>359.57284550600366</v>
      </c>
      <c r="BJ59" s="59">
        <f t="shared" si="38"/>
        <v>351.38386928091433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14.420075498216459</v>
      </c>
      <c r="BQ59" s="21">
        <f>EXP(-LN(2)/25)*BQ58+(1-EXP(-LN(2)/25))/(LN(2)/25)*Calculateur!BL59*Calculateur!BN59*VLOOKUP('Données projet'!$B$11,Paramètres!$A$1:$I$89,3,0)*0.475*44/12</f>
        <v>17.322209445643526</v>
      </c>
      <c r="BR59" s="21">
        <f>EXP(-LN(2)/2)*BR58+(1-EXP(-LN(2)/2))/(LN(2)/2)*BL59*BO59*VLOOKUP('Données projet'!$B$11,Paramètres!$A$1:$I$89,3,0)*0.475*44/12</f>
        <v>2.7525511384851682</v>
      </c>
      <c r="BS59" s="22">
        <f t="shared" si="9"/>
        <v>34.494836082345152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2.6923076923076907</v>
      </c>
      <c r="BY59" s="12">
        <f>IF('Données projet'!$A$114&gt;35,BY58+BX59-CG58,IF(A59&lt;'Données projet'!$A$114,$BV$205^A59,IF(A59='Données projet'!$A$114,'Données projet'!$B$114,BY58+BX59-CG58)))</f>
        <v>91.794871794871767</v>
      </c>
      <c r="BZ59" s="13">
        <f>BY59*VLOOKUP('Données projet'!$B$12,Paramètres!$A$1:$I$89,3,0)*VLOOKUP('Données projet'!$B$12,Paramètres!$A$1:$I$89,5,0)</f>
        <v>74.463999999999984</v>
      </c>
      <c r="CA59" s="13">
        <f t="shared" si="39"/>
        <v>20.778006126410563</v>
      </c>
      <c r="CB59" s="20">
        <f t="shared" si="10"/>
        <v>165.87982733683168</v>
      </c>
      <c r="CC59" s="59">
        <f t="shared" si="11"/>
        <v>459.213160670165</v>
      </c>
      <c r="CD59" s="59">
        <f ca="1">AVERAGE(OFFSET($CC$3,0,0,'Données projet'!$E$12+1,1))-AVERAGE(OFFSET($H$3,0,0,'Données projet'!$E$12+1,1))</f>
        <v>159.4660488566085</v>
      </c>
      <c r="CE59" s="59">
        <f t="shared" si="40"/>
        <v>135.33030558297088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3.1518860518100009</v>
      </c>
      <c r="CM59" s="21">
        <f>EXP(-LN(2)/2)*CM58+(1-EXP(-LN(2)/2))/(LN(2)/2)*CG59*CJ59*VLOOKUP('Données projet'!$B$12,Paramètres!$A$1:$I$89,3,0)*0.475*44/12</f>
        <v>1.15832749533108</v>
      </c>
      <c r="CN59" s="22">
        <f t="shared" si="12"/>
        <v>4.310213547141081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6.2</v>
      </c>
      <c r="CT59" s="12">
        <f>IF('Données projet'!$A$140&gt;35,CT58+CS59-DB58,IF(A59&lt;'Données projet'!$A$140,$CQ$205^A59,IF(A59='Données projet'!$A$140,'Données projet'!$B$140,CT58+CS59-DB58)))</f>
        <v>269.19999999999993</v>
      </c>
      <c r="CU59" s="17">
        <f>CT59*VLOOKUP('Données projet'!$B$13,Paramètres!$A$1:$I$89,3,0)*VLOOKUP('Données projet'!$B$13,Paramètres!$A$1:$I$89,5,0)</f>
        <v>214.17551999999998</v>
      </c>
      <c r="CV59" s="13">
        <f t="shared" si="41"/>
        <v>52.846993696165399</v>
      </c>
      <c r="CW59" s="20">
        <f t="shared" si="13"/>
        <v>465.06421135415468</v>
      </c>
      <c r="CX59" s="59">
        <f t="shared" si="14"/>
        <v>758.39754468748799</v>
      </c>
      <c r="CY59" s="59">
        <f ca="1">AVERAGE(OFFSET($CX$3,0,0,'Données projet'!$E$13+1,1))-AVERAGE(OFFSET($H$3,0,0,'Données projet'!$E$13+1,1))</f>
        <v>353.37479213497227</v>
      </c>
      <c r="CZ59" s="59">
        <f t="shared" si="42"/>
        <v>345.4750813433123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14.142766354019988</v>
      </c>
      <c r="DG59" s="21">
        <f>EXP(-LN(2)/25)*DG58+(1-EXP(-LN(2)/25))/(LN(2)/25)*Calculateur!DB59*Calculateur!DD59*VLOOKUP('Données projet'!$B$13,Paramètres!$A$1:$I$89,3,0)*0.475*44/12</f>
        <v>16.989090033227296</v>
      </c>
      <c r="DH59" s="21">
        <f>EXP(-LN(2)/2)*DH58+(1-EXP(-LN(2)/2))/(LN(2)/2)*DB59*DE59*VLOOKUP('Données projet'!$B$13,Paramètres!$A$1:$I$89,3,0)*0.475*44/12</f>
        <v>2.6996174627450684</v>
      </c>
      <c r="DI59" s="22">
        <f t="shared" si="15"/>
        <v>33.831473849992349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10.36375</v>
      </c>
      <c r="DO59" s="12">
        <f>IF('Données projet'!$A$166&gt;35,DO58+DN59-DW58,IF(A59&lt;'Données projet'!$A$166,$DL$205^A59,IF(A59='Données projet'!$A$166,'Données projet'!$B$166,DO58+DN59-DW58)))</f>
        <v>232.97250000000025</v>
      </c>
      <c r="DP59" s="17">
        <f>DO59*VLOOKUP('Données projet'!$B$14,Paramètres!$A$1:$I$89,3,0)*VLOOKUP('Données projet'!$B$14,Paramètres!$A$1:$I$89,5,0)</f>
        <v>210.7935180000002</v>
      </c>
      <c r="DQ59" s="13">
        <f t="shared" si="43"/>
        <v>52.108951264882847</v>
      </c>
      <c r="DR59" s="20">
        <f t="shared" si="16"/>
        <v>457.88846730300457</v>
      </c>
      <c r="DS59" s="59">
        <f t="shared" si="17"/>
        <v>751.22180063633789</v>
      </c>
      <c r="DT59" s="59">
        <f ca="1">AVERAGE(OFFSET($DS$3,0,0,'Données projet'!$E$14+1,1))-AVERAGE(OFFSET($H$3,0,0,'Données projet'!$E$14+1,1))</f>
        <v>635.71275911100679</v>
      </c>
      <c r="DU59" s="59">
        <f t="shared" si="44"/>
        <v>281.7776857269169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21.241377784854869</v>
      </c>
      <c r="EC59" s="21">
        <f>EXP(-LN(2)/2)*EC58+(1-EXP(-LN(2)/2))/(LN(2)/2)*DW59*DZ59*VLOOKUP('Données projet'!$B$14,Paramètres!$A$1:$I$89,3,0)*0.475*44/12</f>
        <v>0.86057279488890148</v>
      </c>
      <c r="ED59" s="22">
        <f t="shared" si="18"/>
        <v>22.101950579743772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10.36375</v>
      </c>
      <c r="EJ59" s="12">
        <f>IF('Données projet'!$A$192&gt;35,EJ58+EI59-ER58,IF(A59&lt;'Données projet'!$A$192,$EG$205^A59,IF(A59='Données projet'!$A$192,'Données projet'!$B$192,EJ58+EI59-ER58)))</f>
        <v>232.97250000000025</v>
      </c>
      <c r="EK59" s="17">
        <f>EJ59*VLOOKUP('Données projet'!$B$15,Paramètres!$A$1:$I$89,3,0)*VLOOKUP('Données projet'!$B$15,Paramètres!$A$1:$I$89,5,0)</f>
        <v>156.27795300000017</v>
      </c>
      <c r="EL59" s="13">
        <f t="shared" si="45"/>
        <v>40.001850734919714</v>
      </c>
      <c r="EM59" s="20">
        <f t="shared" si="19"/>
        <v>341.85399150498546</v>
      </c>
      <c r="EN59" s="59">
        <f t="shared" si="20"/>
        <v>635.18732483831877</v>
      </c>
      <c r="EO59" s="59">
        <f ca="1">AVERAGE(OFFSET($EN$3,0,0,'Données projet'!$E$15+1,1))-AVERAGE(OFFSET($H$3,0,0,'Données projet'!$E$15+1,1))</f>
        <v>482.99915419700773</v>
      </c>
      <c r="EP59" s="59">
        <f t="shared" si="46"/>
        <v>219.74157899604279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19.4102245275398</v>
      </c>
      <c r="EX59" s="21">
        <f>EXP(-LN(2)/2)*EX58+(1-EXP(-LN(2)/2))/(LN(2)/2)*ER59*EU59*VLOOKUP('Données projet'!$B$15,Paramètres!$A$1:$I$89,3,0)*0.475*44/12</f>
        <v>0.63801086517625472</v>
      </c>
      <c r="EY59" s="22">
        <f t="shared" si="21"/>
        <v>20.048235392716055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10.36375</v>
      </c>
      <c r="FE59" s="12">
        <f>IF('Données projet'!$A$218&gt;35,FE58+FD59-FM58,IF(A59&lt;'Données projet'!$A$218,$FB$205^A59,IF(A59='Données projet'!$A$218,'Données projet'!$B$218,FE58+FD59-FM58)))</f>
        <v>232.97250000000025</v>
      </c>
      <c r="FF59" s="17">
        <f>FE59*VLOOKUP('Données projet'!$B$16,Paramètres!$A$1:$I$89,3,0)*VLOOKUP('Données projet'!$B$16,Paramètres!$A$1:$I$89,5,0)</f>
        <v>221.69663100000022</v>
      </c>
      <c r="FG59" s="13">
        <f t="shared" si="47"/>
        <v>54.483475048545635</v>
      </c>
      <c r="FH59" s="20">
        <f t="shared" si="22"/>
        <v>481.0136847012173</v>
      </c>
      <c r="FI59" s="59">
        <f t="shared" si="23"/>
        <v>774.34701803455062</v>
      </c>
      <c r="FJ59" s="59">
        <f ca="1">AVERAGE(OFFSET($FI$3,0,0,'Données projet'!$E$16+1,1))-AVERAGE(OFFSET($H$3,0,0,'Données projet'!$E$16+1,1))</f>
        <v>666.1523645983184</v>
      </c>
      <c r="FK59" s="59">
        <f t="shared" si="48"/>
        <v>294.13851344047526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22.340069739243916</v>
      </c>
      <c r="FS59" s="21">
        <f>EXP(-LN(2)/2)*FS58+(1-EXP(-LN(2)/2))/(LN(2)/2)*FM59*FP59*VLOOKUP('Données projet'!$B$16,Paramètres!$A$1:$I$89,3,0)*0.475*44/12</f>
        <v>0.90508518083143097</v>
      </c>
      <c r="FT59" s="22">
        <f t="shared" si="24"/>
        <v>23.245154920075347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6.2</v>
      </c>
      <c r="N60" s="13">
        <f>IF('Données projet'!$A$36&gt;35,N59+M60-V59,IF(A60&lt;'Données projet'!$A$36,$K$205^A60,IF(A60='Données projet'!$A$36,'Données projet'!$B$36,N59+M60-V59)))</f>
        <v>275.39999999999992</v>
      </c>
      <c r="O60" s="13">
        <f>N60*VLOOKUP('Données projet'!$B$9,Paramètres!$A$1:$I$89,3,0)*VLOOKUP('Données projet'!$B$9,Paramètres!$A$1:$I$89,5,0)</f>
        <v>201.92327999999995</v>
      </c>
      <c r="P60" s="13">
        <f t="shared" si="33"/>
        <v>50.166610737265309</v>
      </c>
      <c r="Q60" s="20">
        <f t="shared" si="53"/>
        <v>439.05655970073695</v>
      </c>
      <c r="R60" s="59">
        <f t="shared" si="0"/>
        <v>732.38989303407027</v>
      </c>
      <c r="S60" s="59">
        <f ca="1">AVERAGE(OFFSET($R$3,0,0,'Données projet'!$E$9+1,1))-AVERAGE(OFFSET($H$3,0,0,'Données projet'!$E$9+1,1))</f>
        <v>328.55631138162721</v>
      </c>
      <c r="T60" s="59">
        <f t="shared" si="34"/>
        <v>321.81422611044985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10.367016206466827</v>
      </c>
      <c r="AA60" s="21">
        <f>EXP(-LN(2)/25)*AA59+(1-EXP(-LN(2)/25))/(LN(2)/25)*Calculateur!V60*Calculateur!X60*VLOOKUP('Données projet'!$B$9,Paramètres!$A$1:$I$89,3,0)*0.475*44/12</f>
        <v>12.355183099383069</v>
      </c>
      <c r="AB60" s="21">
        <f>EXP(-LN(2)/2)*AB59+(1-EXP(-LN(2)/2))/(LN(2)/2)*V60*Y60*VLOOKUP('Données projet'!$B$9,Paramètres!$A$1:$I$89,3,0)*0.475*44/12</f>
        <v>1.7591987702408436</v>
      </c>
      <c r="AC60" s="22">
        <f t="shared" si="3"/>
        <v>24.481398076090741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6.2</v>
      </c>
      <c r="AI60" s="13">
        <f>IF('Données projet'!$A$62&gt;35,AI59+AH60-AQ59,IF(A60&lt;'Données projet'!$A$62,$AF$205^A60,IF(A60='Données projet'!$A$62,'Données projet'!$B$62,AI59+AH60-AQ59)))</f>
        <v>275.39999999999992</v>
      </c>
      <c r="AJ60" s="13">
        <f>AI60*VLOOKUP('Données projet'!$B$10,Paramètres!$A$1:$I$89,3,0)*VLOOKUP('Données projet'!$B$10,Paramètres!$A$1:$I$89,5,0)</f>
        <v>219.10823999999994</v>
      </c>
      <c r="AK60" s="13">
        <f t="shared" si="35"/>
        <v>53.921020297295854</v>
      </c>
      <c r="AL60" s="20">
        <f t="shared" si="4"/>
        <v>475.52596168445672</v>
      </c>
      <c r="AM60" s="59">
        <f t="shared" si="5"/>
        <v>768.85929501779003</v>
      </c>
      <c r="AN60" s="59">
        <f ca="1">AVERAGE(OFFSET($AM$3,0,0,'Données projet'!$E$10+1,1))-AVERAGE(OFFSET($H$3,0,0,'Données projet'!$E$10+1,1))</f>
        <v>353.37479213497227</v>
      </c>
      <c r="AO60" s="59">
        <f t="shared" si="36"/>
        <v>345.4750813433123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13.865435332053362</v>
      </c>
      <c r="AV60" s="21">
        <f>EXP(-LN(2)/25)*AV59+(1-EXP(-LN(2)/25))/(LN(2)/25)*Calculateur!AQ60*Calculateur!AS60*VLOOKUP('Données projet'!$B$10,Paramètres!$A$1:$I$89,3,0)*0.475*44/12</f>
        <v>16.524522472851281</v>
      </c>
      <c r="AW60" s="21">
        <f>EXP(-LN(2)/2)*AW59+(1-EXP(-LN(2)/2))/(LN(2)/2)*AQ60*AT60*VLOOKUP('Données projet'!$B$10,Paramètres!$A$1:$I$89,3,0)*0.475*44/12</f>
        <v>1.9089178145166599</v>
      </c>
      <c r="AX60" s="21">
        <f t="shared" si="6"/>
        <v>32.298875619421302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6.2</v>
      </c>
      <c r="BD60" s="12">
        <f>IF('Données projet'!$A$88&gt;35,BD59+BC60-BL59,IF(A60&lt;'Données projet'!$A$88,$BA$205^A60,IF(A60='Données projet'!$A$88,'Données projet'!$B$88,BD59+BC60-BL59)))</f>
        <v>275.39999999999992</v>
      </c>
      <c r="BE60" s="13">
        <f>BD60*VLOOKUP('Données projet'!$B$11,Paramètres!$A$1:$I$89,3,0)*VLOOKUP('Données projet'!$B$11,Paramètres!$A$1:$I$89,5,0)</f>
        <v>223.40447999999995</v>
      </c>
      <c r="BF60" s="13">
        <f t="shared" si="37"/>
        <v>54.854170008795911</v>
      </c>
      <c r="BG60" s="20">
        <f t="shared" si="7"/>
        <v>484.63381543198619</v>
      </c>
      <c r="BH60" s="59">
        <f t="shared" si="8"/>
        <v>777.96714876531951</v>
      </c>
      <c r="BI60" s="59">
        <f ca="1">AVERAGE(OFFSET($BH$3,0,0,'Données projet'!$E$11+1,1))-AVERAGE(OFFSET($H$3,0,0,'Données projet'!$E$11+1,1))</f>
        <v>359.57284550600366</v>
      </c>
      <c r="BJ60" s="59">
        <f t="shared" si="38"/>
        <v>351.38386928091433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14.137306613074017</v>
      </c>
      <c r="BQ60" s="21">
        <f>EXP(-LN(2)/25)*BQ59+(1-EXP(-LN(2)/25))/(LN(2)/25)*Calculateur!BL60*Calculateur!BN60*VLOOKUP('Données projet'!$B$11,Paramètres!$A$1:$I$89,3,0)*0.475*44/12</f>
        <v>16.848532717417001</v>
      </c>
      <c r="BR60" s="21">
        <f>EXP(-LN(2)/2)*BR59+(1-EXP(-LN(2)/2))/(LN(2)/2)*BL60*BO60*VLOOKUP('Données projet'!$B$11,Paramètres!$A$1:$I$89,3,0)*0.475*44/12</f>
        <v>1.9463475755856143</v>
      </c>
      <c r="BS60" s="22">
        <f t="shared" si="9"/>
        <v>32.93218690607663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2.6923076923076907</v>
      </c>
      <c r="BY60" s="12">
        <f>IF('Données projet'!$A$114&gt;35,BY59+BX60-CG59,IF(A60&lt;'Données projet'!$A$114,$BV$205^A60,IF(A60='Données projet'!$A$114,'Données projet'!$B$114,BY59+BX60-CG59)))</f>
        <v>94.487179487179461</v>
      </c>
      <c r="BZ60" s="13">
        <f>BY60*VLOOKUP('Données projet'!$B$12,Paramètres!$A$1:$I$89,3,0)*VLOOKUP('Données projet'!$B$12,Paramètres!$A$1:$I$89,5,0)</f>
        <v>76.647999999999982</v>
      </c>
      <c r="CA60" s="13">
        <f t="shared" si="39"/>
        <v>21.315572215122746</v>
      </c>
      <c r="CB60" s="20">
        <f t="shared" si="10"/>
        <v>170.61988827467206</v>
      </c>
      <c r="CC60" s="59">
        <f t="shared" si="11"/>
        <v>463.95322160800538</v>
      </c>
      <c r="CD60" s="59">
        <f ca="1">AVERAGE(OFFSET($CC$3,0,0,'Données projet'!$E$12+1,1))-AVERAGE(OFFSET($H$3,0,0,'Données projet'!$E$12+1,1))</f>
        <v>159.4660488566085</v>
      </c>
      <c r="CE60" s="59">
        <f t="shared" si="40"/>
        <v>135.33030558297088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3.0656975619727729</v>
      </c>
      <c r="CM60" s="21">
        <f>EXP(-LN(2)/2)*CM59+(1-EXP(-LN(2)/2))/(LN(2)/2)*CG60*CJ60*VLOOKUP('Données projet'!$B$12,Paramètres!$A$1:$I$89,3,0)*0.475*44/12</f>
        <v>0.81906122678343574</v>
      </c>
      <c r="CN60" s="22">
        <f t="shared" si="12"/>
        <v>3.8847587887562085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6.2</v>
      </c>
      <c r="CT60" s="12">
        <f>IF('Données projet'!$A$140&gt;35,CT59+CS60-DB59,IF(A60&lt;'Données projet'!$A$140,$CQ$205^A60,IF(A60='Données projet'!$A$140,'Données projet'!$B$140,CT59+CS60-DB59)))</f>
        <v>275.39999999999992</v>
      </c>
      <c r="CU60" s="17">
        <f>CT60*VLOOKUP('Données projet'!$B$13,Paramètres!$A$1:$I$89,3,0)*VLOOKUP('Données projet'!$B$13,Paramètres!$A$1:$I$89,5,0)</f>
        <v>219.10823999999994</v>
      </c>
      <c r="CV60" s="13">
        <f t="shared" si="41"/>
        <v>53.921020297295854</v>
      </c>
      <c r="CW60" s="20">
        <f t="shared" si="13"/>
        <v>475.52596168445672</v>
      </c>
      <c r="CX60" s="59">
        <f t="shared" si="14"/>
        <v>768.85929501779003</v>
      </c>
      <c r="CY60" s="59">
        <f ca="1">AVERAGE(OFFSET($CX$3,0,0,'Données projet'!$E$13+1,1))-AVERAGE(OFFSET($H$3,0,0,'Données projet'!$E$13+1,1))</f>
        <v>353.37479213497227</v>
      </c>
      <c r="CZ60" s="59">
        <f t="shared" si="42"/>
        <v>345.4750813433123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13.865435332053362</v>
      </c>
      <c r="DG60" s="21">
        <f>EXP(-LN(2)/25)*DG59+(1-EXP(-LN(2)/25))/(LN(2)/25)*Calculateur!DB60*Calculateur!DD60*VLOOKUP('Données projet'!$B$13,Paramètres!$A$1:$I$89,3,0)*0.475*44/12</f>
        <v>16.524522472851281</v>
      </c>
      <c r="DH60" s="21">
        <f>EXP(-LN(2)/2)*DH59+(1-EXP(-LN(2)/2))/(LN(2)/2)*DB60*DE60*VLOOKUP('Données projet'!$B$13,Paramètres!$A$1:$I$89,3,0)*0.475*44/12</f>
        <v>1.9089178145166599</v>
      </c>
      <c r="DI60" s="22">
        <f t="shared" si="15"/>
        <v>32.298875619421302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10.36375</v>
      </c>
      <c r="DO60" s="12">
        <f>IF('Données projet'!$A$166&gt;35,DO59+DN60-DW59,IF(A60&lt;'Données projet'!$A$166,$DL$205^A60,IF(A60='Données projet'!$A$166,'Données projet'!$B$166,DO59+DN60-DW59)))</f>
        <v>243.33625000000026</v>
      </c>
      <c r="DP60" s="17">
        <f>DO60*VLOOKUP('Données projet'!$B$14,Paramètres!$A$1:$I$89,3,0)*VLOOKUP('Données projet'!$B$14,Paramètres!$A$1:$I$89,5,0)</f>
        <v>220.17063900000025</v>
      </c>
      <c r="DQ60" s="13">
        <f t="shared" si="43"/>
        <v>54.151971590437505</v>
      </c>
      <c r="DR60" s="20">
        <f t="shared" si="16"/>
        <v>477.7785467783458</v>
      </c>
      <c r="DS60" s="59">
        <f t="shared" si="17"/>
        <v>771.11188011167906</v>
      </c>
      <c r="DT60" s="59">
        <f ca="1">AVERAGE(OFFSET($DS$3,0,0,'Données projet'!$E$14+1,1))-AVERAGE(OFFSET($H$3,0,0,'Données projet'!$E$14+1,1))</f>
        <v>635.71275911100679</v>
      </c>
      <c r="DU60" s="59">
        <f t="shared" si="44"/>
        <v>281.7776857269169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20.660531192292503</v>
      </c>
      <c r="EC60" s="21">
        <f>EXP(-LN(2)/2)*EC59+(1-EXP(-LN(2)/2))/(LN(2)/2)*DW60*DZ60*VLOOKUP('Données projet'!$B$14,Paramètres!$A$1:$I$89,3,0)*0.475*44/12</f>
        <v>0.60851685897060215</v>
      </c>
      <c r="ED60" s="22">
        <f t="shared" si="18"/>
        <v>21.269048051263105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10.36375</v>
      </c>
      <c r="EJ60" s="12">
        <f>IF('Données projet'!$A$192&gt;35,EJ59+EI60-ER59,IF(A60&lt;'Données projet'!$A$192,$EG$205^A60,IF(A60='Données projet'!$A$192,'Données projet'!$B$192,EJ59+EI60-ER59)))</f>
        <v>243.33625000000026</v>
      </c>
      <c r="EK60" s="17">
        <f>EJ60*VLOOKUP('Données projet'!$B$15,Paramètres!$A$1:$I$89,3,0)*VLOOKUP('Données projet'!$B$15,Paramètres!$A$1:$I$89,5,0)</f>
        <v>163.22995650000018</v>
      </c>
      <c r="EL60" s="13">
        <f t="shared" si="45"/>
        <v>41.570191531030112</v>
      </c>
      <c r="EM60" s="20">
        <f t="shared" si="19"/>
        <v>356.69359115404433</v>
      </c>
      <c r="EN60" s="59">
        <f t="shared" si="20"/>
        <v>650.02692448737764</v>
      </c>
      <c r="EO60" s="59">
        <f ca="1">AVERAGE(OFFSET($EN$3,0,0,'Données projet'!$E$15+1,1))-AVERAGE(OFFSET($H$3,0,0,'Données projet'!$E$15+1,1))</f>
        <v>482.99915419700773</v>
      </c>
      <c r="EP60" s="59">
        <f t="shared" si="46"/>
        <v>219.74157899604279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18.879450917094879</v>
      </c>
      <c r="EX60" s="21">
        <f>EXP(-LN(2)/2)*EX59+(1-EXP(-LN(2)/2))/(LN(2)/2)*ER60*EU60*VLOOKUP('Données projet'!$B$15,Paramètres!$A$1:$I$89,3,0)*0.475*44/12</f>
        <v>0.45114180923682584</v>
      </c>
      <c r="EY60" s="22">
        <f t="shared" si="21"/>
        <v>19.330592726331705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10.36375</v>
      </c>
      <c r="FE60" s="12">
        <f>IF('Données projet'!$A$218&gt;35,FE59+FD60-FM59,IF(A60&lt;'Données projet'!$A$218,$FB$205^A60,IF(A60='Données projet'!$A$218,'Données projet'!$B$218,FE59+FD60-FM59)))</f>
        <v>243.33625000000026</v>
      </c>
      <c r="FF60" s="17">
        <f>FE60*VLOOKUP('Données projet'!$B$16,Paramètres!$A$1:$I$89,3,0)*VLOOKUP('Données projet'!$B$16,Paramètres!$A$1:$I$89,5,0)</f>
        <v>231.55877550000022</v>
      </c>
      <c r="FG60" s="13">
        <f t="shared" si="47"/>
        <v>56.619592629673022</v>
      </c>
      <c r="FH60" s="20">
        <f t="shared" si="22"/>
        <v>501.91065782584752</v>
      </c>
      <c r="FI60" s="59">
        <f t="shared" si="23"/>
        <v>795.24399115918084</v>
      </c>
      <c r="FJ60" s="59">
        <f ca="1">AVERAGE(OFFSET($FI$3,0,0,'Données projet'!$E$16+1,1))-AVERAGE(OFFSET($H$3,0,0,'Données projet'!$E$16+1,1))</f>
        <v>666.1523645983184</v>
      </c>
      <c r="FK60" s="59">
        <f t="shared" si="48"/>
        <v>294.13851344047526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21.729179357411081</v>
      </c>
      <c r="FS60" s="21">
        <f>EXP(-LN(2)/2)*FS59+(1-EXP(-LN(2)/2))/(LN(2)/2)*FM60*FP60*VLOOKUP('Données projet'!$B$16,Paramètres!$A$1:$I$89,3,0)*0.475*44/12</f>
        <v>0.63999186891735749</v>
      </c>
      <c r="FT60" s="22">
        <f t="shared" si="24"/>
        <v>22.369171226328437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6.2</v>
      </c>
      <c r="N61" s="13">
        <f>IF('Données projet'!$A$36&gt;35,N60+M61-V60,IF(A61&lt;'Données projet'!$A$36,$K$205^A61,IF(A61='Données projet'!$A$36,'Données projet'!$B$36,N60+M61-V60)))</f>
        <v>281.59999999999991</v>
      </c>
      <c r="O61" s="13">
        <f>N61*VLOOKUP('Données projet'!$B$9,Paramètres!$A$1:$I$89,3,0)*VLOOKUP('Données projet'!$B$9,Paramètres!$A$1:$I$89,5,0)</f>
        <v>206.46911999999992</v>
      </c>
      <c r="P61" s="13">
        <f t="shared" si="33"/>
        <v>51.163239774028327</v>
      </c>
      <c r="Q61" s="20">
        <f t="shared" si="53"/>
        <v>448.70969327309916</v>
      </c>
      <c r="R61" s="59">
        <f t="shared" si="0"/>
        <v>742.04302660643248</v>
      </c>
      <c r="S61" s="59">
        <f ca="1">AVERAGE(OFFSET($R$3,0,0,'Données projet'!$E$9+1,1))-AVERAGE(OFFSET($H$3,0,0,'Données projet'!$E$9+1,1))</f>
        <v>328.55631138162721</v>
      </c>
      <c r="T61" s="59">
        <f t="shared" si="34"/>
        <v>321.81422611044985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10.16372534191353</v>
      </c>
      <c r="AA61" s="21">
        <f>EXP(-LN(2)/25)*AA60+(1-EXP(-LN(2)/25))/(LN(2)/25)*Calculateur!V61*Calculateur!X61*VLOOKUP('Données projet'!$B$9,Paramètres!$A$1:$I$89,3,0)*0.475*44/12</f>
        <v>12.017329967799599</v>
      </c>
      <c r="AB61" s="21">
        <f>EXP(-LN(2)/2)*AB60+(1-EXP(-LN(2)/2))/(LN(2)/2)*V61*Y61*VLOOKUP('Données projet'!$B$9,Paramètres!$A$1:$I$89,3,0)*0.475*44/12</f>
        <v>1.2439413798923358</v>
      </c>
      <c r="AC61" s="22">
        <f t="shared" si="3"/>
        <v>23.424996689605464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6.2</v>
      </c>
      <c r="AI61" s="13">
        <f>IF('Données projet'!$A$62&gt;35,AI60+AH61-AQ60,IF(A61&lt;'Données projet'!$A$62,$AF$205^A61,IF(A61='Données projet'!$A$62,'Données projet'!$B$62,AI60+AH61-AQ60)))</f>
        <v>281.59999999999991</v>
      </c>
      <c r="AJ61" s="13">
        <f>AI61*VLOOKUP('Données projet'!$B$10,Paramètres!$A$1:$I$89,3,0)*VLOOKUP('Données projet'!$B$10,Paramètres!$A$1:$I$89,5,0)</f>
        <v>224.04095999999993</v>
      </c>
      <c r="AK61" s="13">
        <f t="shared" si="35"/>
        <v>54.992235867381233</v>
      </c>
      <c r="AL61" s="20">
        <f t="shared" si="4"/>
        <v>485.98281613568884</v>
      </c>
      <c r="AM61" s="59">
        <f t="shared" si="5"/>
        <v>779.31614946902209</v>
      </c>
      <c r="AN61" s="59">
        <f ca="1">AVERAGE(OFFSET($AM$3,0,0,'Données projet'!$E$10+1,1))-AVERAGE(OFFSET($H$3,0,0,'Données projet'!$E$10+1,1))</f>
        <v>353.37479213497227</v>
      </c>
      <c r="AO61" s="59">
        <f t="shared" si="36"/>
        <v>345.4750813433123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13.593542602272281</v>
      </c>
      <c r="AV61" s="21">
        <f>EXP(-LN(2)/25)*AV60+(1-EXP(-LN(2)/25))/(LN(2)/25)*Calculateur!AQ61*Calculateur!AS61*VLOOKUP('Données projet'!$B$10,Paramètres!$A$1:$I$89,3,0)*0.475*44/12</f>
        <v>16.072658536844294</v>
      </c>
      <c r="AW61" s="21">
        <f>EXP(-LN(2)/2)*AW60+(1-EXP(-LN(2)/2))/(LN(2)/2)*AQ61*AT61*VLOOKUP('Données projet'!$B$10,Paramètres!$A$1:$I$89,3,0)*0.475*44/12</f>
        <v>1.3498087313725344</v>
      </c>
      <c r="AX61" s="21">
        <f t="shared" si="6"/>
        <v>31.016009870489107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6.2</v>
      </c>
      <c r="BD61" s="12">
        <f>IF('Données projet'!$A$88&gt;35,BD60+BC61-BL60,IF(A61&lt;'Données projet'!$A$88,$BA$205^A61,IF(A61='Données projet'!$A$88,'Données projet'!$B$88,BD60+BC61-BL60)))</f>
        <v>281.59999999999991</v>
      </c>
      <c r="BE61" s="13">
        <f>BD61*VLOOKUP('Données projet'!$B$11,Paramètres!$A$1:$I$89,3,0)*VLOOKUP('Données projet'!$B$11,Paramètres!$A$1:$I$89,5,0)</f>
        <v>228.43391999999994</v>
      </c>
      <c r="BF61" s="13">
        <f t="shared" si="37"/>
        <v>55.943923887219448</v>
      </c>
      <c r="BG61" s="20">
        <f t="shared" si="7"/>
        <v>495.29141143690708</v>
      </c>
      <c r="BH61" s="59">
        <f t="shared" si="8"/>
        <v>788.62474477024034</v>
      </c>
      <c r="BI61" s="59">
        <f ca="1">AVERAGE(OFFSET($BH$3,0,0,'Données projet'!$E$11+1,1))-AVERAGE(OFFSET($H$3,0,0,'Données projet'!$E$11+1,1))</f>
        <v>359.57284550600366</v>
      </c>
      <c r="BJ61" s="59">
        <f t="shared" si="38"/>
        <v>351.38386928091433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13.860082653297228</v>
      </c>
      <c r="BQ61" s="21">
        <f>EXP(-LN(2)/25)*BQ60+(1-EXP(-LN(2)/25))/(LN(2)/25)*Calculateur!BL61*Calculateur!BN61*VLOOKUP('Données projet'!$B$11,Paramètres!$A$1:$I$89,3,0)*0.475*44/12</f>
        <v>16.387808704233404</v>
      </c>
      <c r="BR61" s="21">
        <f>EXP(-LN(2)/2)*BR60+(1-EXP(-LN(2)/2))/(LN(2)/2)*BL61*BO61*VLOOKUP('Données projet'!$B$11,Paramètres!$A$1:$I$89,3,0)*0.475*44/12</f>
        <v>1.3762755692425843</v>
      </c>
      <c r="BS61" s="22">
        <f t="shared" si="9"/>
        <v>31.624166926773217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2.6923076923076907</v>
      </c>
      <c r="BY61" s="12">
        <f>IF('Données projet'!$A$114&gt;35,BY60+BX61-CG60,IF(A61&lt;'Données projet'!$A$114,$BV$205^A61,IF(A61='Données projet'!$A$114,'Données projet'!$B$114,BY60+BX61-CG60)))</f>
        <v>97.179487179487154</v>
      </c>
      <c r="BZ61" s="13">
        <f>BY61*VLOOKUP('Données projet'!$B$12,Paramètres!$A$1:$I$89,3,0)*VLOOKUP('Données projet'!$B$12,Paramètres!$A$1:$I$89,5,0)</f>
        <v>78.831999999999994</v>
      </c>
      <c r="CA61" s="13">
        <f t="shared" si="39"/>
        <v>21.851358063068435</v>
      </c>
      <c r="CB61" s="20">
        <f t="shared" si="10"/>
        <v>175.35684862651081</v>
      </c>
      <c r="CC61" s="59">
        <f t="shared" si="11"/>
        <v>468.69018195984415</v>
      </c>
      <c r="CD61" s="59">
        <f ca="1">AVERAGE(OFFSET($CC$3,0,0,'Données projet'!$E$12+1,1))-AVERAGE(OFFSET($H$3,0,0,'Données projet'!$E$12+1,1))</f>
        <v>159.4660488566085</v>
      </c>
      <c r="CE61" s="59">
        <f t="shared" si="40"/>
        <v>135.33030558297088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2.9818659009225992</v>
      </c>
      <c r="CM61" s="21">
        <f>EXP(-LN(2)/2)*CM60+(1-EXP(-LN(2)/2))/(LN(2)/2)*CG61*CJ61*VLOOKUP('Données projet'!$B$12,Paramètres!$A$1:$I$89,3,0)*0.475*44/12</f>
        <v>0.57916374766554013</v>
      </c>
      <c r="CN61" s="22">
        <f t="shared" si="12"/>
        <v>3.5610296485881392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6.2</v>
      </c>
      <c r="CT61" s="12">
        <f>IF('Données projet'!$A$140&gt;35,CT60+CS61-DB60,IF(A61&lt;'Données projet'!$A$140,$CQ$205^A61,IF(A61='Données projet'!$A$140,'Données projet'!$B$140,CT60+CS61-DB60)))</f>
        <v>281.59999999999991</v>
      </c>
      <c r="CU61" s="17">
        <f>CT61*VLOOKUP('Données projet'!$B$13,Paramètres!$A$1:$I$89,3,0)*VLOOKUP('Données projet'!$B$13,Paramètres!$A$1:$I$89,5,0)</f>
        <v>224.04095999999993</v>
      </c>
      <c r="CV61" s="13">
        <f t="shared" si="41"/>
        <v>54.992235867381233</v>
      </c>
      <c r="CW61" s="20">
        <f t="shared" si="13"/>
        <v>485.98281613568884</v>
      </c>
      <c r="CX61" s="59">
        <f t="shared" si="14"/>
        <v>779.31614946902209</v>
      </c>
      <c r="CY61" s="59">
        <f ca="1">AVERAGE(OFFSET($CX$3,0,0,'Données projet'!$E$13+1,1))-AVERAGE(OFFSET($H$3,0,0,'Données projet'!$E$13+1,1))</f>
        <v>353.37479213497227</v>
      </c>
      <c r="CZ61" s="59">
        <f t="shared" si="42"/>
        <v>345.4750813433123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13.593542602272281</v>
      </c>
      <c r="DG61" s="21">
        <f>EXP(-LN(2)/25)*DG60+(1-EXP(-LN(2)/25))/(LN(2)/25)*Calculateur!DB61*Calculateur!DD61*VLOOKUP('Données projet'!$B$13,Paramètres!$A$1:$I$89,3,0)*0.475*44/12</f>
        <v>16.072658536844294</v>
      </c>
      <c r="DH61" s="21">
        <f>EXP(-LN(2)/2)*DH60+(1-EXP(-LN(2)/2))/(LN(2)/2)*DB61*DE61*VLOOKUP('Données projet'!$B$13,Paramètres!$A$1:$I$89,3,0)*0.475*44/12</f>
        <v>1.3498087313725344</v>
      </c>
      <c r="DI61" s="22">
        <f t="shared" si="15"/>
        <v>31.016009870489107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>
        <f>VLOOKUP(A61,'Données projet'!$A$165:$I$185,2,0)</f>
        <v>253.7</v>
      </c>
      <c r="DM61" s="12">
        <f>VLOOKUP(A61,'Données projet'!$A$165:$I$185,9,0)</f>
        <v>10.36375</v>
      </c>
      <c r="DN61" s="12">
        <f t="array" ref="DN61">INDEX(DM:DM,MIN(IF(ISNUMBER(DM61:DM257),ROW(DM61:DM257),"")))</f>
        <v>10.36375</v>
      </c>
      <c r="DO61" s="12">
        <f>IF('Données projet'!$A$166&gt;35,DO60+DN61-DW60,IF(A61&lt;'Données projet'!$A$166,$DL$205^A61,IF(A61='Données projet'!$A$166,'Données projet'!$B$166,DO60+DN61-DW60)))</f>
        <v>253.70000000000027</v>
      </c>
      <c r="DP61" s="17">
        <f>DO61*VLOOKUP('Données projet'!$B$14,Paramètres!$A$1:$I$89,3,0)*VLOOKUP('Données projet'!$B$14,Paramètres!$A$1:$I$89,5,0)</f>
        <v>229.54776000000027</v>
      </c>
      <c r="DQ61" s="13">
        <f t="shared" si="43"/>
        <v>56.184885471425758</v>
      </c>
      <c r="DR61" s="20">
        <f t="shared" si="16"/>
        <v>497.651024196067</v>
      </c>
      <c r="DS61" s="59">
        <f t="shared" si="17"/>
        <v>790.98435752940031</v>
      </c>
      <c r="DT61" s="59">
        <f ca="1">AVERAGE(OFFSET($DS$3,0,0,'Données projet'!$E$14+1,1))-AVERAGE(OFFSET($H$3,0,0,'Données projet'!$E$14+1,1))</f>
        <v>635.71275911100679</v>
      </c>
      <c r="DU61" s="59">
        <f t="shared" si="44"/>
        <v>281.7776857269169</v>
      </c>
      <c r="DV61" s="15">
        <f>IF(ISNA(VLOOKUP(A61,'Données projet'!$A$165:$I$185,3,0)),0,VLOOKUP(A61,'Données projet'!$A$165:$I$185,3,0))</f>
        <v>3</v>
      </c>
      <c r="DW61" s="15">
        <f>IF(ISNA(VLOOKUP(A61,'Données projet'!$A$165:$I$185,4,0)),0,VLOOKUP(A61,'Données projet'!$A$165:$I$185,4,0))</f>
        <v>47.789999999999992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0.34400000000000003</v>
      </c>
      <c r="DZ61" s="16">
        <f>IF(ISNA(VLOOKUP(A61,'Données projet'!$A$165:$I$185,7,0)),0%,VLOOKUP(A61,'Données projet'!$A$165:$I$185,7,0))</f>
        <v>0.2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36.474357978367649</v>
      </c>
      <c r="EC61" s="21">
        <f>EXP(-LN(2)/2)*EC60+(1-EXP(-LN(2)/2))/(LN(2)/2)*DW61*DZ61*VLOOKUP('Données projet'!$B$14,Paramètres!$A$1:$I$89,3,0)*0.475*44/12</f>
        <v>8.589981127461952</v>
      </c>
      <c r="ED61" s="22">
        <f t="shared" si="18"/>
        <v>45.064339105829603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>
        <f>VLOOKUP(A61,'Données projet'!$A$191:$I$211,2,0)</f>
        <v>253.7</v>
      </c>
      <c r="EH61" s="12">
        <f>VLOOKUP(A61,'Données projet'!$A$191:$I$211,9,0)</f>
        <v>10.36375</v>
      </c>
      <c r="EI61" s="12">
        <f t="array" ref="EI61">INDEX(EH:EH,MIN(IF(ISNUMBER(EH61:EH257),ROW(EH61:EH257),"")))</f>
        <v>10.36375</v>
      </c>
      <c r="EJ61" s="12">
        <f>IF('Données projet'!$A$192&gt;35,EJ60+EI61-ER60,IF(A61&lt;'Données projet'!$A$192,$EG$205^A61,IF(A61='Données projet'!$A$192,'Données projet'!$B$192,EJ60+EI61-ER60)))</f>
        <v>253.70000000000027</v>
      </c>
      <c r="EK61" s="17">
        <f>EJ61*VLOOKUP('Données projet'!$B$15,Paramètres!$A$1:$I$89,3,0)*VLOOKUP('Données projet'!$B$15,Paramètres!$A$1:$I$89,5,0)</f>
        <v>170.1819600000002</v>
      </c>
      <c r="EL61" s="13">
        <f t="shared" si="45"/>
        <v>43.130774034617012</v>
      </c>
      <c r="EM61" s="20">
        <f t="shared" si="19"/>
        <v>371.51967844362497</v>
      </c>
      <c r="EN61" s="59">
        <f t="shared" si="20"/>
        <v>664.85301177695828</v>
      </c>
      <c r="EO61" s="59">
        <f ca="1">AVERAGE(OFFSET($EN$3,0,0,'Données projet'!$E$15+1,1))-AVERAGE(OFFSET($H$3,0,0,'Données projet'!$E$15+1,1))</f>
        <v>482.99915419700773</v>
      </c>
      <c r="EP61" s="59">
        <f t="shared" si="46"/>
        <v>219.74157899604279</v>
      </c>
      <c r="EQ61" s="15">
        <f>IF(ISNA(VLOOKUP(A61,'Données projet'!$A$191:$I$211,3,0)),0,VLOOKUP(A61,'Données projet'!$A$191:$I$211,3,0))</f>
        <v>3</v>
      </c>
      <c r="ER61" s="15">
        <f>IF(ISNA(VLOOKUP(A61,'Données projet'!$A$191:$I$211,4,0)),0,VLOOKUP(A61,'Données projet'!$A$191:$I$211,4,0))</f>
        <v>47.789999999999992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0.42400000000000004</v>
      </c>
      <c r="EU61" s="16">
        <f>IF(ISNA(VLOOKUP(A61,'Données projet'!$A$191:$I$211,7,0)),0%,VLOOKUP(A61,'Données projet'!$A$191:$I$211,7,0))</f>
        <v>0.2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33.330016773335963</v>
      </c>
      <c r="EX61" s="21">
        <f>EXP(-LN(2)/2)*EX60+(1-EXP(-LN(2)/2))/(LN(2)/2)*ER61*EU61*VLOOKUP('Données projet'!$B$15,Paramètres!$A$1:$I$89,3,0)*0.475*44/12</f>
        <v>6.3684342841528263</v>
      </c>
      <c r="EY61" s="22">
        <f t="shared" si="21"/>
        <v>39.698451057488789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>
        <f>VLOOKUP(A61,'Données projet'!$A$217:$I$237,2,0)</f>
        <v>253.7</v>
      </c>
      <c r="FC61" s="12">
        <f>VLOOKUP(A61,'Données projet'!$A$217:$I$237,9,0)</f>
        <v>10.36375</v>
      </c>
      <c r="FD61" s="12">
        <f t="array" ref="FD61">INDEX(FC:FC,MIN(IF(ISNUMBER(FC61:FC257),ROW(FC61:FC257),"")))</f>
        <v>10.36375</v>
      </c>
      <c r="FE61" s="12">
        <f>IF('Données projet'!$A$218&gt;35,FE60+FD61-FM60,IF(A61&lt;'Données projet'!$A$218,$FB$205^A61,IF(A61='Données projet'!$A$218,'Données projet'!$B$218,FE60+FD61-FM60)))</f>
        <v>253.70000000000027</v>
      </c>
      <c r="FF61" s="17">
        <f>FE61*VLOOKUP('Données projet'!$B$16,Paramètres!$A$1:$I$89,3,0)*VLOOKUP('Données projet'!$B$16,Paramètres!$A$1:$I$89,5,0)</f>
        <v>241.42092000000028</v>
      </c>
      <c r="FG61" s="13">
        <f t="shared" si="47"/>
        <v>58.745143231289354</v>
      </c>
      <c r="FH61" s="20">
        <f t="shared" si="22"/>
        <v>522.78922679449613</v>
      </c>
      <c r="FI61" s="59">
        <f t="shared" si="23"/>
        <v>816.1225601278295</v>
      </c>
      <c r="FJ61" s="59">
        <f ca="1">AVERAGE(OFFSET($FI$3,0,0,'Données projet'!$E$16+1,1))-AVERAGE(OFFSET($H$3,0,0,'Données projet'!$E$16+1,1))</f>
        <v>666.1523645983184</v>
      </c>
      <c r="FK61" s="59">
        <f t="shared" si="48"/>
        <v>294.13851344047526</v>
      </c>
      <c r="FL61" s="15">
        <f>IF(ISNA(VLOOKUP(A61,'Données projet'!$A$217:$I$237,3,0)),0,VLOOKUP(A61,'Données projet'!$A$217:$I$237,3,0))</f>
        <v>3</v>
      </c>
      <c r="FM61" s="15">
        <f>IF(ISNA(VLOOKUP(A61,'Données projet'!$A$217:$I$237,4,0)),0,VLOOKUP(A61,'Données projet'!$A$217:$I$237,4,0))</f>
        <v>47.789999999999992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0.34400000000000003</v>
      </c>
      <c r="FP61" s="16">
        <f>IF(ISNA(VLOOKUP(A61,'Données projet'!$A$217:$I$237,7,0)),0%,VLOOKUP(A61,'Données projet'!$A$217:$I$237,7,0))</f>
        <v>0.2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38.360962701386669</v>
      </c>
      <c r="FS61" s="21">
        <f>EXP(-LN(2)/2)*FS60+(1-EXP(-LN(2)/2))/(LN(2)/2)*FM61*FP61*VLOOKUP('Données projet'!$B$16,Paramètres!$A$1:$I$89,3,0)*0.475*44/12</f>
        <v>9.0342904961237753</v>
      </c>
      <c r="FT61" s="22">
        <f t="shared" si="24"/>
        <v>47.395253197510442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6.2</v>
      </c>
      <c r="N62" s="13">
        <f>IF('Données projet'!$A$36&gt;35,N61+M62-V61,IF(A62&lt;'Données projet'!$A$36,$K$205^A62,IF(A62='Données projet'!$A$36,'Données projet'!$B$36,N61+M62-V61)))</f>
        <v>287.7999999999999</v>
      </c>
      <c r="O62" s="13">
        <f>N62*VLOOKUP('Données projet'!$B$9,Paramètres!$A$1:$I$89,3,0)*VLOOKUP('Données projet'!$B$9,Paramètres!$A$1:$I$89,5,0)</f>
        <v>211.01495999999992</v>
      </c>
      <c r="P62" s="13">
        <f t="shared" si="33"/>
        <v>52.15731771796959</v>
      </c>
      <c r="Q62" s="20">
        <f t="shared" si="53"/>
        <v>458.35838369213019</v>
      </c>
      <c r="R62" s="59">
        <f t="shared" si="0"/>
        <v>751.6917170254635</v>
      </c>
      <c r="S62" s="59">
        <f ca="1">AVERAGE(OFFSET($R$3,0,0,'Données projet'!$E$9+1,1))-AVERAGE(OFFSET($H$3,0,0,'Données projet'!$E$9+1,1))</f>
        <v>328.55631138162721</v>
      </c>
      <c r="T62" s="59">
        <f t="shared" si="34"/>
        <v>321.81422611044985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9.9644208872189388</v>
      </c>
      <c r="AA62" s="21">
        <f>EXP(-LN(2)/25)*AA61+(1-EXP(-LN(2)/25))/(LN(2)/25)*Calculateur!V62*Calculateur!X62*VLOOKUP('Données projet'!$B$9,Paramètres!$A$1:$I$89,3,0)*0.475*44/12</f>
        <v>11.688715447866201</v>
      </c>
      <c r="AB62" s="21">
        <f>EXP(-LN(2)/2)*AB61+(1-EXP(-LN(2)/2))/(LN(2)/2)*V62*Y62*VLOOKUP('Données projet'!$B$9,Paramètres!$A$1:$I$89,3,0)*0.475*44/12</f>
        <v>0.87959938512042191</v>
      </c>
      <c r="AC62" s="22">
        <f t="shared" si="3"/>
        <v>22.532735720205562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6.2</v>
      </c>
      <c r="AI62" s="13">
        <f>IF('Données projet'!$A$62&gt;35,AI61+AH62-AQ61,IF(A62&lt;'Données projet'!$A$62,$AF$205^A62,IF(A62='Données projet'!$A$62,'Données projet'!$B$62,AI61+AH62-AQ61)))</f>
        <v>287.7999999999999</v>
      </c>
      <c r="AJ62" s="13">
        <f>AI62*VLOOKUP('Données projet'!$B$10,Paramètres!$A$1:$I$89,3,0)*VLOOKUP('Données projet'!$B$10,Paramètres!$A$1:$I$89,5,0)</f>
        <v>228.97367999999994</v>
      </c>
      <c r="AK62" s="13">
        <f t="shared" si="35"/>
        <v>56.060709423888284</v>
      </c>
      <c r="AL62" s="20">
        <f t="shared" si="4"/>
        <v>496.43489491327199</v>
      </c>
      <c r="AM62" s="59">
        <f t="shared" si="5"/>
        <v>789.7682282466053</v>
      </c>
      <c r="AN62" s="59">
        <f ca="1">AVERAGE(OFFSET($AM$3,0,0,'Données projet'!$E$10+1,1))-AVERAGE(OFFSET($H$3,0,0,'Données projet'!$E$10+1,1))</f>
        <v>353.37479213497227</v>
      </c>
      <c r="AO62" s="59">
        <f t="shared" si="36"/>
        <v>345.4750813433123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13.326981523084017</v>
      </c>
      <c r="AV62" s="21">
        <f>EXP(-LN(2)/25)*AV61+(1-EXP(-LN(2)/25))/(LN(2)/25)*Calculateur!AQ62*Calculateur!AS62*VLOOKUP('Données projet'!$B$10,Paramètres!$A$1:$I$89,3,0)*0.475*44/12</f>
        <v>15.63315084392991</v>
      </c>
      <c r="AW62" s="21">
        <f>EXP(-LN(2)/2)*AW61+(1-EXP(-LN(2)/2))/(LN(2)/2)*AQ62*AT62*VLOOKUP('Données projet'!$B$10,Paramètres!$A$1:$I$89,3,0)*0.475*44/12</f>
        <v>0.95445890725833005</v>
      </c>
      <c r="AX62" s="21">
        <f t="shared" si="6"/>
        <v>29.914591274272258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6.2</v>
      </c>
      <c r="BD62" s="12">
        <f>IF('Données projet'!$A$88&gt;35,BD61+BC62-BL61,IF(A62&lt;'Données projet'!$A$88,$BA$205^A62,IF(A62='Données projet'!$A$88,'Données projet'!$B$88,BD61+BC62-BL61)))</f>
        <v>287.7999999999999</v>
      </c>
      <c r="BE62" s="13">
        <f>BD62*VLOOKUP('Données projet'!$B$11,Paramètres!$A$1:$I$89,3,0)*VLOOKUP('Données projet'!$B$11,Paramètres!$A$1:$I$89,5,0)</f>
        <v>233.46335999999994</v>
      </c>
      <c r="BF62" s="13">
        <f t="shared" si="37"/>
        <v>57.030888299157333</v>
      </c>
      <c r="BG62" s="20">
        <f t="shared" si="7"/>
        <v>505.94414912103224</v>
      </c>
      <c r="BH62" s="59">
        <f t="shared" si="8"/>
        <v>799.27748245436555</v>
      </c>
      <c r="BI62" s="59">
        <f ca="1">AVERAGE(OFFSET($BH$3,0,0,'Données projet'!$E$11+1,1))-AVERAGE(OFFSET($H$3,0,0,'Données projet'!$E$11+1,1))</f>
        <v>359.57284550600366</v>
      </c>
      <c r="BJ62" s="59">
        <f t="shared" si="38"/>
        <v>351.38386928091433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13.588294886281743</v>
      </c>
      <c r="BQ62" s="21">
        <f>EXP(-LN(2)/25)*BQ61+(1-EXP(-LN(2)/25))/(LN(2)/25)*Calculateur!BL62*Calculateur!BN62*VLOOKUP('Données projet'!$B$11,Paramètres!$A$1:$I$89,3,0)*0.475*44/12</f>
        <v>15.939683213418736</v>
      </c>
      <c r="BR62" s="21">
        <f>EXP(-LN(2)/2)*BR61+(1-EXP(-LN(2)/2))/(LN(2)/2)*BL62*BO62*VLOOKUP('Données projet'!$B$11,Paramètres!$A$1:$I$89,3,0)*0.475*44/12</f>
        <v>0.97317378779280728</v>
      </c>
      <c r="BS62" s="22">
        <f t="shared" si="9"/>
        <v>30.501151887493283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2.6923076923076907</v>
      </c>
      <c r="BY62" s="12">
        <f>IF('Données projet'!$A$114&gt;35,BY61+BX62-CG61,IF(A62&lt;'Données projet'!$A$114,$BV$205^A62,IF(A62='Données projet'!$A$114,'Données projet'!$B$114,BY61+BX62-CG61)))</f>
        <v>99.871794871794847</v>
      </c>
      <c r="BZ62" s="13">
        <f>BY62*VLOOKUP('Données projet'!$B$12,Paramètres!$A$1:$I$89,3,0)*VLOOKUP('Données projet'!$B$12,Paramètres!$A$1:$I$89,5,0)</f>
        <v>81.015999999999991</v>
      </c>
      <c r="CA62" s="13">
        <f t="shared" si="39"/>
        <v>22.385418657388872</v>
      </c>
      <c r="CB62" s="20">
        <f t="shared" si="10"/>
        <v>180.09080416161893</v>
      </c>
      <c r="CC62" s="59">
        <f t="shared" si="11"/>
        <v>473.42413749495222</v>
      </c>
      <c r="CD62" s="59">
        <f ca="1">AVERAGE(OFFSET($CC$3,0,0,'Données projet'!$E$12+1,1))-AVERAGE(OFFSET($H$3,0,0,'Données projet'!$E$12+1,1))</f>
        <v>159.4660488566085</v>
      </c>
      <c r="CE62" s="59">
        <f t="shared" si="40"/>
        <v>135.33030558297088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2.9003266210523582</v>
      </c>
      <c r="CM62" s="21">
        <f>EXP(-LN(2)/2)*CM61+(1-EXP(-LN(2)/2))/(LN(2)/2)*CG62*CJ62*VLOOKUP('Données projet'!$B$12,Paramètres!$A$1:$I$89,3,0)*0.475*44/12</f>
        <v>0.40953061339171792</v>
      </c>
      <c r="CN62" s="22">
        <f t="shared" si="12"/>
        <v>3.3098572344440762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6.2</v>
      </c>
      <c r="CT62" s="12">
        <f>IF('Données projet'!$A$140&gt;35,CT61+CS62-DB61,IF(A62&lt;'Données projet'!$A$140,$CQ$205^A62,IF(A62='Données projet'!$A$140,'Données projet'!$B$140,CT61+CS62-DB61)))</f>
        <v>287.7999999999999</v>
      </c>
      <c r="CU62" s="17">
        <f>CT62*VLOOKUP('Données projet'!$B$13,Paramètres!$A$1:$I$89,3,0)*VLOOKUP('Données projet'!$B$13,Paramètres!$A$1:$I$89,5,0)</f>
        <v>228.97367999999994</v>
      </c>
      <c r="CV62" s="13">
        <f t="shared" si="41"/>
        <v>56.060709423888284</v>
      </c>
      <c r="CW62" s="20">
        <f t="shared" si="13"/>
        <v>496.43489491327199</v>
      </c>
      <c r="CX62" s="59">
        <f t="shared" si="14"/>
        <v>789.7682282466053</v>
      </c>
      <c r="CY62" s="59">
        <f ca="1">AVERAGE(OFFSET($CX$3,0,0,'Données projet'!$E$13+1,1))-AVERAGE(OFFSET($H$3,0,0,'Données projet'!$E$13+1,1))</f>
        <v>353.37479213497227</v>
      </c>
      <c r="CZ62" s="59">
        <f t="shared" si="42"/>
        <v>345.4750813433123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13.326981523084017</v>
      </c>
      <c r="DG62" s="21">
        <f>EXP(-LN(2)/25)*DG61+(1-EXP(-LN(2)/25))/(LN(2)/25)*Calculateur!DB62*Calculateur!DD62*VLOOKUP('Données projet'!$B$13,Paramètres!$A$1:$I$89,3,0)*0.475*44/12</f>
        <v>15.63315084392991</v>
      </c>
      <c r="DH62" s="21">
        <f>EXP(-LN(2)/2)*DH61+(1-EXP(-LN(2)/2))/(LN(2)/2)*DB62*DE62*VLOOKUP('Données projet'!$B$13,Paramètres!$A$1:$I$89,3,0)*0.475*44/12</f>
        <v>0.95445890725833005</v>
      </c>
      <c r="DI62" s="22">
        <f t="shared" si="15"/>
        <v>29.914591274272258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10.107499999999998</v>
      </c>
      <c r="DO62" s="12">
        <f>IF('Données projet'!$A$166&gt;35,DO61+DN62-DW61,IF(A62&lt;'Données projet'!$A$166,$DL$205^A62,IF(A62='Données projet'!$A$166,'Données projet'!$B$166,DO61+DN62-DW61)))</f>
        <v>216.0175000000003</v>
      </c>
      <c r="DP62" s="17">
        <f>DO62*VLOOKUP('Données projet'!$B$14,Paramètres!$A$1:$I$89,3,0)*VLOOKUP('Données projet'!$B$14,Paramètres!$A$1:$I$89,5,0)</f>
        <v>195.45263400000027</v>
      </c>
      <c r="DQ62" s="13">
        <f t="shared" si="43"/>
        <v>48.743460533300031</v>
      </c>
      <c r="DR62" s="20">
        <f t="shared" si="16"/>
        <v>425.3081979788314</v>
      </c>
      <c r="DS62" s="59">
        <f t="shared" si="17"/>
        <v>718.64153131216472</v>
      </c>
      <c r="DT62" s="59">
        <f ca="1">AVERAGE(OFFSET($DS$3,0,0,'Données projet'!$E$14+1,1))-AVERAGE(OFFSET($H$3,0,0,'Données projet'!$E$14+1,1))</f>
        <v>635.71275911100679</v>
      </c>
      <c r="DU62" s="59">
        <f t="shared" si="44"/>
        <v>281.7776857269169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35.476964741346066</v>
      </c>
      <c r="EC62" s="21">
        <f>EXP(-LN(2)/2)*EC61+(1-EXP(-LN(2)/2))/(LN(2)/2)*DW62*DZ62*VLOOKUP('Données projet'!$B$14,Paramètres!$A$1:$I$89,3,0)*0.475*44/12</f>
        <v>6.0740339054928114</v>
      </c>
      <c r="ED62" s="22">
        <f t="shared" si="18"/>
        <v>41.550998646838877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10.107499999999998</v>
      </c>
      <c r="EJ62" s="12">
        <f>IF('Données projet'!$A$192&gt;35,EJ61+EI62-ER61,IF(A62&lt;'Données projet'!$A$192,$EG$205^A62,IF(A62='Données projet'!$A$192,'Données projet'!$B$192,EJ61+EI62-ER61)))</f>
        <v>216.0175000000003</v>
      </c>
      <c r="EK62" s="17">
        <f>EJ62*VLOOKUP('Données projet'!$B$15,Paramètres!$A$1:$I$89,3,0)*VLOOKUP('Données projet'!$B$15,Paramètres!$A$1:$I$89,5,0)</f>
        <v>144.9045390000002</v>
      </c>
      <c r="EL62" s="13">
        <f t="shared" si="45"/>
        <v>37.418305017213846</v>
      </c>
      <c r="EM62" s="20">
        <f t="shared" si="19"/>
        <v>317.54561999664776</v>
      </c>
      <c r="EN62" s="59">
        <f t="shared" si="20"/>
        <v>610.87895332998107</v>
      </c>
      <c r="EO62" s="59">
        <f ca="1">AVERAGE(OFFSET($EN$3,0,0,'Données projet'!$E$15+1,1))-AVERAGE(OFFSET($H$3,0,0,'Données projet'!$E$15+1,1))</f>
        <v>482.99915419700773</v>
      </c>
      <c r="EP62" s="59">
        <f t="shared" si="46"/>
        <v>219.74157899604279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32.418605711919689</v>
      </c>
      <c r="EX62" s="21">
        <f>EXP(-LN(2)/2)*EX61+(1-EXP(-LN(2)/2))/(LN(2)/2)*ER62*EU62*VLOOKUP('Données projet'!$B$15,Paramètres!$A$1:$I$89,3,0)*0.475*44/12</f>
        <v>4.5031630678653602</v>
      </c>
      <c r="EY62" s="22">
        <f t="shared" si="21"/>
        <v>36.921768779785047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10.107499999999998</v>
      </c>
      <c r="FE62" s="12">
        <f>IF('Données projet'!$A$218&gt;35,FE61+FD62-FM61,IF(A62&lt;'Données projet'!$A$218,$FB$205^A62,IF(A62='Données projet'!$A$218,'Données projet'!$B$218,FE61+FD62-FM61)))</f>
        <v>216.0175000000003</v>
      </c>
      <c r="FF62" s="17">
        <f>FE62*VLOOKUP('Données projet'!$B$16,Paramètres!$A$1:$I$89,3,0)*VLOOKUP('Données projet'!$B$16,Paramètres!$A$1:$I$89,5,0)</f>
        <v>205.56225300000028</v>
      </c>
      <c r="FG62" s="13">
        <f t="shared" si="47"/>
        <v>50.964624143866644</v>
      </c>
      <c r="FH62" s="20">
        <f t="shared" si="22"/>
        <v>446.78431102556823</v>
      </c>
      <c r="FI62" s="59">
        <f t="shared" si="23"/>
        <v>740.11764435890154</v>
      </c>
      <c r="FJ62" s="59">
        <f ca="1">AVERAGE(OFFSET($FI$3,0,0,'Données projet'!$E$16+1,1))-AVERAGE(OFFSET($H$3,0,0,'Données projet'!$E$16+1,1))</f>
        <v>666.1523645983184</v>
      </c>
      <c r="FK62" s="59">
        <f t="shared" si="48"/>
        <v>294.13851344047526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37.311980159001898</v>
      </c>
      <c r="FS62" s="21">
        <f>EXP(-LN(2)/2)*FS61+(1-EXP(-LN(2)/2))/(LN(2)/2)*FM62*FP62*VLOOKUP('Données projet'!$B$16,Paramètres!$A$1:$I$89,3,0)*0.475*44/12</f>
        <v>6.3882080730183004</v>
      </c>
      <c r="FT62" s="22">
        <f t="shared" si="24"/>
        <v>43.700188232020196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294</v>
      </c>
      <c r="L63" s="12">
        <f>VLOOKUP(A63,'Données projet'!$A$35:$I$55,9,0)</f>
        <v>6.2</v>
      </c>
      <c r="M63" s="12">
        <f t="array" ref="M63">INDEX(L:L,MIN(IF(ISNUMBER(L63:L259),ROW(L63:L259),"")))</f>
        <v>6.2</v>
      </c>
      <c r="N63" s="13">
        <f>IF('Données projet'!$A$36&gt;35,N62+M63-V62,IF(A63&lt;'Données projet'!$A$36,$K$205^A63,IF(A63='Données projet'!$A$36,'Données projet'!$B$36,N62+M63-V62)))</f>
        <v>293.99999999999989</v>
      </c>
      <c r="O63" s="13">
        <f>N63*VLOOKUP('Données projet'!$B$9,Paramètres!$A$1:$I$89,3,0)*VLOOKUP('Données projet'!$B$9,Paramètres!$A$1:$I$89,5,0)</f>
        <v>215.56079999999992</v>
      </c>
      <c r="P63" s="13">
        <f t="shared" si="33"/>
        <v>53.14890585638225</v>
      </c>
      <c r="Q63" s="20">
        <f t="shared" si="53"/>
        <v>468.00273769986558</v>
      </c>
      <c r="R63" s="59">
        <f t="shared" si="0"/>
        <v>761.33607103319889</v>
      </c>
      <c r="S63" s="59">
        <f ca="1">AVERAGE(OFFSET($R$3,0,0,'Données projet'!$E$9+1,1))-AVERAGE(OFFSET($H$3,0,0,'Données projet'!$E$9+1,1))</f>
        <v>328.55631138162721</v>
      </c>
      <c r="T63" s="59">
        <f t="shared" si="34"/>
        <v>321.81422611044985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14</v>
      </c>
      <c r="W63" s="16">
        <f>IF(ISNA(VLOOKUP(A63,'Données projet'!$A$35:$I$55,5,0)),0%,VLOOKUP(A63,'Données projet'!$A$35:$I$55,5,0)*VLOOKUP('Données projet'!$B$9,Paramètres!$A$1:$I$89,7,0))</f>
        <v>0.1075</v>
      </c>
      <c r="X63" s="16">
        <f>IF(ISNA(VLOOKUP(A63,'Données projet'!$A$35:$I$55,6,0)),0%,VLOOKUP(A63,'Données projet'!$A$35:$I$55,6,0)*VLOOKUP('Données projet'!$B$9,Paramètres!$A$1:$I$89,7,0))</f>
        <v>0.1075</v>
      </c>
      <c r="Y63" s="16">
        <f>IF(ISNA(VLOOKUP(A63,'Données projet'!$A$35:$I$55,7,0)),0%,VLOOKUP(A63,'Données projet'!$A$35:$I$55,7,0))</f>
        <v>0.25</v>
      </c>
      <c r="Z63" s="21">
        <f>EXP(-LN(2)/35)*Z62+(1-EXP(-LN(2)/35))/(LN(2)/35)*V63*W63*VLOOKUP('Données projet'!$B$9,Paramètres!$A$1:$I$89,3,0)*0.475*44/12</f>
        <v>10.988873649138901</v>
      </c>
      <c r="AA63" s="21">
        <f>EXP(-LN(2)/25)*AA62+(1-EXP(-LN(2)/25))/(LN(2)/25)*Calculateur!V63*Calculateur!X63*VLOOKUP('Données projet'!$B$9,Paramètres!$A$1:$I$89,3,0)*0.475*44/12</f>
        <v>12.584132876858591</v>
      </c>
      <c r="AB63" s="21">
        <f>EXP(-LN(2)/2)*AB62+(1-EXP(-LN(2)/2))/(LN(2)/2)*V63*Y63*VLOOKUP('Données projet'!$B$9,Paramètres!$A$1:$I$89,3,0)*0.475*44/12</f>
        <v>3.0432494582065153</v>
      </c>
      <c r="AC63" s="22">
        <f t="shared" si="3"/>
        <v>26.616255984204006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294</v>
      </c>
      <c r="AG63" s="12">
        <f>VLOOKUP(A63,'Données projet'!$A$61:$I$81,9,0)</f>
        <v>6.2</v>
      </c>
      <c r="AH63" s="12">
        <f t="array" ref="AH63">INDEX(AG:AG,MIN(IF(ISNUMBER(AG63:AG259),ROW(AG63:AG259),"")))</f>
        <v>6.2</v>
      </c>
      <c r="AI63" s="13">
        <f>IF('Données projet'!$A$62&gt;35,AI62+AH63-AQ62,IF(A63&lt;'Données projet'!$A$62,$AF$205^A63,IF(A63='Données projet'!$A$62,'Données projet'!$B$62,AI62+AH63-AQ62)))</f>
        <v>293.99999999999989</v>
      </c>
      <c r="AJ63" s="13">
        <f>AI63*VLOOKUP('Données projet'!$B$10,Paramètres!$A$1:$I$89,3,0)*VLOOKUP('Données projet'!$B$10,Paramètres!$A$1:$I$89,5,0)</f>
        <v>233.90639999999991</v>
      </c>
      <c r="AK63" s="13">
        <f t="shared" si="35"/>
        <v>57.126506840778347</v>
      </c>
      <c r="AL63" s="20">
        <f t="shared" si="4"/>
        <v>506.88231274768879</v>
      </c>
      <c r="AM63" s="59">
        <f t="shared" si="5"/>
        <v>800.2156460810221</v>
      </c>
      <c r="AN63" s="59">
        <f ca="1">AVERAGE(OFFSET($AM$3,0,0,'Données projet'!$E$10+1,1))-AVERAGE(OFFSET($H$3,0,0,'Données projet'!$E$10+1,1))</f>
        <v>353.37479213497227</v>
      </c>
      <c r="AO63" s="59">
        <f t="shared" si="36"/>
        <v>345.4750813433123</v>
      </c>
      <c r="AP63" s="15">
        <f>IF(ISNA(VLOOKUP(A63,'Données projet'!$A$61:$I$81,3,0)),0,VLOOKUP(A63,'Données projet'!$A$61:$I$81,3,0))</f>
        <v>10</v>
      </c>
      <c r="AQ63" s="15">
        <f>IF(ISNA(VLOOKUP(A63,'Données projet'!$A$61:$I$81,4,0)),0,VLOOKUP(A63,'Données projet'!$A$61:$I$81,4,0))</f>
        <v>14</v>
      </c>
      <c r="AR63" s="16">
        <f>IF(ISNA(VLOOKUP(A63,'Données projet'!$A$61:$I$81,5,0)),0%,VLOOKUP(A63,'Données projet'!$A$61:$I$81,5,0)*VLOOKUP('Données projet'!$B$10,Paramètres!$A$1:$I$89,7,0))</f>
        <v>0.13250000000000001</v>
      </c>
      <c r="AS63" s="16">
        <f>IF(ISNA(VLOOKUP(A63,'Données projet'!$A$61:$I$81,6,0)),0%,VLOOKUP(A63,'Données projet'!$A$61:$I$81,6,0)*VLOOKUP('Données projet'!$B$10,Paramètres!$A$1:$I$89,7,0))</f>
        <v>0.13250000000000001</v>
      </c>
      <c r="AT63" s="16">
        <f>IF(ISNA(VLOOKUP(A63,'Données projet'!$A$61:$I$81,7,0)),0%,VLOOKUP(A63,'Données projet'!$A$61:$I$81,7,0))</f>
        <v>0.25</v>
      </c>
      <c r="AU63" s="21">
        <f>EXP(-LN(2)/35)*AU62+(1-EXP(-LN(2)/35))/(LN(2)/35)*AQ63*AR63*VLOOKUP('Données projet'!$B$10,Paramètres!$A$1:$I$89,3,0)*0.475*44/12</f>
        <v>14.697142738061579</v>
      </c>
      <c r="AV63" s="21">
        <f>EXP(-LN(2)/25)*AV62+(1-EXP(-LN(2)/25))/(LN(2)/25)*Calculateur!AQ63*Calculateur!AS63*VLOOKUP('Données projet'!$B$10,Paramètres!$A$1:$I$89,3,0)*0.475*44/12</f>
        <v>16.830732887752983</v>
      </c>
      <c r="AW63" s="21">
        <f>EXP(-LN(2)/2)*AW62+(1-EXP(-LN(2)/2))/(LN(2)/2)*AQ63*AT63*VLOOKUP('Données projet'!$B$10,Paramètres!$A$1:$I$89,3,0)*0.475*44/12</f>
        <v>3.3022494120964314</v>
      </c>
      <c r="AX63" s="21">
        <f t="shared" si="6"/>
        <v>34.830125037910996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294</v>
      </c>
      <c r="BB63" s="12">
        <f>VLOOKUP(A63,'Données projet'!$A$87:$I$107,9,0)</f>
        <v>6.2</v>
      </c>
      <c r="BC63" s="12">
        <f t="array" ref="BC63">INDEX(BB:BB,MIN(IF(ISNUMBER(BB63:BB259),ROW(BB63:BB259),"")))</f>
        <v>6.2</v>
      </c>
      <c r="BD63" s="12">
        <f>IF('Données projet'!$A$88&gt;35,BD62+BC63-BL62,IF(A63&lt;'Données projet'!$A$88,$BA$205^A63,IF(A63='Données projet'!$A$88,'Données projet'!$B$88,BD62+BC63-BL62)))</f>
        <v>293.99999999999989</v>
      </c>
      <c r="BE63" s="13">
        <f>BD63*VLOOKUP('Données projet'!$B$11,Paramètres!$A$1:$I$89,3,0)*VLOOKUP('Données projet'!$B$11,Paramètres!$A$1:$I$89,5,0)</f>
        <v>238.4927999999999</v>
      </c>
      <c r="BF63" s="13">
        <f t="shared" si="37"/>
        <v>58.115130258576542</v>
      </c>
      <c r="BG63" s="20">
        <f t="shared" si="7"/>
        <v>516.59214520035403</v>
      </c>
      <c r="BH63" s="59">
        <f t="shared" si="8"/>
        <v>809.92547853368728</v>
      </c>
      <c r="BI63" s="59">
        <f ca="1">AVERAGE(OFFSET($BH$3,0,0,'Données projet'!$E$11+1,1))-AVERAGE(OFFSET($H$3,0,0,'Données projet'!$E$11+1,1))</f>
        <v>359.57284550600366</v>
      </c>
      <c r="BJ63" s="59">
        <f t="shared" si="38"/>
        <v>351.38386928091433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0.13250000000000001</v>
      </c>
      <c r="BN63" s="16">
        <f>IF(ISNA(VLOOKUP(A63,'Données projet'!$A$87:$I$107,6,0)),0%,VLOOKUP(A63,'Données projet'!$A$87:$I$107,6,0)*VLOOKUP('Données projet'!$B$11,Paramètres!$A$1:$I$89,7,0))</f>
        <v>0.13250000000000001</v>
      </c>
      <c r="BO63" s="16">
        <f>IF(ISNA(VLOOKUP(A63,'Données projet'!$A$87:$I$107,7,0)),0%,VLOOKUP(A63,'Données projet'!$A$87:$I$107,7,0))</f>
        <v>0.25</v>
      </c>
      <c r="BP63" s="21">
        <f>EXP(-LN(2)/35)*BP62+(1-EXP(-LN(2)/35))/(LN(2)/35)*BL63*BM63*VLOOKUP('Données projet'!$B$11,Paramètres!$A$1:$I$89,3,0)*0.475*44/12</f>
        <v>14.985322007435338</v>
      </c>
      <c r="BQ63" s="21">
        <f>EXP(-LN(2)/25)*BQ62+(1-EXP(-LN(2)/25))/(LN(2)/25)*Calculateur!BL63*Calculateur!BN63*VLOOKUP('Données projet'!$B$11,Paramètres!$A$1:$I$89,3,0)*0.475*44/12</f>
        <v>17.160747258101086</v>
      </c>
      <c r="BR63" s="21">
        <f>EXP(-LN(2)/2)*BR62+(1-EXP(-LN(2)/2))/(LN(2)/2)*BL63*BO63*VLOOKUP('Données projet'!$B$11,Paramètres!$A$1:$I$89,3,0)*0.475*44/12</f>
        <v>3.3669994005689103</v>
      </c>
      <c r="BS63" s="22">
        <f t="shared" si="9"/>
        <v>35.513068666105333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102.56410256410257</v>
      </c>
      <c r="BW63" s="12">
        <f>VLOOKUP(A63,'Données projet'!$A$113:$I$133,9,0)</f>
        <v>2.6923076923076907</v>
      </c>
      <c r="BX63" s="12">
        <f t="array" ref="BX63">INDEX(BW:BW,MIN(IF(ISNUMBER(BW63:BW259),ROW(BW63:BW259),"")))</f>
        <v>2.6923076923076907</v>
      </c>
      <c r="BY63" s="12">
        <f>IF('Données projet'!$A$114&gt;35,BY62+BX63-CG62,IF(A63&lt;'Données projet'!$A$114,$BV$205^A63,IF(A63='Données projet'!$A$114,'Données projet'!$B$114,BY62+BX63-CG62)))</f>
        <v>102.56410256410254</v>
      </c>
      <c r="BZ63" s="13">
        <f>BY63*VLOOKUP('Données projet'!$B$12,Paramètres!$A$1:$I$89,3,0)*VLOOKUP('Données projet'!$B$12,Paramètres!$A$1:$I$89,5,0)</f>
        <v>83.199999999999989</v>
      </c>
      <c r="CA63" s="13">
        <f t="shared" si="39"/>
        <v>22.917805851806389</v>
      </c>
      <c r="CB63" s="20">
        <f t="shared" si="10"/>
        <v>184.82184519189613</v>
      </c>
      <c r="CC63" s="59">
        <f t="shared" si="11"/>
        <v>478.15517852522942</v>
      </c>
      <c r="CD63" s="59">
        <f ca="1">AVERAGE(OFFSET($CC$3,0,0,'Données projet'!$E$12+1,1))-AVERAGE(OFFSET($H$3,0,0,'Données projet'!$E$12+1,1))</f>
        <v>159.4660488566085</v>
      </c>
      <c r="CE63" s="59">
        <f t="shared" si="40"/>
        <v>135.33030558297088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7.0512820512820511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0.1075</v>
      </c>
      <c r="CJ63" s="16">
        <f>IF(ISNA(VLOOKUP(A63,'Données projet'!$A$113:$I$133,7,0)),0%,VLOOKUP(A63,'Données projet'!$A$113:$I$133,7,0))</f>
        <v>0.25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3.4980943239863573</v>
      </c>
      <c r="CM63" s="21">
        <f>EXP(-LN(2)/2)*CM62+(1-EXP(-LN(2)/2))/(LN(2)/2)*CG63*CJ63*VLOOKUP('Données projet'!$B$12,Paramètres!$A$1:$I$89,3,0)*0.475*44/12</f>
        <v>1.6388253617184754</v>
      </c>
      <c r="CN63" s="22">
        <f t="shared" si="12"/>
        <v>5.1369196857048323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294</v>
      </c>
      <c r="CR63" s="12">
        <f>VLOOKUP(A63,'Données projet'!$A$139:$I$159,9,0)</f>
        <v>6.2</v>
      </c>
      <c r="CS63" s="12">
        <f t="array" ref="CS63">INDEX(CR:CR,MIN(IF(ISNUMBER(CR63:CR259),ROW(CR63:CR259),"")))</f>
        <v>6.2</v>
      </c>
      <c r="CT63" s="12">
        <f>IF('Données projet'!$A$140&gt;35,CT62+CS63-DB62,IF(A63&lt;'Données projet'!$A$140,$CQ$205^A63,IF(A63='Données projet'!$A$140,'Données projet'!$B$140,CT62+CS63-DB62)))</f>
        <v>293.99999999999989</v>
      </c>
      <c r="CU63" s="17">
        <f>CT63*VLOOKUP('Données projet'!$B$13,Paramètres!$A$1:$I$89,3,0)*VLOOKUP('Données projet'!$B$13,Paramètres!$A$1:$I$89,5,0)</f>
        <v>233.90639999999991</v>
      </c>
      <c r="CV63" s="13">
        <f t="shared" si="41"/>
        <v>57.126506840778347</v>
      </c>
      <c r="CW63" s="20">
        <f t="shared" si="13"/>
        <v>506.88231274768879</v>
      </c>
      <c r="CX63" s="59">
        <f t="shared" si="14"/>
        <v>800.2156460810221</v>
      </c>
      <c r="CY63" s="59">
        <f ca="1">AVERAGE(OFFSET($CX$3,0,0,'Données projet'!$E$13+1,1))-AVERAGE(OFFSET($H$3,0,0,'Données projet'!$E$13+1,1))</f>
        <v>353.37479213497227</v>
      </c>
      <c r="CZ63" s="59">
        <f t="shared" si="42"/>
        <v>345.4750813433123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14</v>
      </c>
      <c r="DC63" s="16">
        <f>IF(ISNA(VLOOKUP(A63,'Données projet'!$A$139:$I$159,5,0)),0%,VLOOKUP(A63,'Données projet'!$A$139:$I$159,5,0)*VLOOKUP('Données projet'!$B$13,Paramètres!$A$1:$I$89,7,0))</f>
        <v>0.13250000000000001</v>
      </c>
      <c r="DD63" s="16">
        <f>IF(ISNA(VLOOKUP(A63,'Données projet'!$A$139:$I$159,6,0)),0%,VLOOKUP(A63,'Données projet'!$A$139:$I$159,6,0)*VLOOKUP('Données projet'!$B$13,Paramètres!$A$1:$I$89,7,0))</f>
        <v>0.13250000000000001</v>
      </c>
      <c r="DE63" s="16">
        <f>IF(ISNA(VLOOKUP(A63,'Données projet'!$A$139:$I$159,7,0)),0%,VLOOKUP(A63,'Données projet'!$A$139:$I$159,7,0))</f>
        <v>0.25</v>
      </c>
      <c r="DF63" s="21">
        <f>EXP(-LN(2)/35)*DF62+(1-EXP(-LN(2)/35))/(LN(2)/35)*DB63*DC63*VLOOKUP('Données projet'!$B$13,Paramètres!$A$1:$I$89,3,0)*0.475*44/12</f>
        <v>14.697142738061579</v>
      </c>
      <c r="DG63" s="21">
        <f>EXP(-LN(2)/25)*DG62+(1-EXP(-LN(2)/25))/(LN(2)/25)*Calculateur!DB63*Calculateur!DD63*VLOOKUP('Données projet'!$B$13,Paramètres!$A$1:$I$89,3,0)*0.475*44/12</f>
        <v>16.830732887752983</v>
      </c>
      <c r="DH63" s="21">
        <f>EXP(-LN(2)/2)*DH62+(1-EXP(-LN(2)/2))/(LN(2)/2)*DB63*DE63*VLOOKUP('Données projet'!$B$13,Paramètres!$A$1:$I$89,3,0)*0.475*44/12</f>
        <v>3.3022494120964314</v>
      </c>
      <c r="DI63" s="22">
        <f t="shared" si="15"/>
        <v>34.830125037910996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10.107499999999998</v>
      </c>
      <c r="DO63" s="12">
        <f>IF('Données projet'!$A$166&gt;35,DO62+DN63-DW62,IF(A63&lt;'Données projet'!$A$166,$DL$205^A63,IF(A63='Données projet'!$A$166,'Données projet'!$B$166,DO62+DN63-DW62)))</f>
        <v>226.12500000000028</v>
      </c>
      <c r="DP63" s="17">
        <f>DO63*VLOOKUP('Données projet'!$B$14,Paramètres!$A$1:$I$89,3,0)*VLOOKUP('Données projet'!$B$14,Paramètres!$A$1:$I$89,5,0)</f>
        <v>204.59790000000024</v>
      </c>
      <c r="DQ63" s="13">
        <f t="shared" si="43"/>
        <v>50.753306398717811</v>
      </c>
      <c r="DR63" s="20">
        <f t="shared" si="16"/>
        <v>444.73668447776726</v>
      </c>
      <c r="DS63" s="59">
        <f t="shared" si="17"/>
        <v>738.07001781110057</v>
      </c>
      <c r="DT63" s="59">
        <f ca="1">AVERAGE(OFFSET($DS$3,0,0,'Données projet'!$E$14+1,1))-AVERAGE(OFFSET($H$3,0,0,'Données projet'!$E$14+1,1))</f>
        <v>635.71275911100679</v>
      </c>
      <c r="DU63" s="59">
        <f t="shared" si="44"/>
        <v>281.7776857269169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34.506845274841467</v>
      </c>
      <c r="EC63" s="21">
        <f>EXP(-LN(2)/2)*EC62+(1-EXP(-LN(2)/2))/(LN(2)/2)*DW63*DZ63*VLOOKUP('Données projet'!$B$14,Paramètres!$A$1:$I$89,3,0)*0.475*44/12</f>
        <v>4.294990563730976</v>
      </c>
      <c r="ED63" s="22">
        <f t="shared" si="18"/>
        <v>38.801835838572444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10.107499999999998</v>
      </c>
      <c r="EJ63" s="12">
        <f>IF('Données projet'!$A$192&gt;35,EJ62+EI63-ER62,IF(A63&lt;'Données projet'!$A$192,$EG$205^A63,IF(A63='Données projet'!$A$192,'Données projet'!$B$192,EJ62+EI63-ER62)))</f>
        <v>226.12500000000028</v>
      </c>
      <c r="EK63" s="17">
        <f>EJ63*VLOOKUP('Données projet'!$B$15,Paramètres!$A$1:$I$89,3,0)*VLOOKUP('Données projet'!$B$15,Paramètres!$A$1:$I$89,5,0)</f>
        <v>151.68465000000018</v>
      </c>
      <c r="EL63" s="13">
        <f t="shared" si="45"/>
        <v>38.961179175243949</v>
      </c>
      <c r="EM63" s="20">
        <f t="shared" si="19"/>
        <v>332.0414858135502</v>
      </c>
      <c r="EN63" s="59">
        <f t="shared" si="20"/>
        <v>625.37481914688351</v>
      </c>
      <c r="EO63" s="59">
        <f ca="1">AVERAGE(OFFSET($EN$3,0,0,'Données projet'!$E$15+1,1))-AVERAGE(OFFSET($H$3,0,0,'Données projet'!$E$15+1,1))</f>
        <v>482.99915419700773</v>
      </c>
      <c r="EP63" s="59">
        <f t="shared" si="46"/>
        <v>219.74157899604279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31.532117233906863</v>
      </c>
      <c r="EX63" s="21">
        <f>EXP(-LN(2)/2)*EX62+(1-EXP(-LN(2)/2))/(LN(2)/2)*ER63*EU63*VLOOKUP('Données projet'!$B$15,Paramètres!$A$1:$I$89,3,0)*0.475*44/12</f>
        <v>3.1842171420764136</v>
      </c>
      <c r="EY63" s="22">
        <f t="shared" si="21"/>
        <v>34.71633437598328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10.107499999999998</v>
      </c>
      <c r="FE63" s="12">
        <f>IF('Données projet'!$A$218&gt;35,FE62+FD63-FM62,IF(A63&lt;'Données projet'!$A$218,$FB$205^A63,IF(A63='Données projet'!$A$218,'Données projet'!$B$218,FE62+FD63-FM62)))</f>
        <v>226.12500000000028</v>
      </c>
      <c r="FF63" s="17">
        <f>FE63*VLOOKUP('Données projet'!$B$16,Paramètres!$A$1:$I$89,3,0)*VLOOKUP('Données projet'!$B$16,Paramètres!$A$1:$I$89,5,0)</f>
        <v>215.18055000000027</v>
      </c>
      <c r="FG63" s="13">
        <f t="shared" si="47"/>
        <v>53.066055556356247</v>
      </c>
      <c r="FH63" s="20">
        <f t="shared" si="22"/>
        <v>467.19617134398754</v>
      </c>
      <c r="FI63" s="59">
        <f t="shared" si="23"/>
        <v>760.5295046773208</v>
      </c>
      <c r="FJ63" s="59">
        <f ca="1">AVERAGE(OFFSET($FI$3,0,0,'Données projet'!$E$16+1,1))-AVERAGE(OFFSET($H$3,0,0,'Données projet'!$E$16+1,1))</f>
        <v>666.1523645983184</v>
      </c>
      <c r="FK63" s="59">
        <f t="shared" si="48"/>
        <v>294.13851344047526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36.29168209940223</v>
      </c>
      <c r="FS63" s="21">
        <f>EXP(-LN(2)/2)*FS62+(1-EXP(-LN(2)/2))/(LN(2)/2)*FM63*FP63*VLOOKUP('Données projet'!$B$16,Paramètres!$A$1:$I$89,3,0)*0.475*44/12</f>
        <v>4.5171452480618877</v>
      </c>
      <c r="FT63" s="22">
        <f t="shared" si="24"/>
        <v>40.808827347464117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5.2</v>
      </c>
      <c r="N64" s="13">
        <f>IF('Données projet'!$A$36&gt;35,N63+M64-V63,IF(A64&lt;'Données projet'!$A$36,$K$205^A64,IF(A64='Données projet'!$A$36,'Données projet'!$B$36,N63+M64-V63)))</f>
        <v>285.19999999999987</v>
      </c>
      <c r="O64" s="13">
        <f>N64*VLOOKUP('Données projet'!$B$9,Paramètres!$A$1:$I$89,3,0)*VLOOKUP('Données projet'!$B$9,Paramètres!$A$1:$I$89,5,0)</f>
        <v>209.10863999999989</v>
      </c>
      <c r="P64" s="13">
        <f t="shared" si="33"/>
        <v>51.740752917407036</v>
      </c>
      <c r="Q64" s="20">
        <f t="shared" si="53"/>
        <v>454.31269266448368</v>
      </c>
      <c r="R64" s="59">
        <f t="shared" si="0"/>
        <v>747.64602599781699</v>
      </c>
      <c r="S64" s="59">
        <f ca="1">AVERAGE(OFFSET($R$3,0,0,'Données projet'!$E$9+1,1))-AVERAGE(OFFSET($H$3,0,0,'Données projet'!$E$9+1,1))</f>
        <v>328.55631138162721</v>
      </c>
      <c r="T64" s="59">
        <f t="shared" si="34"/>
        <v>321.81422611044985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10.773388539430391</v>
      </c>
      <c r="AA64" s="21">
        <f>EXP(-LN(2)/25)*AA63+(1-EXP(-LN(2)/25))/(LN(2)/25)*Calculateur!V64*Calculateur!X64*VLOOKUP('Données projet'!$B$9,Paramètres!$A$1:$I$89,3,0)*0.475*44/12</f>
        <v>12.240019101570107</v>
      </c>
      <c r="AB64" s="21">
        <f>EXP(-LN(2)/2)*AB63+(1-EXP(-LN(2)/2))/(LN(2)/2)*V64*Y64*VLOOKUP('Données projet'!$B$9,Paramètres!$A$1:$I$89,3,0)*0.475*44/12</f>
        <v>2.151902328740114</v>
      </c>
      <c r="AC64" s="22">
        <f t="shared" si="3"/>
        <v>25.165309969740612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5.2</v>
      </c>
      <c r="AI64" s="13">
        <f>IF('Données projet'!$A$62&gt;35,AI63+AH64-AQ63,IF(A64&lt;'Données projet'!$A$62,$AF$205^A64,IF(A64='Données projet'!$A$62,'Données projet'!$B$62,AI63+AH64-AQ63)))</f>
        <v>285.19999999999987</v>
      </c>
      <c r="AJ64" s="13">
        <f>AI64*VLOOKUP('Données projet'!$B$10,Paramètres!$A$1:$I$89,3,0)*VLOOKUP('Données projet'!$B$10,Paramètres!$A$1:$I$89,5,0)</f>
        <v>226.90511999999993</v>
      </c>
      <c r="AK64" s="13">
        <f t="shared" si="35"/>
        <v>55.612969408444364</v>
      </c>
      <c r="AL64" s="20">
        <f t="shared" si="4"/>
        <v>492.05233905304044</v>
      </c>
      <c r="AM64" s="59">
        <f t="shared" si="5"/>
        <v>785.3856723863737</v>
      </c>
      <c r="AN64" s="59">
        <f ca="1">AVERAGE(OFFSET($AM$3,0,0,'Données projet'!$E$10+1,1))-AVERAGE(OFFSET($H$3,0,0,'Données projet'!$E$10+1,1))</f>
        <v>353.37479213497227</v>
      </c>
      <c r="AO64" s="59">
        <f t="shared" si="36"/>
        <v>345.4750813433123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14.408940733340105</v>
      </c>
      <c r="AV64" s="21">
        <f>EXP(-LN(2)/25)*AV63+(1-EXP(-LN(2)/25))/(LN(2)/25)*Calculateur!AQ64*Calculateur!AS64*VLOOKUP('Données projet'!$B$10,Paramètres!$A$1:$I$89,3,0)*0.475*44/12</f>
        <v>16.370495611847602</v>
      </c>
      <c r="AW64" s="21">
        <f>EXP(-LN(2)/2)*AW63+(1-EXP(-LN(2)/2))/(LN(2)/2)*AQ64*AT64*VLOOKUP('Données projet'!$B$10,Paramètres!$A$1:$I$89,3,0)*0.475*44/12</f>
        <v>2.3350429524626768</v>
      </c>
      <c r="AX64" s="21">
        <f t="shared" si="6"/>
        <v>33.114479297650384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285.19999999999987</v>
      </c>
      <c r="BE64" s="13">
        <f>BD64*VLOOKUP('Données projet'!$B$11,Paramètres!$A$1:$I$89,3,0)*VLOOKUP('Données projet'!$B$11,Paramètres!$A$1:$I$89,5,0)</f>
        <v>231.35423999999992</v>
      </c>
      <c r="BF64" s="13">
        <f t="shared" si="37"/>
        <v>56.575399756999062</v>
      </c>
      <c r="BG64" s="20">
        <f t="shared" si="7"/>
        <v>501.47745591010658</v>
      </c>
      <c r="BH64" s="59">
        <f t="shared" si="8"/>
        <v>794.8107892434399</v>
      </c>
      <c r="BI64" s="59">
        <f ca="1">AVERAGE(OFFSET($BH$3,0,0,'Données projet'!$E$11+1,1))-AVERAGE(OFFSET($H$3,0,0,'Données projet'!$E$11+1,1))</f>
        <v>359.57284550600366</v>
      </c>
      <c r="BJ64" s="59">
        <f t="shared" si="38"/>
        <v>351.38386928091433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14.691468983013442</v>
      </c>
      <c r="BQ64" s="21">
        <f>EXP(-LN(2)/25)*BQ63+(1-EXP(-LN(2)/25))/(LN(2)/25)*Calculateur!BL64*Calculateur!BN64*VLOOKUP('Données projet'!$B$11,Paramètres!$A$1:$I$89,3,0)*0.475*44/12</f>
        <v>16.691485721883836</v>
      </c>
      <c r="BR64" s="21">
        <f>EXP(-LN(2)/2)*BR63+(1-EXP(-LN(2)/2))/(LN(2)/2)*BL64*BO64*VLOOKUP('Données projet'!$B$11,Paramètres!$A$1:$I$89,3,0)*0.475*44/12</f>
        <v>2.3808281083933172</v>
      </c>
      <c r="BS64" s="22">
        <f t="shared" si="9"/>
        <v>33.763782813290597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2.5641025641025634</v>
      </c>
      <c r="BY64" s="12">
        <f>IF('Données projet'!$A$114&gt;35,BY63+BX64-CG63,IF(A64&lt;'Données projet'!$A$114,$BV$205^A64,IF(A64='Données projet'!$A$114,'Données projet'!$B$114,BY63+BX64-CG63)))</f>
        <v>98.076923076923066</v>
      </c>
      <c r="BZ64" s="13">
        <f>BY64*VLOOKUP('Données projet'!$B$12,Paramètres!$A$1:$I$89,3,0)*VLOOKUP('Données projet'!$B$12,Paramètres!$A$1:$I$89,5,0)</f>
        <v>79.559999999999988</v>
      </c>
      <c r="CA64" s="13">
        <f t="shared" si="39"/>
        <v>22.029567333453311</v>
      </c>
      <c r="CB64" s="20">
        <f t="shared" si="10"/>
        <v>176.93516310576447</v>
      </c>
      <c r="CC64" s="59">
        <f t="shared" si="11"/>
        <v>470.26849643909782</v>
      </c>
      <c r="CD64" s="59">
        <f ca="1">AVERAGE(OFFSET($CC$3,0,0,'Données projet'!$E$12+1,1))-AVERAGE(OFFSET($H$3,0,0,'Données projet'!$E$12+1,1))</f>
        <v>159.4660488566085</v>
      </c>
      <c r="CE64" s="59">
        <f t="shared" si="40"/>
        <v>135.33030558297088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3.4024387507401648</v>
      </c>
      <c r="CM64" s="21">
        <f>EXP(-LN(2)/2)*CM63+(1-EXP(-LN(2)/2))/(LN(2)/2)*CG64*CJ64*VLOOKUP('Données projet'!$B$12,Paramètres!$A$1:$I$89,3,0)*0.475*44/12</f>
        <v>1.1588245264516306</v>
      </c>
      <c r="CN64" s="22">
        <f t="shared" si="12"/>
        <v>4.5612632771917951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5.2</v>
      </c>
      <c r="CT64" s="12">
        <f>IF('Données projet'!$A$140&gt;35,CT63+CS64-DB63,IF(A64&lt;'Données projet'!$A$140,$CQ$205^A64,IF(A64='Données projet'!$A$140,'Données projet'!$B$140,CT63+CS64-DB63)))</f>
        <v>285.19999999999987</v>
      </c>
      <c r="CU64" s="17">
        <f>CT64*VLOOKUP('Données projet'!$B$13,Paramètres!$A$1:$I$89,3,0)*VLOOKUP('Données projet'!$B$13,Paramètres!$A$1:$I$89,5,0)</f>
        <v>226.90511999999993</v>
      </c>
      <c r="CV64" s="13">
        <f t="shared" si="41"/>
        <v>55.612969408444364</v>
      </c>
      <c r="CW64" s="20">
        <f t="shared" si="13"/>
        <v>492.05233905304044</v>
      </c>
      <c r="CX64" s="59">
        <f t="shared" si="14"/>
        <v>785.3856723863737</v>
      </c>
      <c r="CY64" s="59">
        <f ca="1">AVERAGE(OFFSET($CX$3,0,0,'Données projet'!$E$13+1,1))-AVERAGE(OFFSET($H$3,0,0,'Données projet'!$E$13+1,1))</f>
        <v>353.37479213497227</v>
      </c>
      <c r="CZ64" s="59">
        <f t="shared" si="42"/>
        <v>345.4750813433123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14.408940733340105</v>
      </c>
      <c r="DG64" s="21">
        <f>EXP(-LN(2)/25)*DG63+(1-EXP(-LN(2)/25))/(LN(2)/25)*Calculateur!DB64*Calculateur!DD64*VLOOKUP('Données projet'!$B$13,Paramètres!$A$1:$I$89,3,0)*0.475*44/12</f>
        <v>16.370495611847602</v>
      </c>
      <c r="DH64" s="21">
        <f>EXP(-LN(2)/2)*DH63+(1-EXP(-LN(2)/2))/(LN(2)/2)*DB64*DE64*VLOOKUP('Données projet'!$B$13,Paramètres!$A$1:$I$89,3,0)*0.475*44/12</f>
        <v>2.3350429524626768</v>
      </c>
      <c r="DI64" s="22">
        <f t="shared" si="15"/>
        <v>33.114479297650384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10.107499999999998</v>
      </c>
      <c r="DO64" s="12">
        <f>IF('Données projet'!$A$166&gt;35,DO63+DN64-DW63,IF(A64&lt;'Données projet'!$A$166,$DL$205^A64,IF(A64='Données projet'!$A$166,'Données projet'!$B$166,DO63+DN64-DW63)))</f>
        <v>236.23250000000027</v>
      </c>
      <c r="DP64" s="17">
        <f>DO64*VLOOKUP('Données projet'!$B$14,Paramètres!$A$1:$I$89,3,0)*VLOOKUP('Données projet'!$B$14,Paramètres!$A$1:$I$89,5,0)</f>
        <v>213.74316600000023</v>
      </c>
      <c r="DQ64" s="13">
        <f t="shared" si="43"/>
        <v>52.752718660626023</v>
      </c>
      <c r="DR64" s="20">
        <f t="shared" si="16"/>
        <v>464.14699911725734</v>
      </c>
      <c r="DS64" s="59">
        <f t="shared" si="17"/>
        <v>757.48033245059059</v>
      </c>
      <c r="DT64" s="59">
        <f ca="1">AVERAGE(OFFSET($DS$3,0,0,'Données projet'!$E$14+1,1))-AVERAGE(OFFSET($H$3,0,0,'Données projet'!$E$14+1,1))</f>
        <v>635.71275911100679</v>
      </c>
      <c r="DU64" s="59">
        <f t="shared" si="44"/>
        <v>281.7776857269169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33.5632537761648</v>
      </c>
      <c r="EC64" s="21">
        <f>EXP(-LN(2)/2)*EC63+(1-EXP(-LN(2)/2))/(LN(2)/2)*DW64*DZ64*VLOOKUP('Données projet'!$B$14,Paramètres!$A$1:$I$89,3,0)*0.475*44/12</f>
        <v>3.0370169527464057</v>
      </c>
      <c r="ED64" s="22">
        <f t="shared" si="18"/>
        <v>36.600270728911205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10.107499999999998</v>
      </c>
      <c r="EJ64" s="12">
        <f>IF('Données projet'!$A$192&gt;35,EJ63+EI64-ER63,IF(A64&lt;'Données projet'!$A$192,$EG$205^A64,IF(A64='Données projet'!$A$192,'Données projet'!$B$192,EJ63+EI64-ER63)))</f>
        <v>236.23250000000027</v>
      </c>
      <c r="EK64" s="17">
        <f>EJ64*VLOOKUP('Données projet'!$B$15,Paramètres!$A$1:$I$89,3,0)*VLOOKUP('Données projet'!$B$15,Paramètres!$A$1:$I$89,5,0)</f>
        <v>158.46476100000018</v>
      </c>
      <c r="EL64" s="13">
        <f t="shared" si="45"/>
        <v>40.496043894586684</v>
      </c>
      <c r="EM64" s="20">
        <f t="shared" si="19"/>
        <v>346.52340185807208</v>
      </c>
      <c r="EN64" s="59">
        <f t="shared" si="20"/>
        <v>639.85673519140539</v>
      </c>
      <c r="EO64" s="59">
        <f ca="1">AVERAGE(OFFSET($EN$3,0,0,'Données projet'!$E$15+1,1))-AVERAGE(OFFSET($H$3,0,0,'Données projet'!$E$15+1,1))</f>
        <v>482.99915419700773</v>
      </c>
      <c r="EP64" s="59">
        <f t="shared" si="46"/>
        <v>219.74157899604279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30.669869829943703</v>
      </c>
      <c r="EX64" s="21">
        <f>EXP(-LN(2)/2)*EX63+(1-EXP(-LN(2)/2))/(LN(2)/2)*ER64*EU64*VLOOKUP('Données projet'!$B$15,Paramètres!$A$1:$I$89,3,0)*0.475*44/12</f>
        <v>2.2515815339326806</v>
      </c>
      <c r="EY64" s="22">
        <f t="shared" si="21"/>
        <v>32.921451363876386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10.107499999999998</v>
      </c>
      <c r="FE64" s="12">
        <f>IF('Données projet'!$A$218&gt;35,FE63+FD64-FM63,IF(A64&lt;'Données projet'!$A$218,$FB$205^A64,IF(A64='Données projet'!$A$218,'Données projet'!$B$218,FE63+FD64-FM63)))</f>
        <v>236.23250000000027</v>
      </c>
      <c r="FF64" s="17">
        <f>FE64*VLOOKUP('Données projet'!$B$16,Paramètres!$A$1:$I$89,3,0)*VLOOKUP('Données projet'!$B$16,Paramètres!$A$1:$I$89,5,0)</f>
        <v>224.79884700000025</v>
      </c>
      <c r="FG64" s="13">
        <f t="shared" si="47"/>
        <v>55.156577922267701</v>
      </c>
      <c r="FH64" s="20">
        <f t="shared" si="22"/>
        <v>487.5890317396167</v>
      </c>
      <c r="FI64" s="59">
        <f t="shared" si="23"/>
        <v>780.92236507295002</v>
      </c>
      <c r="FJ64" s="59">
        <f ca="1">AVERAGE(OFFSET($FI$3,0,0,'Données projet'!$E$16+1,1))-AVERAGE(OFFSET($H$3,0,0,'Données projet'!$E$16+1,1))</f>
        <v>666.1523645983184</v>
      </c>
      <c r="FK64" s="59">
        <f t="shared" si="48"/>
        <v>294.13851344047526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35.299284143897459</v>
      </c>
      <c r="FS64" s="21">
        <f>EXP(-LN(2)/2)*FS63+(1-EXP(-LN(2)/2))/(LN(2)/2)*FM64*FP64*VLOOKUP('Données projet'!$B$16,Paramètres!$A$1:$I$89,3,0)*0.475*44/12</f>
        <v>3.1941040365091502</v>
      </c>
      <c r="FT64" s="22">
        <f t="shared" si="24"/>
        <v>38.493388180406612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5.2</v>
      </c>
      <c r="N65" s="13">
        <f>IF('Données projet'!$A$36&gt;35,N64+M65-V64,IF(A65&lt;'Données projet'!$A$36,$K$205^A65,IF(A65='Données projet'!$A$36,'Données projet'!$B$36,N64+M65-V64)))</f>
        <v>290.39999999999986</v>
      </c>
      <c r="O65" s="13">
        <f>N65*VLOOKUP('Données projet'!$B$9,Paramètres!$A$1:$I$89,3,0)*VLOOKUP('Données projet'!$B$9,Paramètres!$A$1:$I$89,5,0)</f>
        <v>212.92127999999988</v>
      </c>
      <c r="P65" s="13">
        <f t="shared" si="33"/>
        <v>52.57344469809297</v>
      </c>
      <c r="Q65" s="20">
        <f t="shared" si="53"/>
        <v>462.40331218251168</v>
      </c>
      <c r="R65" s="59">
        <f t="shared" si="0"/>
        <v>755.736645515845</v>
      </c>
      <c r="S65" s="59">
        <f ca="1">AVERAGE(OFFSET($R$3,0,0,'Données projet'!$E$9+1,1))-AVERAGE(OFFSET($H$3,0,0,'Données projet'!$E$9+1,1))</f>
        <v>328.55631138162721</v>
      </c>
      <c r="T65" s="59">
        <f t="shared" si="34"/>
        <v>321.81422611044985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10.562128961290325</v>
      </c>
      <c r="AA65" s="21">
        <f>EXP(-LN(2)/25)*AA64+(1-EXP(-LN(2)/25))/(LN(2)/25)*Calculateur!V65*Calculateur!X65*VLOOKUP('Données projet'!$B$9,Paramètres!$A$1:$I$89,3,0)*0.475*44/12</f>
        <v>11.905315135563043</v>
      </c>
      <c r="AB65" s="21">
        <f>EXP(-LN(2)/2)*AB64+(1-EXP(-LN(2)/2))/(LN(2)/2)*V65*Y65*VLOOKUP('Données projet'!$B$9,Paramètres!$A$1:$I$89,3,0)*0.475*44/12</f>
        <v>1.5216247291032579</v>
      </c>
      <c r="AC65" s="22">
        <f t="shared" si="3"/>
        <v>23.989068825956629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5.2</v>
      </c>
      <c r="AI65" s="13">
        <f>IF('Données projet'!$A$62&gt;35,AI64+AH65-AQ64,IF(A65&lt;'Données projet'!$A$62,$AF$205^A65,IF(A65='Données projet'!$A$62,'Données projet'!$B$62,AI64+AH65-AQ64)))</f>
        <v>290.39999999999986</v>
      </c>
      <c r="AJ65" s="13">
        <f>AI65*VLOOKUP('Données projet'!$B$10,Paramètres!$A$1:$I$89,3,0)*VLOOKUP('Données projet'!$B$10,Paramètres!$A$1:$I$89,5,0)</f>
        <v>231.04223999999991</v>
      </c>
      <c r="AK65" s="13">
        <f t="shared" si="35"/>
        <v>56.507978852931409</v>
      </c>
      <c r="AL65" s="20">
        <f t="shared" si="4"/>
        <v>500.81663116885539</v>
      </c>
      <c r="AM65" s="59">
        <f t="shared" si="5"/>
        <v>794.14996450218871</v>
      </c>
      <c r="AN65" s="59">
        <f ca="1">AVERAGE(OFFSET($AM$3,0,0,'Données projet'!$E$10+1,1))-AVERAGE(OFFSET($H$3,0,0,'Données projet'!$E$10+1,1))</f>
        <v>353.37479213497227</v>
      </c>
      <c r="AO65" s="59">
        <f t="shared" si="36"/>
        <v>345.4750813433123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14.126390194145351</v>
      </c>
      <c r="AV65" s="21">
        <f>EXP(-LN(2)/25)*AV64+(1-EXP(-LN(2)/25))/(LN(2)/25)*Calculateur!AQ65*Calculateur!AS65*VLOOKUP('Données projet'!$B$10,Paramètres!$A$1:$I$89,3,0)*0.475*44/12</f>
        <v>15.922843548454681</v>
      </c>
      <c r="AW65" s="21">
        <f>EXP(-LN(2)/2)*AW64+(1-EXP(-LN(2)/2))/(LN(2)/2)*AQ65*AT65*VLOOKUP('Données projet'!$B$10,Paramètres!$A$1:$I$89,3,0)*0.475*44/12</f>
        <v>1.6511247060482159</v>
      </c>
      <c r="AX65" s="21">
        <f t="shared" si="6"/>
        <v>31.700358448648245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290.39999999999986</v>
      </c>
      <c r="BE65" s="13">
        <f>BD65*VLOOKUP('Données projet'!$B$11,Paramètres!$A$1:$I$89,3,0)*VLOOKUP('Données projet'!$B$11,Paramètres!$A$1:$I$89,5,0)</f>
        <v>235.5724799999999</v>
      </c>
      <c r="BF65" s="13">
        <f t="shared" si="37"/>
        <v>57.485898111011707</v>
      </c>
      <c r="BG65" s="20">
        <f t="shared" si="7"/>
        <v>510.41000854334516</v>
      </c>
      <c r="BH65" s="59">
        <f t="shared" si="8"/>
        <v>803.74334187667841</v>
      </c>
      <c r="BI65" s="59">
        <f ca="1">AVERAGE(OFFSET($BH$3,0,0,'Données projet'!$E$11+1,1))-AVERAGE(OFFSET($H$3,0,0,'Données projet'!$E$11+1,1))</f>
        <v>359.57284550600366</v>
      </c>
      <c r="BJ65" s="59">
        <f t="shared" si="38"/>
        <v>351.38386928091433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14.403378237167811</v>
      </c>
      <c r="BQ65" s="21">
        <f>EXP(-LN(2)/25)*BQ64+(1-EXP(-LN(2)/25))/(LN(2)/25)*Calculateur!BL65*Calculateur!BN65*VLOOKUP('Données projet'!$B$11,Paramètres!$A$1:$I$89,3,0)*0.475*44/12</f>
        <v>16.235056167051837</v>
      </c>
      <c r="BR65" s="21">
        <f>EXP(-LN(2)/2)*BR64+(1-EXP(-LN(2)/2))/(LN(2)/2)*BL65*BO65*VLOOKUP('Données projet'!$B$11,Paramètres!$A$1:$I$89,3,0)*0.475*44/12</f>
        <v>1.6834997002844552</v>
      </c>
      <c r="BS65" s="22">
        <f t="shared" si="9"/>
        <v>32.321934104504102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2.5641025641025634</v>
      </c>
      <c r="BY65" s="12">
        <f>IF('Données projet'!$A$114&gt;35,BY64+BX65-CG64,IF(A65&lt;'Données projet'!$A$114,$BV$205^A65,IF(A65='Données projet'!$A$114,'Données projet'!$B$114,BY64+BX65-CG64)))</f>
        <v>100.64102564102564</v>
      </c>
      <c r="BZ65" s="13">
        <f>BY65*VLOOKUP('Données projet'!$B$12,Paramètres!$A$1:$I$89,3,0)*VLOOKUP('Données projet'!$B$12,Paramètres!$A$1:$I$89,5,0)</f>
        <v>81.64</v>
      </c>
      <c r="CA65" s="13">
        <f t="shared" si="39"/>
        <v>22.537697845766751</v>
      </c>
      <c r="CB65" s="20">
        <f t="shared" si="10"/>
        <v>181.44282374804376</v>
      </c>
      <c r="CC65" s="59">
        <f t="shared" si="11"/>
        <v>474.77615708137705</v>
      </c>
      <c r="CD65" s="59">
        <f ca="1">AVERAGE(OFFSET($CC$3,0,0,'Données projet'!$E$12+1,1))-AVERAGE(OFFSET($H$3,0,0,'Données projet'!$E$12+1,1))</f>
        <v>159.4660488566085</v>
      </c>
      <c r="CE65" s="59">
        <f t="shared" si="40"/>
        <v>135.33030558297088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3.3093988841746973</v>
      </c>
      <c r="CM65" s="21">
        <f>EXP(-LN(2)/2)*CM64+(1-EXP(-LN(2)/2))/(LN(2)/2)*CG65*CJ65*VLOOKUP('Données projet'!$B$12,Paramètres!$A$1:$I$89,3,0)*0.475*44/12</f>
        <v>0.8194126808592378</v>
      </c>
      <c r="CN65" s="22">
        <f t="shared" si="12"/>
        <v>4.128811565033935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5.2</v>
      </c>
      <c r="CT65" s="12">
        <f>IF('Données projet'!$A$140&gt;35,CT64+CS65-DB64,IF(A65&lt;'Données projet'!$A$140,$CQ$205^A65,IF(A65='Données projet'!$A$140,'Données projet'!$B$140,CT64+CS65-DB64)))</f>
        <v>290.39999999999986</v>
      </c>
      <c r="CU65" s="17">
        <f>CT65*VLOOKUP('Données projet'!$B$13,Paramètres!$A$1:$I$89,3,0)*VLOOKUP('Données projet'!$B$13,Paramètres!$A$1:$I$89,5,0)</f>
        <v>231.04223999999991</v>
      </c>
      <c r="CV65" s="13">
        <f t="shared" si="41"/>
        <v>56.507978852931409</v>
      </c>
      <c r="CW65" s="20">
        <f t="shared" si="13"/>
        <v>500.81663116885539</v>
      </c>
      <c r="CX65" s="59">
        <f t="shared" si="14"/>
        <v>794.14996450218871</v>
      </c>
      <c r="CY65" s="59">
        <f ca="1">AVERAGE(OFFSET($CX$3,0,0,'Données projet'!$E$13+1,1))-AVERAGE(OFFSET($H$3,0,0,'Données projet'!$E$13+1,1))</f>
        <v>353.37479213497227</v>
      </c>
      <c r="CZ65" s="59">
        <f t="shared" si="42"/>
        <v>345.4750813433123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14.126390194145351</v>
      </c>
      <c r="DG65" s="21">
        <f>EXP(-LN(2)/25)*DG64+(1-EXP(-LN(2)/25))/(LN(2)/25)*Calculateur!DB65*Calculateur!DD65*VLOOKUP('Données projet'!$B$13,Paramètres!$A$1:$I$89,3,0)*0.475*44/12</f>
        <v>15.922843548454681</v>
      </c>
      <c r="DH65" s="21">
        <f>EXP(-LN(2)/2)*DH64+(1-EXP(-LN(2)/2))/(LN(2)/2)*DB65*DE65*VLOOKUP('Données projet'!$B$13,Paramètres!$A$1:$I$89,3,0)*0.475*44/12</f>
        <v>1.6511247060482159</v>
      </c>
      <c r="DI65" s="22">
        <f t="shared" si="15"/>
        <v>31.700358448648245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10.107499999999998</v>
      </c>
      <c r="DO65" s="12">
        <f>IF('Données projet'!$A$166&gt;35,DO64+DN65-DW64,IF(A65&lt;'Données projet'!$A$166,$DL$205^A65,IF(A65='Données projet'!$A$166,'Données projet'!$B$166,DO64+DN65-DW64)))</f>
        <v>246.34000000000026</v>
      </c>
      <c r="DP65" s="17">
        <f>DO65*VLOOKUP('Données projet'!$B$14,Paramètres!$A$1:$I$89,3,0)*VLOOKUP('Données projet'!$B$14,Paramètres!$A$1:$I$89,5,0)</f>
        <v>222.88843200000022</v>
      </c>
      <c r="DQ65" s="13">
        <f t="shared" si="43"/>
        <v>54.74219476708182</v>
      </c>
      <c r="DR65" s="20">
        <f t="shared" si="16"/>
        <v>483.54000828600118</v>
      </c>
      <c r="DS65" s="59">
        <f t="shared" si="17"/>
        <v>776.8733416193345</v>
      </c>
      <c r="DT65" s="59">
        <f ca="1">AVERAGE(OFFSET($DS$3,0,0,'Données projet'!$E$14+1,1))-AVERAGE(OFFSET($H$3,0,0,'Données projet'!$E$14+1,1))</f>
        <v>635.71275911100679</v>
      </c>
      <c r="DU65" s="59">
        <f t="shared" si="44"/>
        <v>281.7776857269169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32.64546483664077</v>
      </c>
      <c r="EC65" s="21">
        <f>EXP(-LN(2)/2)*EC64+(1-EXP(-LN(2)/2))/(LN(2)/2)*DW65*DZ65*VLOOKUP('Données projet'!$B$14,Paramètres!$A$1:$I$89,3,0)*0.475*44/12</f>
        <v>2.147495281865488</v>
      </c>
      <c r="ED65" s="22">
        <f t="shared" si="18"/>
        <v>34.792960118506258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10.107499999999998</v>
      </c>
      <c r="EJ65" s="12">
        <f>IF('Données projet'!$A$192&gt;35,EJ64+EI65-ER64,IF(A65&lt;'Données projet'!$A$192,$EG$205^A65,IF(A65='Données projet'!$A$192,'Données projet'!$B$192,EJ64+EI65-ER64)))</f>
        <v>246.34000000000026</v>
      </c>
      <c r="EK65" s="17">
        <f>EJ65*VLOOKUP('Données projet'!$B$15,Paramètres!$A$1:$I$89,3,0)*VLOOKUP('Données projet'!$B$15,Paramètres!$A$1:$I$89,5,0)</f>
        <v>165.24487200000019</v>
      </c>
      <c r="EL65" s="13">
        <f t="shared" si="45"/>
        <v>42.023281045198232</v>
      </c>
      <c r="EM65" s="20">
        <f t="shared" si="19"/>
        <v>360.99203322038721</v>
      </c>
      <c r="EN65" s="59">
        <f t="shared" si="20"/>
        <v>654.32536655372053</v>
      </c>
      <c r="EO65" s="59">
        <f ca="1">AVERAGE(OFFSET($EN$3,0,0,'Données projet'!$E$15+1,1))-AVERAGE(OFFSET($H$3,0,0,'Données projet'!$E$15+1,1))</f>
        <v>482.99915419700773</v>
      </c>
      <c r="EP65" s="59">
        <f t="shared" si="46"/>
        <v>219.74157899604279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29.831200626585535</v>
      </c>
      <c r="EX65" s="21">
        <f>EXP(-LN(2)/2)*EX64+(1-EXP(-LN(2)/2))/(LN(2)/2)*ER65*EU65*VLOOKUP('Données projet'!$B$15,Paramètres!$A$1:$I$89,3,0)*0.475*44/12</f>
        <v>1.592108571038207</v>
      </c>
      <c r="EY65" s="22">
        <f t="shared" si="21"/>
        <v>31.423309197623741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10.107499999999998</v>
      </c>
      <c r="FE65" s="12">
        <f>IF('Données projet'!$A$218&gt;35,FE64+FD65-FM64,IF(A65&lt;'Données projet'!$A$218,$FB$205^A65,IF(A65='Données projet'!$A$218,'Données projet'!$B$218,FE64+FD65-FM64)))</f>
        <v>246.34000000000026</v>
      </c>
      <c r="FF65" s="17">
        <f>FE65*VLOOKUP('Données projet'!$B$16,Paramètres!$A$1:$I$89,3,0)*VLOOKUP('Données projet'!$B$16,Paramètres!$A$1:$I$89,5,0)</f>
        <v>234.41714400000023</v>
      </c>
      <c r="FG65" s="13">
        <f t="shared" si="47"/>
        <v>57.236711357591943</v>
      </c>
      <c r="FH65" s="20">
        <f t="shared" si="22"/>
        <v>507.96379808113971</v>
      </c>
      <c r="FI65" s="59">
        <f t="shared" si="23"/>
        <v>801.29713141447303</v>
      </c>
      <c r="FJ65" s="59">
        <f ca="1">AVERAGE(OFFSET($FI$3,0,0,'Données projet'!$E$16+1,1))-AVERAGE(OFFSET($H$3,0,0,'Données projet'!$E$16+1,1))</f>
        <v>666.1523645983184</v>
      </c>
      <c r="FK65" s="59">
        <f t="shared" si="48"/>
        <v>294.13851344047526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34.334023362673911</v>
      </c>
      <c r="FS65" s="21">
        <f>EXP(-LN(2)/2)*FS64+(1-EXP(-LN(2)/2))/(LN(2)/2)*FM65*FP65*VLOOKUP('Données projet'!$B$16,Paramètres!$A$1:$I$89,3,0)*0.475*44/12</f>
        <v>2.2585726240309438</v>
      </c>
      <c r="FT65" s="22">
        <f t="shared" si="24"/>
        <v>36.592595986704858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5.2</v>
      </c>
      <c r="N66" s="13">
        <f>IF('Données projet'!$A$36&gt;35,N65+M66-V65,IF(A66&lt;'Données projet'!$A$36,$K$205^A66,IF(A66='Données projet'!$A$36,'Données projet'!$B$36,N65+M66-V65)))</f>
        <v>295.59999999999985</v>
      </c>
      <c r="O66" s="13">
        <f>N66*VLOOKUP('Données projet'!$B$9,Paramètres!$A$1:$I$89,3,0)*VLOOKUP('Données projet'!$B$9,Paramètres!$A$1:$I$89,5,0)</f>
        <v>216.7339199999999</v>
      </c>
      <c r="P66" s="13">
        <f t="shared" si="33"/>
        <v>53.404402610883679</v>
      </c>
      <c r="Q66" s="20">
        <f t="shared" si="53"/>
        <v>470.49091188062221</v>
      </c>
      <c r="R66" s="59">
        <f t="shared" si="0"/>
        <v>763.82424521395546</v>
      </c>
      <c r="S66" s="59">
        <f ca="1">AVERAGE(OFFSET($R$3,0,0,'Données projet'!$E$9+1,1))-AVERAGE(OFFSET($H$3,0,0,'Données projet'!$E$9+1,1))</f>
        <v>328.55631138162721</v>
      </c>
      <c r="T66" s="59">
        <f t="shared" si="34"/>
        <v>321.81422611044985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10.355012054621968</v>
      </c>
      <c r="AA66" s="21">
        <f>EXP(-LN(2)/25)*AA65+(1-EXP(-LN(2)/25))/(LN(2)/25)*Calculateur!V66*Calculateur!X66*VLOOKUP('Données projet'!$B$9,Paramètres!$A$1:$I$89,3,0)*0.475*44/12</f>
        <v>11.579763667107759</v>
      </c>
      <c r="AB66" s="21">
        <f>EXP(-LN(2)/2)*AB65+(1-EXP(-LN(2)/2))/(LN(2)/2)*V66*Y66*VLOOKUP('Données projet'!$B$9,Paramètres!$A$1:$I$89,3,0)*0.475*44/12</f>
        <v>1.075951164370057</v>
      </c>
      <c r="AC66" s="22">
        <f t="shared" si="3"/>
        <v>23.010726886099786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5.2</v>
      </c>
      <c r="AI66" s="13">
        <f>IF('Données projet'!$A$62&gt;35,AI65+AH66-AQ65,IF(A66&lt;'Données projet'!$A$62,$AF$205^A66,IF(A66='Données projet'!$A$62,'Données projet'!$B$62,AI65+AH66-AQ65)))</f>
        <v>295.59999999999985</v>
      </c>
      <c r="AJ66" s="13">
        <f>AI66*VLOOKUP('Données projet'!$B$10,Paramètres!$A$1:$I$89,3,0)*VLOOKUP('Données projet'!$B$10,Paramètres!$A$1:$I$89,5,0)</f>
        <v>235.17935999999989</v>
      </c>
      <c r="AK66" s="13">
        <f t="shared" si="35"/>
        <v>57.401124668909425</v>
      </c>
      <c r="AL66" s="20">
        <f t="shared" si="4"/>
        <v>509.57767746501708</v>
      </c>
      <c r="AM66" s="59">
        <f t="shared" si="5"/>
        <v>802.91101079835039</v>
      </c>
      <c r="AN66" s="59">
        <f ca="1">AVERAGE(OFFSET($AM$3,0,0,'Données projet'!$E$10+1,1))-AVERAGE(OFFSET($H$3,0,0,'Données projet'!$E$10+1,1))</f>
        <v>353.37479213497227</v>
      </c>
      <c r="AO66" s="59">
        <f t="shared" si="36"/>
        <v>345.4750813433123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13.849380298685395</v>
      </c>
      <c r="AV66" s="21">
        <f>EXP(-LN(2)/25)*AV65+(1-EXP(-LN(2)/25))/(LN(2)/25)*Calculateur!AQ66*Calculateur!AS66*VLOOKUP('Données projet'!$B$10,Paramètres!$A$1:$I$89,3,0)*0.475*44/12</f>
        <v>15.487432554276237</v>
      </c>
      <c r="AW66" s="21">
        <f>EXP(-LN(2)/2)*AW65+(1-EXP(-LN(2)/2))/(LN(2)/2)*AQ66*AT66*VLOOKUP('Données projet'!$B$10,Paramètres!$A$1:$I$89,3,0)*0.475*44/12</f>
        <v>1.1675214762313384</v>
      </c>
      <c r="AX66" s="21">
        <f t="shared" si="6"/>
        <v>30.504334329192972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295.59999999999985</v>
      </c>
      <c r="BE66" s="13">
        <f>BD66*VLOOKUP('Données projet'!$B$11,Paramètres!$A$1:$I$89,3,0)*VLOOKUP('Données projet'!$B$11,Paramètres!$A$1:$I$89,5,0)</f>
        <v>239.79071999999991</v>
      </c>
      <c r="BF66" s="13">
        <f t="shared" si="37"/>
        <v>58.394500584818381</v>
      </c>
      <c r="BG66" s="20">
        <f t="shared" si="7"/>
        <v>519.33925918522516</v>
      </c>
      <c r="BH66" s="59">
        <f t="shared" si="8"/>
        <v>812.67259251855853</v>
      </c>
      <c r="BI66" s="59">
        <f ca="1">AVERAGE(OFFSET($BH$3,0,0,'Données projet'!$E$11+1,1))-AVERAGE(OFFSET($H$3,0,0,'Données projet'!$E$11+1,1))</f>
        <v>359.57284550600366</v>
      </c>
      <c r="BJ66" s="59">
        <f t="shared" si="38"/>
        <v>351.38386928091433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14.120936775130209</v>
      </c>
      <c r="BQ66" s="21">
        <f>EXP(-LN(2)/25)*BQ65+(1-EXP(-LN(2)/25))/(LN(2)/25)*Calculateur!BL66*Calculateur!BN66*VLOOKUP('Données projet'!$B$11,Paramètres!$A$1:$I$89,3,0)*0.475*44/12</f>
        <v>15.791107702399307</v>
      </c>
      <c r="BR66" s="21">
        <f>EXP(-LN(2)/2)*BR65+(1-EXP(-LN(2)/2))/(LN(2)/2)*BL66*BO66*VLOOKUP('Données projet'!$B$11,Paramètres!$A$1:$I$89,3,0)*0.475*44/12</f>
        <v>1.1904140541966586</v>
      </c>
      <c r="BS66" s="22">
        <f t="shared" si="9"/>
        <v>31.102458531726175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2.5641025641025634</v>
      </c>
      <c r="BY66" s="12">
        <f>IF('Données projet'!$A$114&gt;35,BY65+BX66-CG65,IF(A66&lt;'Données projet'!$A$114,$BV$205^A66,IF(A66='Données projet'!$A$114,'Données projet'!$B$114,BY65+BX66-CG65)))</f>
        <v>103.2051282051282</v>
      </c>
      <c r="BZ66" s="13">
        <f>BY66*VLOOKUP('Données projet'!$B$12,Paramètres!$A$1:$I$89,3,0)*VLOOKUP('Données projet'!$B$12,Paramètres!$A$1:$I$89,5,0)</f>
        <v>83.720000000000013</v>
      </c>
      <c r="CA66" s="13">
        <f t="shared" si="39"/>
        <v>23.044323503842598</v>
      </c>
      <c r="CB66" s="20">
        <f t="shared" si="10"/>
        <v>185.9478634358592</v>
      </c>
      <c r="CC66" s="59">
        <f t="shared" si="11"/>
        <v>479.28119676919255</v>
      </c>
      <c r="CD66" s="59">
        <f ca="1">AVERAGE(OFFSET($CC$3,0,0,'Données projet'!$E$12+1,1))-AVERAGE(OFFSET($H$3,0,0,'Données projet'!$E$12+1,1))</f>
        <v>159.4660488566085</v>
      </c>
      <c r="CE66" s="59">
        <f t="shared" si="40"/>
        <v>135.33030558297088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3.2189031976532165</v>
      </c>
      <c r="CM66" s="21">
        <f>EXP(-LN(2)/2)*CM65+(1-EXP(-LN(2)/2))/(LN(2)/2)*CG66*CJ66*VLOOKUP('Données projet'!$B$12,Paramètres!$A$1:$I$89,3,0)*0.475*44/12</f>
        <v>0.5794122632258154</v>
      </c>
      <c r="CN66" s="22">
        <f t="shared" si="12"/>
        <v>3.7983154608790319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5.2</v>
      </c>
      <c r="CT66" s="12">
        <f>IF('Données projet'!$A$140&gt;35,CT65+CS66-DB65,IF(A66&lt;'Données projet'!$A$140,$CQ$205^A66,IF(A66='Données projet'!$A$140,'Données projet'!$B$140,CT65+CS66-DB65)))</f>
        <v>295.59999999999985</v>
      </c>
      <c r="CU66" s="17">
        <f>CT66*VLOOKUP('Données projet'!$B$13,Paramètres!$A$1:$I$89,3,0)*VLOOKUP('Données projet'!$B$13,Paramètres!$A$1:$I$89,5,0)</f>
        <v>235.17935999999989</v>
      </c>
      <c r="CV66" s="13">
        <f t="shared" si="41"/>
        <v>57.401124668909425</v>
      </c>
      <c r="CW66" s="20">
        <f t="shared" si="13"/>
        <v>509.57767746501708</v>
      </c>
      <c r="CX66" s="59">
        <f t="shared" si="14"/>
        <v>802.91101079835039</v>
      </c>
      <c r="CY66" s="59">
        <f ca="1">AVERAGE(OFFSET($CX$3,0,0,'Données projet'!$E$13+1,1))-AVERAGE(OFFSET($H$3,0,0,'Données projet'!$E$13+1,1))</f>
        <v>353.37479213497227</v>
      </c>
      <c r="CZ66" s="59">
        <f t="shared" si="42"/>
        <v>345.4750813433123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13.849380298685395</v>
      </c>
      <c r="DG66" s="21">
        <f>EXP(-LN(2)/25)*DG65+(1-EXP(-LN(2)/25))/(LN(2)/25)*Calculateur!DB66*Calculateur!DD66*VLOOKUP('Données projet'!$B$13,Paramètres!$A$1:$I$89,3,0)*0.475*44/12</f>
        <v>15.487432554276237</v>
      </c>
      <c r="DH66" s="21">
        <f>EXP(-LN(2)/2)*DH65+(1-EXP(-LN(2)/2))/(LN(2)/2)*DB66*DE66*VLOOKUP('Données projet'!$B$13,Paramètres!$A$1:$I$89,3,0)*0.475*44/12</f>
        <v>1.1675214762313384</v>
      </c>
      <c r="DI66" s="22">
        <f t="shared" si="15"/>
        <v>30.504334329192972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10.107499999999998</v>
      </c>
      <c r="DO66" s="12">
        <f>IF('Données projet'!$A$166&gt;35,DO65+DN66-DW65,IF(A66&lt;'Données projet'!$A$166,$DL$205^A66,IF(A66='Données projet'!$A$166,'Données projet'!$B$166,DO65+DN66-DW65)))</f>
        <v>256.44750000000028</v>
      </c>
      <c r="DP66" s="17">
        <f>DO66*VLOOKUP('Données projet'!$B$14,Paramètres!$A$1:$I$89,3,0)*VLOOKUP('Données projet'!$B$14,Paramètres!$A$1:$I$89,5,0)</f>
        <v>232.03369800000024</v>
      </c>
      <c r="DQ66" s="13">
        <f t="shared" si="43"/>
        <v>56.722189034958802</v>
      </c>
      <c r="DR66" s="20">
        <f t="shared" si="16"/>
        <v>502.91650325255364</v>
      </c>
      <c r="DS66" s="59">
        <f t="shared" si="17"/>
        <v>796.2498365858869</v>
      </c>
      <c r="DT66" s="59">
        <f ca="1">AVERAGE(OFFSET($DS$3,0,0,'Données projet'!$E$14+1,1))-AVERAGE(OFFSET($H$3,0,0,'Données projet'!$E$14+1,1))</f>
        <v>635.71275911100679</v>
      </c>
      <c r="DU66" s="59">
        <f t="shared" si="44"/>
        <v>281.7776857269169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31.752772883932444</v>
      </c>
      <c r="EC66" s="21">
        <f>EXP(-LN(2)/2)*EC65+(1-EXP(-LN(2)/2))/(LN(2)/2)*DW66*DZ66*VLOOKUP('Données projet'!$B$14,Paramètres!$A$1:$I$89,3,0)*0.475*44/12</f>
        <v>1.5185084763732029</v>
      </c>
      <c r="ED66" s="22">
        <f t="shared" si="18"/>
        <v>33.27128136030565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10.107499999999998</v>
      </c>
      <c r="EJ66" s="12">
        <f>IF('Données projet'!$A$192&gt;35,EJ65+EI66-ER65,IF(A66&lt;'Données projet'!$A$192,$EG$205^A66,IF(A66='Données projet'!$A$192,'Données projet'!$B$192,EJ65+EI66-ER65)))</f>
        <v>256.44750000000028</v>
      </c>
      <c r="EK66" s="17">
        <f>EJ66*VLOOKUP('Données projet'!$B$15,Paramètres!$A$1:$I$89,3,0)*VLOOKUP('Données projet'!$B$15,Paramètres!$A$1:$I$89,5,0)</f>
        <v>172.02498300000019</v>
      </c>
      <c r="EL66" s="13">
        <f t="shared" si="45"/>
        <v>43.543239387038597</v>
      </c>
      <c r="EM66" s="20">
        <f t="shared" si="19"/>
        <v>375.44798732409254</v>
      </c>
      <c r="EN66" s="59">
        <f t="shared" si="20"/>
        <v>668.78132065742579</v>
      </c>
      <c r="EO66" s="59">
        <f ca="1">AVERAGE(OFFSET($EN$3,0,0,'Données projet'!$E$15+1,1))-AVERAGE(OFFSET($H$3,0,0,'Données projet'!$E$15+1,1))</f>
        <v>482.99915419700773</v>
      </c>
      <c r="EP66" s="59">
        <f t="shared" si="46"/>
        <v>219.74157899604279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29.015464876696893</v>
      </c>
      <c r="EX66" s="21">
        <f>EXP(-LN(2)/2)*EX65+(1-EXP(-LN(2)/2))/(LN(2)/2)*ER66*EU66*VLOOKUP('Données projet'!$B$15,Paramètres!$A$1:$I$89,3,0)*0.475*44/12</f>
        <v>1.1257907669663403</v>
      </c>
      <c r="EY66" s="22">
        <f t="shared" si="21"/>
        <v>30.141255643663232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10.107499999999998</v>
      </c>
      <c r="FE66" s="12">
        <f>IF('Données projet'!$A$218&gt;35,FE65+FD66-FM65,IF(A66&lt;'Données projet'!$A$218,$FB$205^A66,IF(A66='Données projet'!$A$218,'Données projet'!$B$218,FE65+FD66-FM65)))</f>
        <v>256.44750000000028</v>
      </c>
      <c r="FF66" s="17">
        <f>FE66*VLOOKUP('Données projet'!$B$16,Paramètres!$A$1:$I$89,3,0)*VLOOKUP('Données projet'!$B$16,Paramètres!$A$1:$I$89,5,0)</f>
        <v>244.03544100000028</v>
      </c>
      <c r="FG66" s="13">
        <f t="shared" si="47"/>
        <v>59.306930881715026</v>
      </c>
      <c r="FH66" s="20">
        <f t="shared" si="22"/>
        <v>528.3212976939875</v>
      </c>
      <c r="FI66" s="59">
        <f t="shared" si="23"/>
        <v>821.65463102732087</v>
      </c>
      <c r="FJ66" s="59">
        <f ca="1">AVERAGE(OFFSET($FI$3,0,0,'Données projet'!$E$16+1,1))-AVERAGE(OFFSET($H$3,0,0,'Données projet'!$E$16+1,1))</f>
        <v>666.1523645983184</v>
      </c>
      <c r="FK66" s="59">
        <f t="shared" si="48"/>
        <v>294.13851344047526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33.395157688273777</v>
      </c>
      <c r="FS66" s="21">
        <f>EXP(-LN(2)/2)*FS65+(1-EXP(-LN(2)/2))/(LN(2)/2)*FM66*FP66*VLOOKUP('Données projet'!$B$16,Paramètres!$A$1:$I$89,3,0)*0.475*44/12</f>
        <v>1.5970520182545751</v>
      </c>
      <c r="FT66" s="22">
        <f t="shared" si="24"/>
        <v>34.992209706528349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5.2</v>
      </c>
      <c r="N67" s="13">
        <f>IF('Données projet'!$A$36&gt;35,N66+M67-V66,IF(A67&lt;'Données projet'!$A$36,$K$205^A67,IF(A67='Données projet'!$A$36,'Données projet'!$B$36,N66+M67-V66)))</f>
        <v>300.79999999999984</v>
      </c>
      <c r="O67" s="13">
        <f>N67*VLOOKUP('Données projet'!$B$9,Paramètres!$A$1:$I$89,3,0)*VLOOKUP('Données projet'!$B$9,Paramètres!$A$1:$I$89,5,0)</f>
        <v>220.54655999999989</v>
      </c>
      <c r="P67" s="13">
        <f t="shared" si="33"/>
        <v>54.233660675860236</v>
      </c>
      <c r="Q67" s="20">
        <f t="shared" ref="Q67:Q98" si="54">(O67+P67)*0.475*44/12</f>
        <v>478.57555101045637</v>
      </c>
      <c r="R67" s="59">
        <f t="shared" ref="R67:R130" si="55">Q67+(I67+J67)*44/12</f>
        <v>771.90888434378962</v>
      </c>
      <c r="S67" s="59">
        <f ca="1">AVERAGE(OFFSET($R$3,0,0,'Données projet'!$E$9+1,1))-AVERAGE(OFFSET($H$3,0,0,'Données projet'!$E$9+1,1))</f>
        <v>328.55631138162721</v>
      </c>
      <c r="T67" s="59">
        <f t="shared" si="34"/>
        <v>321.81422611044985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10.151956584164537</v>
      </c>
      <c r="AA67" s="21">
        <f>EXP(-LN(2)/25)*AA66+(1-EXP(-LN(2)/25))/(LN(2)/25)*Calculateur!V67*Calculateur!X67*VLOOKUP('Données projet'!$B$9,Paramètres!$A$1:$I$89,3,0)*0.475*44/12</f>
        <v>11.263114420677391</v>
      </c>
      <c r="AB67" s="21">
        <f>EXP(-LN(2)/2)*AB66+(1-EXP(-LN(2)/2))/(LN(2)/2)*V67*Y67*VLOOKUP('Données projet'!$B$9,Paramètres!$A$1:$I$89,3,0)*0.475*44/12</f>
        <v>0.76081236455162893</v>
      </c>
      <c r="AC67" s="22">
        <f t="shared" si="3"/>
        <v>22.175883369393556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5.2</v>
      </c>
      <c r="AI67" s="13">
        <f>IF('Données projet'!$A$62&gt;35,AI66+AH67-AQ66,IF(A67&lt;'Données projet'!$A$62,$AF$205^A67,IF(A67='Données projet'!$A$62,'Données projet'!$B$62,AI66+AH67-AQ66)))</f>
        <v>300.79999999999984</v>
      </c>
      <c r="AJ67" s="13">
        <f>AI67*VLOOKUP('Données projet'!$B$10,Paramètres!$A$1:$I$89,3,0)*VLOOKUP('Données projet'!$B$10,Paramètres!$A$1:$I$89,5,0)</f>
        <v>239.3164799999999</v>
      </c>
      <c r="AK67" s="13">
        <f t="shared" si="35"/>
        <v>58.292443422481945</v>
      </c>
      <c r="AL67" s="20">
        <f t="shared" si="4"/>
        <v>518.33554162748919</v>
      </c>
      <c r="AM67" s="59">
        <f t="shared" si="5"/>
        <v>811.66887496082245</v>
      </c>
      <c r="AN67" s="59">
        <f ca="1">AVERAGE(OFFSET($AM$3,0,0,'Données projet'!$E$10+1,1))-AVERAGE(OFFSET($H$3,0,0,'Données projet'!$E$10+1,1))</f>
        <v>353.37479213497227</v>
      </c>
      <c r="AO67" s="59">
        <f t="shared" si="36"/>
        <v>345.4750813433123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13.577802398316056</v>
      </c>
      <c r="AV67" s="21">
        <f>EXP(-LN(2)/25)*AV66+(1-EXP(-LN(2)/25))/(LN(2)/25)*Calculateur!AQ67*Calculateur!AS67*VLOOKUP('Données projet'!$B$10,Paramètres!$A$1:$I$89,3,0)*0.475*44/12</f>
        <v>15.063927896630872</v>
      </c>
      <c r="AW67" s="21">
        <f>EXP(-LN(2)/2)*AW66+(1-EXP(-LN(2)/2))/(LN(2)/2)*AQ67*AT67*VLOOKUP('Données projet'!$B$10,Paramètres!$A$1:$I$89,3,0)*0.475*44/12</f>
        <v>0.82556235302410796</v>
      </c>
      <c r="AX67" s="21">
        <f t="shared" si="6"/>
        <v>29.467292647971036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300.79999999999984</v>
      </c>
      <c r="BE67" s="13">
        <f>BD67*VLOOKUP('Données projet'!$B$11,Paramètres!$A$1:$I$89,3,0)*VLOOKUP('Données projet'!$B$11,Paramètres!$A$1:$I$89,5,0)</f>
        <v>244.00895999999986</v>
      </c>
      <c r="BF67" s="13">
        <f t="shared" si="37"/>
        <v>59.301244377330541</v>
      </c>
      <c r="BG67" s="20">
        <f t="shared" si="7"/>
        <v>528.26527262385048</v>
      </c>
      <c r="BH67" s="59">
        <f t="shared" si="8"/>
        <v>821.59860595718374</v>
      </c>
      <c r="BI67" s="59">
        <f ca="1">AVERAGE(OFFSET($BH$3,0,0,'Données projet'!$E$11+1,1))-AVERAGE(OFFSET($H$3,0,0,'Données projet'!$E$11+1,1))</f>
        <v>359.57284550600366</v>
      </c>
      <c r="BJ67" s="59">
        <f t="shared" si="38"/>
        <v>351.38386928091433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13.844033817890883</v>
      </c>
      <c r="BQ67" s="21">
        <f>EXP(-LN(2)/25)*BQ66+(1-EXP(-LN(2)/25))/(LN(2)/25)*Calculateur!BL67*Calculateur!BN67*VLOOKUP('Données projet'!$B$11,Paramètres!$A$1:$I$89,3,0)*0.475*44/12</f>
        <v>15.359299031858935</v>
      </c>
      <c r="BR67" s="21">
        <f>EXP(-LN(2)/2)*BR66+(1-EXP(-LN(2)/2))/(LN(2)/2)*BL67*BO67*VLOOKUP('Données projet'!$B$11,Paramètres!$A$1:$I$89,3,0)*0.475*44/12</f>
        <v>0.84174985014222758</v>
      </c>
      <c r="BS67" s="22">
        <f t="shared" si="9"/>
        <v>30.045082699892049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2.5641025641025634</v>
      </c>
      <c r="BY67" s="12">
        <f>IF('Données projet'!$A$114&gt;35,BY66+BX67-CG66,IF(A67&lt;'Données projet'!$A$114,$BV$205^A67,IF(A67='Données projet'!$A$114,'Données projet'!$B$114,BY66+BX67-CG66)))</f>
        <v>105.76923076923077</v>
      </c>
      <c r="BZ67" s="13">
        <f>BY67*VLOOKUP('Données projet'!$B$12,Paramètres!$A$1:$I$89,3,0)*VLOOKUP('Données projet'!$B$12,Paramètres!$A$1:$I$89,5,0)</f>
        <v>85.800000000000011</v>
      </c>
      <c r="CA67" s="13">
        <f t="shared" si="39"/>
        <v>23.549485995669766</v>
      </c>
      <c r="CB67" s="20">
        <f t="shared" si="10"/>
        <v>190.45035477579154</v>
      </c>
      <c r="CC67" s="59">
        <f t="shared" si="11"/>
        <v>483.78368810912485</v>
      </c>
      <c r="CD67" s="59">
        <f ca="1">AVERAGE(OFFSET($CC$3,0,0,'Données projet'!$E$12+1,1))-AVERAGE(OFFSET($H$3,0,0,'Données projet'!$E$12+1,1))</f>
        <v>159.4660488566085</v>
      </c>
      <c r="CE67" s="59">
        <f t="shared" si="40"/>
        <v>135.33030558297088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3.1308821204386272</v>
      </c>
      <c r="CM67" s="21">
        <f>EXP(-LN(2)/2)*CM66+(1-EXP(-LN(2)/2))/(LN(2)/2)*CG67*CJ67*VLOOKUP('Données projet'!$B$12,Paramètres!$A$1:$I$89,3,0)*0.475*44/12</f>
        <v>0.40970634042961895</v>
      </c>
      <c r="CN67" s="22">
        <f t="shared" si="12"/>
        <v>3.5405884608682463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5.2</v>
      </c>
      <c r="CT67" s="12">
        <f>IF('Données projet'!$A$140&gt;35,CT66+CS67-DB66,IF(A67&lt;'Données projet'!$A$140,$CQ$205^A67,IF(A67='Données projet'!$A$140,'Données projet'!$B$140,CT66+CS67-DB66)))</f>
        <v>300.79999999999984</v>
      </c>
      <c r="CU67" s="17">
        <f>CT67*VLOOKUP('Données projet'!$B$13,Paramètres!$A$1:$I$89,3,0)*VLOOKUP('Données projet'!$B$13,Paramètres!$A$1:$I$89,5,0)</f>
        <v>239.3164799999999</v>
      </c>
      <c r="CV67" s="13">
        <f t="shared" si="41"/>
        <v>58.292443422481945</v>
      </c>
      <c r="CW67" s="20">
        <f t="shared" si="13"/>
        <v>518.33554162748919</v>
      </c>
      <c r="CX67" s="59">
        <f t="shared" si="14"/>
        <v>811.66887496082245</v>
      </c>
      <c r="CY67" s="59">
        <f ca="1">AVERAGE(OFFSET($CX$3,0,0,'Données projet'!$E$13+1,1))-AVERAGE(OFFSET($H$3,0,0,'Données projet'!$E$13+1,1))</f>
        <v>353.37479213497227</v>
      </c>
      <c r="CZ67" s="59">
        <f t="shared" si="42"/>
        <v>345.4750813433123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13.577802398316056</v>
      </c>
      <c r="DG67" s="21">
        <f>EXP(-LN(2)/25)*DG66+(1-EXP(-LN(2)/25))/(LN(2)/25)*Calculateur!DB67*Calculateur!DD67*VLOOKUP('Données projet'!$B$13,Paramètres!$A$1:$I$89,3,0)*0.475*44/12</f>
        <v>15.063927896630872</v>
      </c>
      <c r="DH67" s="21">
        <f>EXP(-LN(2)/2)*DH66+(1-EXP(-LN(2)/2))/(LN(2)/2)*DB67*DE67*VLOOKUP('Données projet'!$B$13,Paramètres!$A$1:$I$89,3,0)*0.475*44/12</f>
        <v>0.82556235302410796</v>
      </c>
      <c r="DI67" s="22">
        <f t="shared" si="15"/>
        <v>29.467292647971036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10.107499999999998</v>
      </c>
      <c r="DO67" s="12">
        <f>IF('Données projet'!$A$166&gt;35,DO66+DN67-DW66,IF(A67&lt;'Données projet'!$A$166,$DL$205^A67,IF(A67='Données projet'!$A$166,'Données projet'!$B$166,DO66+DN67-DW66)))</f>
        <v>266.55500000000029</v>
      </c>
      <c r="DP67" s="17">
        <f>DO67*VLOOKUP('Données projet'!$B$14,Paramètres!$A$1:$I$89,3,0)*VLOOKUP('Données projet'!$B$14,Paramètres!$A$1:$I$89,5,0)</f>
        <v>241.17896400000026</v>
      </c>
      <c r="DQ67" s="13">
        <f t="shared" si="43"/>
        <v>58.693117941200413</v>
      </c>
      <c r="DR67" s="20">
        <f t="shared" si="16"/>
        <v>522.27720938092455</v>
      </c>
      <c r="DS67" s="59">
        <f t="shared" si="17"/>
        <v>815.61054271425792</v>
      </c>
      <c r="DT67" s="59">
        <f ca="1">AVERAGE(OFFSET($DS$3,0,0,'Données projet'!$E$14+1,1))-AVERAGE(OFFSET($H$3,0,0,'Données projet'!$E$14+1,1))</f>
        <v>635.71275911100679</v>
      </c>
      <c r="DU67" s="59">
        <f t="shared" si="44"/>
        <v>281.7776857269169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30.884491639615558</v>
      </c>
      <c r="EC67" s="21">
        <f>EXP(-LN(2)/2)*EC66+(1-EXP(-LN(2)/2))/(LN(2)/2)*DW67*DZ67*VLOOKUP('Données projet'!$B$14,Paramètres!$A$1:$I$89,3,0)*0.475*44/12</f>
        <v>1.073747640932744</v>
      </c>
      <c r="ED67" s="22">
        <f t="shared" si="18"/>
        <v>31.958239280548302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10.107499999999998</v>
      </c>
      <c r="EJ67" s="12">
        <f>IF('Données projet'!$A$192&gt;35,EJ66+EI67-ER66,IF(A67&lt;'Données projet'!$A$192,$EG$205^A67,IF(A67='Données projet'!$A$192,'Données projet'!$B$192,EJ66+EI67-ER66)))</f>
        <v>266.55500000000029</v>
      </c>
      <c r="EK67" s="17">
        <f>EJ67*VLOOKUP('Données projet'!$B$15,Paramètres!$A$1:$I$89,3,0)*VLOOKUP('Données projet'!$B$15,Paramètres!$A$1:$I$89,5,0)</f>
        <v>178.8050940000002</v>
      </c>
      <c r="EL67" s="13">
        <f t="shared" si="45"/>
        <v>45.05623863194468</v>
      </c>
      <c r="EM67" s="20">
        <f t="shared" si="19"/>
        <v>389.89182100063732</v>
      </c>
      <c r="EN67" s="59">
        <f t="shared" si="20"/>
        <v>683.22515433397064</v>
      </c>
      <c r="EO67" s="59">
        <f ca="1">AVERAGE(OFFSET($EN$3,0,0,'Données projet'!$E$15+1,1))-AVERAGE(OFFSET($H$3,0,0,'Données projet'!$E$15+1,1))</f>
        <v>482.99915419700773</v>
      </c>
      <c r="EP67" s="59">
        <f t="shared" si="46"/>
        <v>219.74157899604279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28.222035463786632</v>
      </c>
      <c r="EX67" s="21">
        <f>EXP(-LN(2)/2)*EX66+(1-EXP(-LN(2)/2))/(LN(2)/2)*ER67*EU67*VLOOKUP('Données projet'!$B$15,Paramètres!$A$1:$I$89,3,0)*0.475*44/12</f>
        <v>0.79605428551910351</v>
      </c>
      <c r="EY67" s="22">
        <f t="shared" si="21"/>
        <v>29.018089749305737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10.107499999999998</v>
      </c>
      <c r="FE67" s="12">
        <f>IF('Données projet'!$A$218&gt;35,FE66+FD67-FM66,IF(A67&lt;'Données projet'!$A$218,$FB$205^A67,IF(A67='Données projet'!$A$218,'Données projet'!$B$218,FE66+FD67-FM66)))</f>
        <v>266.55500000000029</v>
      </c>
      <c r="FF67" s="17">
        <f>FE67*VLOOKUP('Données projet'!$B$16,Paramètres!$A$1:$I$89,3,0)*VLOOKUP('Données projet'!$B$16,Paramètres!$A$1:$I$89,5,0)</f>
        <v>253.65373800000029</v>
      </c>
      <c r="FG67" s="13">
        <f t="shared" si="47"/>
        <v>61.36767194978637</v>
      </c>
      <c r="FH67" s="20">
        <f t="shared" si="22"/>
        <v>548.66228899587838</v>
      </c>
      <c r="FI67" s="59">
        <f t="shared" si="23"/>
        <v>841.99562232921176</v>
      </c>
      <c r="FJ67" s="59">
        <f ca="1">AVERAGE(OFFSET($FI$3,0,0,'Données projet'!$E$16+1,1))-AVERAGE(OFFSET($H$3,0,0,'Données projet'!$E$16+1,1))</f>
        <v>666.1523645983184</v>
      </c>
      <c r="FK67" s="59">
        <f t="shared" si="48"/>
        <v>294.13851344047526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32.481965345112911</v>
      </c>
      <c r="FS67" s="21">
        <f>EXP(-LN(2)/2)*FS66+(1-EXP(-LN(2)/2))/(LN(2)/2)*FM67*FP67*VLOOKUP('Données projet'!$B$16,Paramètres!$A$1:$I$89,3,0)*0.475*44/12</f>
        <v>1.1292863120154719</v>
      </c>
      <c r="FT67" s="22">
        <f t="shared" si="24"/>
        <v>33.611251657128385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306</v>
      </c>
      <c r="L68" s="12">
        <f>VLOOKUP(A68,'Données projet'!$A$35:$I$55,9,0)</f>
        <v>5.2</v>
      </c>
      <c r="M68" s="12">
        <f t="array" ref="M68">INDEX(L:L,MIN(IF(ISNUMBER(L68:L264),ROW(L68:L264),"")))</f>
        <v>5.2</v>
      </c>
      <c r="N68" s="13">
        <f>IF('Données projet'!$A$36&gt;35,N67+M68-V67,IF(A68&lt;'Données projet'!$A$36,$K$205^A68,IF(A68='Données projet'!$A$36,'Données projet'!$B$36,N67+M68-V67)))</f>
        <v>305.99999999999983</v>
      </c>
      <c r="O68" s="13">
        <f>N68*VLOOKUP('Données projet'!$B$9,Paramètres!$A$1:$I$89,3,0)*VLOOKUP('Données projet'!$B$9,Paramètres!$A$1:$I$89,5,0)</f>
        <v>224.35919999999987</v>
      </c>
      <c r="P68" s="13">
        <f t="shared" si="33"/>
        <v>55.061251669487255</v>
      </c>
      <c r="Q68" s="20">
        <f t="shared" si="54"/>
        <v>486.65728665769001</v>
      </c>
      <c r="R68" s="59">
        <f t="shared" si="55"/>
        <v>779.99061999102332</v>
      </c>
      <c r="S68" s="59">
        <f ca="1">AVERAGE(OFFSET($R$3,0,0,'Données projet'!$E$9+1,1))-AVERAGE(OFFSET($H$3,0,0,'Données projet'!$E$9+1,1))</f>
        <v>328.55631138162721</v>
      </c>
      <c r="T68" s="59">
        <f t="shared" si="34"/>
        <v>321.81422611044985</v>
      </c>
      <c r="U68" s="15">
        <f>IF(ISNA(VLOOKUP(A68,'Données projet'!$A$35:$I$55,3,0)),0,VLOOKUP(A68,'Données projet'!$A$35:$I$55,3,0))</f>
        <v>11</v>
      </c>
      <c r="V68" s="15">
        <f>IF(ISNA(VLOOKUP(A68,'Données projet'!$A$35:$I$55,4,0)),0,VLOOKUP(A68,'Données projet'!$A$35:$I$55,4,0))</f>
        <v>13</v>
      </c>
      <c r="W68" s="16">
        <f>IF(ISNA(VLOOKUP(A68,'Données projet'!$A$35:$I$55,5,0)),0%,VLOOKUP(A68,'Données projet'!$A$35:$I$55,5,0)*VLOOKUP('Données projet'!$B$9,Paramètres!$A$1:$I$89,7,0))</f>
        <v>0.1075</v>
      </c>
      <c r="X68" s="16">
        <f>IF(ISNA(VLOOKUP(A68,'Données projet'!$A$35:$I$55,6,0)),0%,VLOOKUP(A68,'Données projet'!$A$35:$I$55,6,0)*VLOOKUP('Données projet'!$B$9,Paramètres!$A$1:$I$89,7,0))</f>
        <v>0.1075</v>
      </c>
      <c r="Y68" s="16">
        <f>IF(ISNA(VLOOKUP(A68,'Données projet'!$A$35:$I$55,7,0)),0%,VLOOKUP(A68,'Données projet'!$A$35:$I$55,7,0))</f>
        <v>0.25</v>
      </c>
      <c r="Z68" s="21">
        <f>EXP(-LN(2)/35)*Z67+(1-EXP(-LN(2)/35))/(LN(2)/35)*V68*W68*VLOOKUP('Données projet'!$B$9,Paramètres!$A$1:$I$89,3,0)*0.475*44/12</f>
        <v>11.085599815608468</v>
      </c>
      <c r="AA68" s="21">
        <f>EXP(-LN(2)/25)*AA67+(1-EXP(-LN(2)/25))/(LN(2)/25)*Calculateur!V68*Calculateur!X68*VLOOKUP('Données projet'!$B$9,Paramètres!$A$1:$I$89,3,0)*0.475*44/12</f>
        <v>12.083380934454135</v>
      </c>
      <c r="AB68" s="21">
        <f>EXP(-LN(2)/2)*AB67+(1-EXP(-LN(2)/2))/(LN(2)/2)*V68*Y68*VLOOKUP('Données projet'!$B$9,Paramètres!$A$1:$I$89,3,0)*0.475*44/12</f>
        <v>2.7863058669982079</v>
      </c>
      <c r="AC68" s="22">
        <f t="shared" ref="AC68:AC131" si="57">SUM(Z68:AB68)</f>
        <v>25.955286617060811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306</v>
      </c>
      <c r="AG68" s="12">
        <f>VLOOKUP(A68,'Données projet'!$A$61:$I$81,9,0)</f>
        <v>5.2</v>
      </c>
      <c r="AH68" s="12">
        <f t="array" ref="AH68">INDEX(AG:AG,MIN(IF(ISNUMBER(AG68:AG264),ROW(AG68:AG264),"")))</f>
        <v>5.2</v>
      </c>
      <c r="AI68" s="13">
        <f>IF('Données projet'!$A$62&gt;35,AI67+AH68-AQ67,IF(A68&lt;'Données projet'!$A$62,$AF$205^A68,IF(A68='Données projet'!$A$62,'Données projet'!$B$62,AI67+AH68-AQ67)))</f>
        <v>305.99999999999983</v>
      </c>
      <c r="AJ68" s="13">
        <f>AI68*VLOOKUP('Données projet'!$B$10,Paramètres!$A$1:$I$89,3,0)*VLOOKUP('Données projet'!$B$10,Paramètres!$A$1:$I$89,5,0)</f>
        <v>243.45359999999988</v>
      </c>
      <c r="AK68" s="13">
        <f t="shared" si="35"/>
        <v>59.181970343065267</v>
      </c>
      <c r="AL68" s="20">
        <f t="shared" ref="AL68:AL131" si="58">(AJ68+AK68)*0.475*44/12</f>
        <v>527.09028501417163</v>
      </c>
      <c r="AM68" s="59">
        <f t="shared" ref="AM68:AM131" si="59">AL68+(AD68+AE68)*44/12</f>
        <v>820.423618347505</v>
      </c>
      <c r="AN68" s="59">
        <f ca="1">AVERAGE(OFFSET($AM$3,0,0,'Données projet'!$E$10+1,1))-AVERAGE(OFFSET($H$3,0,0,'Données projet'!$E$10+1,1))</f>
        <v>353.37479213497227</v>
      </c>
      <c r="AO68" s="59">
        <f t="shared" si="36"/>
        <v>345.4750813433123</v>
      </c>
      <c r="AP68" s="15">
        <f>IF(ISNA(VLOOKUP(A68,'Données projet'!$A$61:$I$81,3,0)),0,VLOOKUP(A68,'Données projet'!$A$61:$I$81,3,0))</f>
        <v>11</v>
      </c>
      <c r="AQ68" s="15">
        <f>IF(ISNA(VLOOKUP(A68,'Données projet'!$A$61:$I$81,4,0)),0,VLOOKUP(A68,'Données projet'!$A$61:$I$81,4,0))</f>
        <v>13</v>
      </c>
      <c r="AR68" s="16">
        <f>IF(ISNA(VLOOKUP(A68,'Données projet'!$A$61:$I$81,5,0)),0%,VLOOKUP(A68,'Données projet'!$A$61:$I$81,5,0)*VLOOKUP('Données projet'!$B$10,Paramètres!$A$1:$I$89,7,0))</f>
        <v>0.13250000000000001</v>
      </c>
      <c r="AS68" s="16">
        <f>IF(ISNA(VLOOKUP(A68,'Données projet'!$A$61:$I$81,6,0)),0%,VLOOKUP(A68,'Données projet'!$A$61:$I$81,6,0)*VLOOKUP('Données projet'!$B$10,Paramètres!$A$1:$I$89,7,0))</f>
        <v>0.13250000000000001</v>
      </c>
      <c r="AT68" s="16">
        <f>IF(ISNA(VLOOKUP(A68,'Données projet'!$A$61:$I$81,7,0)),0%,VLOOKUP(A68,'Données projet'!$A$61:$I$81,7,0))</f>
        <v>0.25</v>
      </c>
      <c r="AU68" s="21">
        <f>EXP(-LN(2)/35)*AU67+(1-EXP(-LN(2)/35))/(LN(2)/35)*AQ68*AR68*VLOOKUP('Données projet'!$B$10,Paramètres!$A$1:$I$89,3,0)*0.475*44/12</f>
        <v>14.826509797916721</v>
      </c>
      <c r="AV68" s="21">
        <f>EXP(-LN(2)/25)*AV67+(1-EXP(-LN(2)/25))/(LN(2)/25)*Calculateur!AQ68*Calculateur!AS68*VLOOKUP('Données projet'!$B$10,Paramètres!$A$1:$I$89,3,0)*0.475*44/12</f>
        <v>16.160998845041828</v>
      </c>
      <c r="AW68" s="21">
        <f>EXP(-LN(2)/2)*AW67+(1-EXP(-LN(2)/2))/(LN(2)/2)*AQ68*AT68*VLOOKUP('Données projet'!$B$10,Paramètres!$A$1:$I$89,3,0)*0.475*44/12</f>
        <v>3.0234382812108214</v>
      </c>
      <c r="AX68" s="21">
        <f t="shared" ref="AX68:AX131" si="60">SUM(AU68:AW68)</f>
        <v>34.010946924169367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306</v>
      </c>
      <c r="BB68" s="12">
        <f>VLOOKUP(A68,'Données projet'!$A$87:$I$107,9,0)</f>
        <v>5.2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305.99999999999983</v>
      </c>
      <c r="BE68" s="13">
        <f>BD68*VLOOKUP('Données projet'!$B$11,Paramètres!$A$1:$I$89,3,0)*VLOOKUP('Données projet'!$B$11,Paramètres!$A$1:$I$89,5,0)</f>
        <v>248.22719999999987</v>
      </c>
      <c r="BF68" s="13">
        <f t="shared" si="37"/>
        <v>60.20616532763993</v>
      </c>
      <c r="BG68" s="20">
        <f t="shared" ref="BG68:BG131" si="61">(BE68+BF68)*0.475*44/12</f>
        <v>537.18811127897254</v>
      </c>
      <c r="BH68" s="59">
        <f t="shared" ref="BH68:BH131" si="62">BG68+(AY68+AZ68)*44/12</f>
        <v>830.52144461230591</v>
      </c>
      <c r="BI68" s="59">
        <f ca="1">AVERAGE(OFFSET($BH$3,0,0,'Données projet'!$E$11+1,1))-AVERAGE(OFFSET($H$3,0,0,'Données projet'!$E$11+1,1))</f>
        <v>359.57284550600366</v>
      </c>
      <c r="BJ68" s="59">
        <f t="shared" si="38"/>
        <v>351.38386928091433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13</v>
      </c>
      <c r="BM68" s="16">
        <f>IF(ISNA(VLOOKUP(A68,'Données projet'!$A$87:$I$107,5,0)),0%,VLOOKUP(A68,'Données projet'!$A$87:$I$107,5,0)*VLOOKUP('Données projet'!$B$11,Paramètres!$A$1:$I$89,7,0))</f>
        <v>0.13250000000000001</v>
      </c>
      <c r="BN68" s="16">
        <f>IF(ISNA(VLOOKUP(A68,'Données projet'!$A$87:$I$107,6,0)),0%,VLOOKUP(A68,'Données projet'!$A$87:$I$107,6,0)*VLOOKUP('Données projet'!$B$11,Paramètres!$A$1:$I$89,7,0))</f>
        <v>0.13250000000000001</v>
      </c>
      <c r="BO68" s="16">
        <f>IF(ISNA(VLOOKUP(A68,'Données projet'!$A$87:$I$107,7,0)),0%,VLOOKUP(A68,'Données projet'!$A$87:$I$107,7,0))</f>
        <v>0.25</v>
      </c>
      <c r="BP68" s="21">
        <f>EXP(-LN(2)/35)*BP67+(1-EXP(-LN(2)/35))/(LN(2)/35)*BL68*BM68*VLOOKUP('Données projet'!$B$11,Paramètres!$A$1:$I$89,3,0)*0.475*44/12</f>
        <v>15.11722567630725</v>
      </c>
      <c r="BQ68" s="21">
        <f>EXP(-LN(2)/25)*BQ67+(1-EXP(-LN(2)/25))/(LN(2)/25)*Calculateur!BL68*Calculateur!BN68*VLOOKUP('Données projet'!$B$11,Paramètres!$A$1:$I$89,3,0)*0.475*44/12</f>
        <v>16.477881175336773</v>
      </c>
      <c r="BR68" s="21">
        <f>EXP(-LN(2)/2)*BR67+(1-EXP(-LN(2)/2))/(LN(2)/2)*BL68*BO68*VLOOKUP('Données projet'!$B$11,Paramètres!$A$1:$I$89,3,0)*0.475*44/12</f>
        <v>3.0827213847639743</v>
      </c>
      <c r="BS68" s="22">
        <f t="shared" ref="BS68:BS131" si="63">SUM(BP68:BR68)</f>
        <v>34.677828236407997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108.33333333333334</v>
      </c>
      <c r="BW68" s="12">
        <f>VLOOKUP(A68,'Données projet'!$A$113:$I$133,9,0)</f>
        <v>2.5641025641025634</v>
      </c>
      <c r="BX68" s="12">
        <f t="array" ref="BX68">INDEX(BW:BW,MIN(IF(ISNUMBER(BW68:BW264),ROW(BW68:BW264),"")))</f>
        <v>2.5641025641025634</v>
      </c>
      <c r="BY68" s="12">
        <f>IF('Données projet'!$A$114&gt;35,BY67+BX68-CG67,IF(A68&lt;'Données projet'!$A$114,$BV$205^A68,IF(A68='Données projet'!$A$114,'Données projet'!$B$114,BY67+BX68-CG67)))</f>
        <v>108.33333333333334</v>
      </c>
      <c r="BZ68" s="13">
        <f>BY68*VLOOKUP('Données projet'!$B$12,Paramètres!$A$1:$I$89,3,0)*VLOOKUP('Données projet'!$B$12,Paramètres!$A$1:$I$89,5,0)</f>
        <v>87.880000000000024</v>
      </c>
      <c r="CA68" s="13">
        <f t="shared" si="39"/>
        <v>24.053224872750018</v>
      </c>
      <c r="CB68" s="20">
        <f t="shared" ref="CB68:CB131" si="64">(BZ68+CA68)*0.475*44/12</f>
        <v>194.95036665337298</v>
      </c>
      <c r="CC68" s="59">
        <f t="shared" ref="CC68:CC131" si="65">CB68+(BT68+BU68)*44/12</f>
        <v>488.28369998670632</v>
      </c>
      <c r="CD68" s="59">
        <f ca="1">AVERAGE(OFFSET($CC$3,0,0,'Données projet'!$E$12+1,1))-AVERAGE(OFFSET($H$3,0,0,'Données projet'!$E$12+1,1))</f>
        <v>159.4660488566085</v>
      </c>
      <c r="CE68" s="59">
        <f t="shared" si="40"/>
        <v>135.33030558297088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7.0512820512820511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0.1075</v>
      </c>
      <c r="CJ68" s="16">
        <f>IF(ISNA(VLOOKUP(A68,'Données projet'!$A$113:$I$133,7,0)),0%,VLOOKUP(A68,'Données projet'!$A$113:$I$133,7,0))</f>
        <v>0.25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3.722345271117522</v>
      </c>
      <c r="CM68" s="21">
        <f>EXP(-LN(2)/2)*CM67+(1-EXP(-LN(2)/2))/(LN(2)/2)*CG68*CJ68*VLOOKUP('Données projet'!$B$12,Paramètres!$A$1:$I$89,3,0)*0.475*44/12</f>
        <v>1.6389496194986131</v>
      </c>
      <c r="CN68" s="22">
        <f t="shared" ref="CN68:CN131" si="66">SUM(CK68:CM68)</f>
        <v>5.3612948906161346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306</v>
      </c>
      <c r="CR68" s="12">
        <f>VLOOKUP(A68,'Données projet'!$A$139:$I$159,9,0)</f>
        <v>5.2</v>
      </c>
      <c r="CS68" s="12">
        <f t="array" ref="CS68">INDEX(CR:CR,MIN(IF(ISNUMBER(CR68:CR264),ROW(CR68:CR264),"")))</f>
        <v>5.2</v>
      </c>
      <c r="CT68" s="12">
        <f>IF('Données projet'!$A$140&gt;35,CT67+CS68-DB67,IF(A68&lt;'Données projet'!$A$140,$CQ$205^A68,IF(A68='Données projet'!$A$140,'Données projet'!$B$140,CT67+CS68-DB67)))</f>
        <v>305.99999999999983</v>
      </c>
      <c r="CU68" s="17">
        <f>CT68*VLOOKUP('Données projet'!$B$13,Paramètres!$A$1:$I$89,3,0)*VLOOKUP('Données projet'!$B$13,Paramètres!$A$1:$I$89,5,0)</f>
        <v>243.45359999999988</v>
      </c>
      <c r="CV68" s="13">
        <f t="shared" si="41"/>
        <v>59.181970343065267</v>
      </c>
      <c r="CW68" s="20">
        <f t="shared" ref="CW68:CW131" si="67">(CU68+CV68)*0.475*44/12</f>
        <v>527.09028501417163</v>
      </c>
      <c r="CX68" s="59">
        <f t="shared" ref="CX68:CX131" si="68">CW68+(CO68+CP68)*44/12</f>
        <v>820.423618347505</v>
      </c>
      <c r="CY68" s="59">
        <f ca="1">AVERAGE(OFFSET($CX$3,0,0,'Données projet'!$E$13+1,1))-AVERAGE(OFFSET($H$3,0,0,'Données projet'!$E$13+1,1))</f>
        <v>353.37479213497227</v>
      </c>
      <c r="CZ68" s="59">
        <f t="shared" si="42"/>
        <v>345.4750813433123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13</v>
      </c>
      <c r="DC68" s="16">
        <f>IF(ISNA(VLOOKUP(A68,'Données projet'!$A$139:$I$159,5,0)),0%,VLOOKUP(A68,'Données projet'!$A$139:$I$159,5,0)*VLOOKUP('Données projet'!$B$13,Paramètres!$A$1:$I$89,7,0))</f>
        <v>0.13250000000000001</v>
      </c>
      <c r="DD68" s="16">
        <f>IF(ISNA(VLOOKUP(A68,'Données projet'!$A$139:$I$159,6,0)),0%,VLOOKUP(A68,'Données projet'!$A$139:$I$159,6,0)*VLOOKUP('Données projet'!$B$13,Paramètres!$A$1:$I$89,7,0))</f>
        <v>0.13250000000000001</v>
      </c>
      <c r="DE68" s="16">
        <f>IF(ISNA(VLOOKUP(A68,'Données projet'!$A$139:$I$159,7,0)),0%,VLOOKUP(A68,'Données projet'!$A$139:$I$159,7,0))</f>
        <v>0.25</v>
      </c>
      <c r="DF68" s="21">
        <f>EXP(-LN(2)/35)*DF67+(1-EXP(-LN(2)/35))/(LN(2)/35)*DB68*DC68*VLOOKUP('Données projet'!$B$13,Paramètres!$A$1:$I$89,3,0)*0.475*44/12</f>
        <v>14.826509797916721</v>
      </c>
      <c r="DG68" s="21">
        <f>EXP(-LN(2)/25)*DG67+(1-EXP(-LN(2)/25))/(LN(2)/25)*Calculateur!DB68*Calculateur!DD68*VLOOKUP('Données projet'!$B$13,Paramètres!$A$1:$I$89,3,0)*0.475*44/12</f>
        <v>16.160998845041828</v>
      </c>
      <c r="DH68" s="21">
        <f>EXP(-LN(2)/2)*DH67+(1-EXP(-LN(2)/2))/(LN(2)/2)*DB68*DE68*VLOOKUP('Données projet'!$B$13,Paramètres!$A$1:$I$89,3,0)*0.475*44/12</f>
        <v>3.0234382812108214</v>
      </c>
      <c r="DI68" s="22">
        <f t="shared" ref="DI68:DI131" si="69">SUM(DF68:DH68)</f>
        <v>34.010946924169367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10.107499999999998</v>
      </c>
      <c r="DO68" s="12">
        <f>IF('Données projet'!$A$166&gt;35,DO67+DN68-DW67,IF(A68&lt;'Données projet'!$A$166,$DL$205^A68,IF(A68='Données projet'!$A$166,'Données projet'!$B$166,DO67+DN68-DW67)))</f>
        <v>276.66250000000031</v>
      </c>
      <c r="DP68" s="17">
        <f>DO68*VLOOKUP('Données projet'!$B$14,Paramètres!$A$1:$I$89,3,0)*VLOOKUP('Données projet'!$B$14,Paramètres!$A$1:$I$89,5,0)</f>
        <v>250.32423000000026</v>
      </c>
      <c r="DQ68" s="13">
        <f t="shared" si="43"/>
        <v>60.655364588948935</v>
      </c>
      <c r="DR68" s="20">
        <f t="shared" ref="DR68:DR131" si="70">(DP68+DQ68)*0.475*44/12</f>
        <v>541.62279390908645</v>
      </c>
      <c r="DS68" s="59">
        <f t="shared" ref="DS68:DS131" si="71">DR68+(DJ68+DK68)*44/12</f>
        <v>834.95612724241983</v>
      </c>
      <c r="DT68" s="59">
        <f ca="1">AVERAGE(OFFSET($DS$3,0,0,'Données projet'!$E$14+1,1))-AVERAGE(OFFSET($H$3,0,0,'Données projet'!$E$14+1,1))</f>
        <v>635.71275911100679</v>
      </c>
      <c r="DU68" s="59">
        <f t="shared" si="44"/>
        <v>281.7776857269169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30.039953591585441</v>
      </c>
      <c r="EC68" s="21">
        <f>EXP(-LN(2)/2)*EC67+(1-EXP(-LN(2)/2))/(LN(2)/2)*DW68*DZ68*VLOOKUP('Données projet'!$B$14,Paramètres!$A$1:$I$89,3,0)*0.475*44/12</f>
        <v>0.75925423818660143</v>
      </c>
      <c r="ED68" s="22">
        <f t="shared" ref="ED68:ED131" si="72">SUM(EA68:EC68)</f>
        <v>30.799207829772044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10.107499999999998</v>
      </c>
      <c r="EJ68" s="12">
        <f>IF('Données projet'!$A$192&gt;35,EJ67+EI68-ER67,IF(A68&lt;'Données projet'!$A$192,$EG$205^A68,IF(A68='Données projet'!$A$192,'Données projet'!$B$192,EJ67+EI68-ER67)))</f>
        <v>276.66250000000031</v>
      </c>
      <c r="EK68" s="17">
        <f>EJ68*VLOOKUP('Données projet'!$B$15,Paramètres!$A$1:$I$89,3,0)*VLOOKUP('Données projet'!$B$15,Paramètres!$A$1:$I$89,5,0)</f>
        <v>185.58520500000023</v>
      </c>
      <c r="EL68" s="13">
        <f t="shared" si="45"/>
        <v>46.56257287208954</v>
      </c>
      <c r="EM68" s="20">
        <f t="shared" ref="EM68:EM131" si="73">(EK68+EL68)*0.475*44/12</f>
        <v>404.3240464605563</v>
      </c>
      <c r="EN68" s="59">
        <f t="shared" ref="EN68:EN131" si="74">EM68+(EE68+EF68)*44/12</f>
        <v>697.65737979388962</v>
      </c>
      <c r="EO68" s="59">
        <f ca="1">AVERAGE(OFFSET($EN$3,0,0,'Données projet'!$E$15+1,1))-AVERAGE(OFFSET($H$3,0,0,'Données projet'!$E$15+1,1))</f>
        <v>482.99915419700773</v>
      </c>
      <c r="EP68" s="59">
        <f t="shared" si="46"/>
        <v>219.74157899604279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27.450302419897046</v>
      </c>
      <c r="EX68" s="21">
        <f>EXP(-LN(2)/2)*EX67+(1-EXP(-LN(2)/2))/(LN(2)/2)*ER68*EU68*VLOOKUP('Données projet'!$B$15,Paramètres!$A$1:$I$89,3,0)*0.475*44/12</f>
        <v>0.56289538348317014</v>
      </c>
      <c r="EY68" s="22">
        <f t="shared" ref="EY68:EY131" si="75">SUM(EV68:EX68)</f>
        <v>28.013197803380216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10.107499999999998</v>
      </c>
      <c r="FE68" s="12">
        <f>IF('Données projet'!$A$218&gt;35,FE67+FD68-FM67,IF(A68&lt;'Données projet'!$A$218,$FB$205^A68,IF(A68='Données projet'!$A$218,'Données projet'!$B$218,FE67+FD68-FM67)))</f>
        <v>276.66250000000031</v>
      </c>
      <c r="FF68" s="17">
        <f>FE68*VLOOKUP('Données projet'!$B$16,Paramètres!$A$1:$I$89,3,0)*VLOOKUP('Données projet'!$B$16,Paramètres!$A$1:$I$89,5,0)</f>
        <v>263.2720350000003</v>
      </c>
      <c r="FG68" s="13">
        <f t="shared" si="47"/>
        <v>63.419335122362007</v>
      </c>
      <c r="FH68" s="20">
        <f t="shared" ref="FH68:FH131" si="76">(FF68+FG68)*0.475*44/12</f>
        <v>568.987469629781</v>
      </c>
      <c r="FI68" s="59">
        <f t="shared" ref="FI68:FI131" si="77">FH68+(EZ68+FA68)*44/12</f>
        <v>862.32080296311437</v>
      </c>
      <c r="FJ68" s="59">
        <f ca="1">AVERAGE(OFFSET($FI$3,0,0,'Données projet'!$E$16+1,1))-AVERAGE(OFFSET($H$3,0,0,'Données projet'!$E$16+1,1))</f>
        <v>666.1523645983184</v>
      </c>
      <c r="FK68" s="59">
        <f t="shared" si="48"/>
        <v>294.13851344047526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31.59374429459848</v>
      </c>
      <c r="FS68" s="21">
        <f>EXP(-LN(2)/2)*FS67+(1-EXP(-LN(2)/2))/(LN(2)/2)*FM68*FP68*VLOOKUP('Données projet'!$B$16,Paramètres!$A$1:$I$89,3,0)*0.475*44/12</f>
        <v>0.79852600912728755</v>
      </c>
      <c r="FT68" s="22">
        <f t="shared" ref="FT68:FT131" si="78">SUM(FQ68:FS68)</f>
        <v>32.392270303725766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4.5999999999999996</v>
      </c>
      <c r="N69" s="13">
        <f>IF('Données projet'!$A$36&gt;35,N68+M69-V68,IF(A69&lt;'Données projet'!$A$36,$K$205^A69,IF(A69='Données projet'!$A$36,'Données projet'!$B$36,N68+M69-V68)))</f>
        <v>297.59999999999985</v>
      </c>
      <c r="O69" s="13">
        <f>N69*VLOOKUP('Données projet'!$B$9,Paramètres!$A$1:$I$89,3,0)*VLOOKUP('Données projet'!$B$9,Paramètres!$A$1:$I$89,5,0)</f>
        <v>218.20031999999989</v>
      </c>
      <c r="P69" s="13">
        <f t="shared" ref="P69:P132" si="87">EXP(-1.0587+0.8836*LN(O69)+0.284)</f>
        <v>53.723547368945667</v>
      </c>
      <c r="Q69" s="20">
        <f t="shared" si="54"/>
        <v>473.60073566758007</v>
      </c>
      <c r="R69" s="59">
        <f t="shared" si="55"/>
        <v>766.93406900091338</v>
      </c>
      <c r="S69" s="59">
        <f ca="1">AVERAGE(OFFSET($R$3,0,0,'Données projet'!$E$9+1,1))-AVERAGE(OFFSET($H$3,0,0,'Données projet'!$E$9+1,1))</f>
        <v>328.55631138162721</v>
      </c>
      <c r="T69" s="59">
        <f t="shared" ref="T69:T132" si="88">$T$3</f>
        <v>321.81422611044985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10.868217964772626</v>
      </c>
      <c r="AA69" s="21">
        <f>EXP(-LN(2)/25)*AA68+(1-EXP(-LN(2)/25))/(LN(2)/25)*Calculateur!V69*Calculateur!X69*VLOOKUP('Données projet'!$B$9,Paramètres!$A$1:$I$89,3,0)*0.475*44/12</f>
        <v>11.752960247364101</v>
      </c>
      <c r="AB69" s="21">
        <f>EXP(-LN(2)/2)*AB68+(1-EXP(-LN(2)/2))/(LN(2)/2)*V69*Y69*VLOOKUP('Données projet'!$B$9,Paramètres!$A$1:$I$89,3,0)*0.475*44/12</f>
        <v>1.9702157730142955</v>
      </c>
      <c r="AC69" s="22">
        <f t="shared" si="57"/>
        <v>24.591393985151022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4.5999999999999996</v>
      </c>
      <c r="AI69" s="13">
        <f>IF('Données projet'!$A$62&gt;35,AI68+AH69-AQ68,IF(A69&lt;'Données projet'!$A$62,$AF$205^A69,IF(A69='Données projet'!$A$62,'Données projet'!$B$62,AI68+AH69-AQ68)))</f>
        <v>297.59999999999985</v>
      </c>
      <c r="AJ69" s="13">
        <f>AI69*VLOOKUP('Données projet'!$B$10,Paramètres!$A$1:$I$89,3,0)*VLOOKUP('Données projet'!$B$10,Paramètres!$A$1:$I$89,5,0)</f>
        <v>236.7705599999999</v>
      </c>
      <c r="AK69" s="13">
        <f t="shared" ref="AK69:AK132" si="89">EXP(-1.0587+0.8836*LN(AJ69)+0.284)</f>
        <v>57.744153841586879</v>
      </c>
      <c r="AL69" s="20">
        <f t="shared" si="58"/>
        <v>512.9464599407637</v>
      </c>
      <c r="AM69" s="59">
        <f t="shared" si="59"/>
        <v>806.27979327409707</v>
      </c>
      <c r="AN69" s="59">
        <f ca="1">AVERAGE(OFFSET($AM$3,0,0,'Données projet'!$E$10+1,1))-AVERAGE(OFFSET($H$3,0,0,'Données projet'!$E$10+1,1))</f>
        <v>353.37479213497227</v>
      </c>
      <c r="AO69" s="59">
        <f t="shared" ref="AO69:AO132" si="90">$AO$3</f>
        <v>345.4750813433123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14.535770984057601</v>
      </c>
      <c r="AV69" s="21">
        <f>EXP(-LN(2)/25)*AV68+(1-EXP(-LN(2)/25))/(LN(2)/25)*Calculateur!AQ69*Calculateur!AS69*VLOOKUP('Données projet'!$B$10,Paramètres!$A$1:$I$89,3,0)*0.475*44/12</f>
        <v>15.719075481754166</v>
      </c>
      <c r="AW69" s="21">
        <f>EXP(-LN(2)/2)*AW68+(1-EXP(-LN(2)/2))/(LN(2)/2)*AQ69*AT69*VLOOKUP('Données projet'!$B$10,Paramètres!$A$1:$I$89,3,0)*0.475*44/12</f>
        <v>2.1378937111431719</v>
      </c>
      <c r="AX69" s="21">
        <f t="shared" si="60"/>
        <v>32.392740176954938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4.5999999999999996</v>
      </c>
      <c r="BD69" s="12">
        <f>IF('Données projet'!$A$88&gt;35,BD68+BC69-BL68,IF(A69&lt;'Données projet'!$A$88,$BA$205^A69,IF(A69='Données projet'!$A$88,'Données projet'!$B$88,BD68+BC69-BL68)))</f>
        <v>297.59999999999985</v>
      </c>
      <c r="BE69" s="13">
        <f>BD69*VLOOKUP('Données projet'!$B$11,Paramètres!$A$1:$I$89,3,0)*VLOOKUP('Données projet'!$B$11,Paramètres!$A$1:$I$89,5,0)</f>
        <v>241.41311999999988</v>
      </c>
      <c r="BF69" s="13">
        <f t="shared" ref="BF69:BF132" si="91">EXP(-1.0587+0.8836*LN(BE69)+0.284)</f>
        <v>58.743466172863258</v>
      </c>
      <c r="BG69" s="20">
        <f t="shared" si="61"/>
        <v>522.77272091773659</v>
      </c>
      <c r="BH69" s="59">
        <f t="shared" si="62"/>
        <v>816.10605425106996</v>
      </c>
      <c r="BI69" s="59">
        <f ca="1">AVERAGE(OFFSET($BH$3,0,0,'Données projet'!$E$11+1,1))-AVERAGE(OFFSET($H$3,0,0,'Données projet'!$E$11+1,1))</f>
        <v>359.57284550600366</v>
      </c>
      <c r="BJ69" s="59">
        <f t="shared" ref="BJ69:BJ132" si="92">$BJ$3</f>
        <v>351.38386928091433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14.820786101392068</v>
      </c>
      <c r="BQ69" s="21">
        <f>EXP(-LN(2)/25)*BQ68+(1-EXP(-LN(2)/25))/(LN(2)/25)*Calculateur!BL69*Calculateur!BN69*VLOOKUP('Données projet'!$B$11,Paramètres!$A$1:$I$89,3,0)*0.475*44/12</f>
        <v>16.027292648063078</v>
      </c>
      <c r="BR69" s="21">
        <f>EXP(-LN(2)/2)*BR68+(1-EXP(-LN(2)/2))/(LN(2)/2)*BL69*BO69*VLOOKUP('Données projet'!$B$11,Paramètres!$A$1:$I$89,3,0)*0.475*44/12</f>
        <v>2.1798131956753903</v>
      </c>
      <c r="BS69" s="22">
        <f t="shared" si="63"/>
        <v>33.027891945130541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2.5641025641025577</v>
      </c>
      <c r="BY69" s="12">
        <f>IF('Données projet'!$A$114&gt;35,BY68+BX69-CG68,IF(A69&lt;'Données projet'!$A$114,$BV$205^A69,IF(A69='Données projet'!$A$114,'Données projet'!$B$114,BY68+BX69-CG68)))</f>
        <v>103.84615384615384</v>
      </c>
      <c r="BZ69" s="13">
        <f>BY69*VLOOKUP('Données projet'!$B$12,Paramètres!$A$1:$I$89,3,0)*VLOOKUP('Données projet'!$B$12,Paramètres!$A$1:$I$89,5,0)</f>
        <v>84.240000000000009</v>
      </c>
      <c r="CA69" s="13">
        <f t="shared" ref="CA69:CA132" si="93">EXP(-1.0587+0.8836*LN(BZ69)+0.284)</f>
        <v>23.170749718409468</v>
      </c>
      <c r="CB69" s="20">
        <f t="shared" si="64"/>
        <v>187.07372242622981</v>
      </c>
      <c r="CC69" s="59">
        <f t="shared" si="65"/>
        <v>480.40705575956315</v>
      </c>
      <c r="CD69" s="59">
        <f ca="1">AVERAGE(OFFSET($CC$3,0,0,'Données projet'!$E$12+1,1))-AVERAGE(OFFSET($H$3,0,0,'Données projet'!$E$12+1,1))</f>
        <v>159.4660488566085</v>
      </c>
      <c r="CE69" s="59">
        <f t="shared" ref="CE69:CE132" si="94">$CE$3</f>
        <v>135.33030558297088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3.6205575439291833</v>
      </c>
      <c r="CM69" s="21">
        <f>EXP(-LN(2)/2)*CM68+(1-EXP(-LN(2)/2))/(LN(2)/2)*CG69*CJ69*VLOOKUP('Données projet'!$B$12,Paramètres!$A$1:$I$89,3,0)*0.475*44/12</f>
        <v>1.1589123899705811</v>
      </c>
      <c r="CN69" s="22">
        <f t="shared" si="66"/>
        <v>4.7794699338997644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4.5999999999999996</v>
      </c>
      <c r="CT69" s="12">
        <f>IF('Données projet'!$A$140&gt;35,CT68+CS69-DB68,IF(A69&lt;'Données projet'!$A$140,$CQ$205^A69,IF(A69='Données projet'!$A$140,'Données projet'!$B$140,CT68+CS69-DB68)))</f>
        <v>297.59999999999985</v>
      </c>
      <c r="CU69" s="17">
        <f>CT69*VLOOKUP('Données projet'!$B$13,Paramètres!$A$1:$I$89,3,0)*VLOOKUP('Données projet'!$B$13,Paramètres!$A$1:$I$89,5,0)</f>
        <v>236.7705599999999</v>
      </c>
      <c r="CV69" s="13">
        <f t="shared" ref="CV69:CV132" si="95">EXP(-1.0587+0.8836*LN(CU69)+0.284)</f>
        <v>57.744153841586879</v>
      </c>
      <c r="CW69" s="20">
        <f t="shared" si="67"/>
        <v>512.9464599407637</v>
      </c>
      <c r="CX69" s="59">
        <f t="shared" si="68"/>
        <v>806.27979327409707</v>
      </c>
      <c r="CY69" s="59">
        <f ca="1">AVERAGE(OFFSET($CX$3,0,0,'Données projet'!$E$13+1,1))-AVERAGE(OFFSET($H$3,0,0,'Données projet'!$E$13+1,1))</f>
        <v>353.37479213497227</v>
      </c>
      <c r="CZ69" s="59">
        <f t="shared" ref="CZ69:CZ132" si="96">$CZ$3</f>
        <v>345.4750813433123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14.535770984057601</v>
      </c>
      <c r="DG69" s="21">
        <f>EXP(-LN(2)/25)*DG68+(1-EXP(-LN(2)/25))/(LN(2)/25)*Calculateur!DB69*Calculateur!DD69*VLOOKUP('Données projet'!$B$13,Paramètres!$A$1:$I$89,3,0)*0.475*44/12</f>
        <v>15.719075481754166</v>
      </c>
      <c r="DH69" s="21">
        <f>EXP(-LN(2)/2)*DH68+(1-EXP(-LN(2)/2))/(LN(2)/2)*DB69*DE69*VLOOKUP('Données projet'!$B$13,Paramètres!$A$1:$I$89,3,0)*0.475*44/12</f>
        <v>2.1378937111431719</v>
      </c>
      <c r="DI69" s="22">
        <f t="shared" si="69"/>
        <v>32.392740176954938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>
        <f>VLOOKUP(A69,'Données projet'!$A$165:$I$185,2,0)</f>
        <v>286.77</v>
      </c>
      <c r="DM69" s="12">
        <f>VLOOKUP(A69,'Données projet'!$A$165:$I$185,9,0)</f>
        <v>10.107499999999998</v>
      </c>
      <c r="DN69" s="12">
        <f t="array" ref="DN69">INDEX(DM:DM,MIN(IF(ISNUMBER(DM69:DM265),ROW(DM69:DM265),"")))</f>
        <v>10.107499999999998</v>
      </c>
      <c r="DO69" s="12">
        <f>IF('Données projet'!$A$166&gt;35,DO68+DN69-DW68,IF(A69&lt;'Données projet'!$A$166,$DL$205^A69,IF(A69='Données projet'!$A$166,'Données projet'!$B$166,DO68+DN69-DW68)))</f>
        <v>286.77000000000032</v>
      </c>
      <c r="DP69" s="17">
        <f>DO69*VLOOKUP('Données projet'!$B$14,Paramètres!$A$1:$I$89,3,0)*VLOOKUP('Données projet'!$B$14,Paramètres!$A$1:$I$89,5,0)</f>
        <v>259.46949600000028</v>
      </c>
      <c r="DQ69" s="13">
        <f t="shared" ref="DQ69:DQ132" si="97">EXP(-1.0587+0.8836*LN(DP69)+0.284)</f>
        <v>62.609282502673501</v>
      </c>
      <c r="DR69" s="20">
        <f t="shared" si="70"/>
        <v>560.95387255882349</v>
      </c>
      <c r="DS69" s="59">
        <f t="shared" si="71"/>
        <v>854.28720589215686</v>
      </c>
      <c r="DT69" s="59">
        <f ca="1">AVERAGE(OFFSET($DS$3,0,0,'Données projet'!$E$14+1,1))-AVERAGE(OFFSET($H$3,0,0,'Données projet'!$E$14+1,1))</f>
        <v>635.71275911100679</v>
      </c>
      <c r="DU69" s="59">
        <f t="shared" ref="DU69:DU132" si="98">$DU$3</f>
        <v>281.7776857269169</v>
      </c>
      <c r="DV69" s="15">
        <f>IF(ISNA(VLOOKUP(A69,'Données projet'!$A$165:$I$185,3,0)),0,VLOOKUP(A69,'Données projet'!$A$165:$I$185,3,0))</f>
        <v>4</v>
      </c>
      <c r="DW69" s="15">
        <f>IF(ISNA(VLOOKUP(A69,'Données projet'!$A$165:$I$185,4,0)),0,VLOOKUP(A69,'Données projet'!$A$165:$I$185,4,0))</f>
        <v>53.679999999999978</v>
      </c>
      <c r="DX69" s="16">
        <f>IF(ISNA(VLOOKUP(A69,'Données projet'!$A$165:$I$185,5,0)),0%,VLOOKUP(A69,'Données projet'!$A$165:$I$185,5,0)*VLOOKUP('Données projet'!$B$14,Paramètres!$A$1:$I$89,7,0))</f>
        <v>0.15049999999999999</v>
      </c>
      <c r="DY69" s="16">
        <f>IF(ISNA(VLOOKUP(A69,'Données projet'!$A$165:$I$185,6,0)),0%,VLOOKUP(A69,'Données projet'!$A$165:$I$185,6,0)*VLOOKUP('Données projet'!$B$14,Paramètres!$A$1:$I$89,7,0))</f>
        <v>8.6000000000000007E-2</v>
      </c>
      <c r="DZ69" s="16">
        <f>IF(ISNA(VLOOKUP(A69,'Données projet'!$A$165:$I$185,7,0)),0%,VLOOKUP(A69,'Données projet'!$A$165:$I$185,7,0))</f>
        <v>0.1</v>
      </c>
      <c r="EA69" s="21">
        <f>EXP(-LN(2)/35)*EA68+(1-EXP(-LN(2)/35))/(LN(2)/35)*DW69*DX69*VLOOKUP('Données projet'!$B$14,Paramètres!$A$1:$I$89,3,0)*0.475*44/12</f>
        <v>8.0806948968281098</v>
      </c>
      <c r="EB69" s="21">
        <f>EXP(-LN(2)/25)*EB68+(1-EXP(-LN(2)/25))/(LN(2)/25)*Calculateur!DW69*Calculateur!DY69*VLOOKUP('Données projet'!$B$14,Paramètres!$A$1:$I$89,3,0)*0.475*44/12</f>
        <v>33.817868407767122</v>
      </c>
      <c r="EC69" s="21">
        <f>EXP(-LN(2)/2)*EC68+(1-EXP(-LN(2)/2))/(LN(2)/2)*DW69*DZ69*VLOOKUP('Données projet'!$B$14,Paramètres!$A$1:$I$89,3,0)*0.475*44/12</f>
        <v>5.1195523422004099</v>
      </c>
      <c r="ED69" s="22">
        <f t="shared" si="72"/>
        <v>47.018115646795636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>
        <f>VLOOKUP(A69,'Données projet'!$A$191:$I$211,2,0)</f>
        <v>286.77</v>
      </c>
      <c r="EH69" s="12">
        <f>VLOOKUP(A69,'Données projet'!$A$191:$I$211,9,0)</f>
        <v>10.107499999999998</v>
      </c>
      <c r="EI69" s="12">
        <f t="array" ref="EI69">INDEX(EH:EH,MIN(IF(ISNUMBER(EH69:EH265),ROW(EH69:EH265),"")))</f>
        <v>10.107499999999998</v>
      </c>
      <c r="EJ69" s="12">
        <f>IF('Données projet'!$A$192&gt;35,EJ68+EI69-ER68,IF(A69&lt;'Données projet'!$A$192,$EG$205^A69,IF(A69='Données projet'!$A$192,'Données projet'!$B$192,EJ68+EI69-ER68)))</f>
        <v>286.77000000000032</v>
      </c>
      <c r="EK69" s="17">
        <f>EJ69*VLOOKUP('Données projet'!$B$15,Paramètres!$A$1:$I$89,3,0)*VLOOKUP('Données projet'!$B$15,Paramètres!$A$1:$I$89,5,0)</f>
        <v>192.36531600000023</v>
      </c>
      <c r="EL69" s="13">
        <f t="shared" ref="EL69:EL132" si="99">EXP(-1.0587+0.8836*LN(EK69)+0.284)</f>
        <v>48.062513493342635</v>
      </c>
      <c r="EM69" s="20">
        <f t="shared" si="73"/>
        <v>418.74513636757212</v>
      </c>
      <c r="EN69" s="59">
        <f t="shared" si="74"/>
        <v>712.07846970090543</v>
      </c>
      <c r="EO69" s="59">
        <f ca="1">AVERAGE(OFFSET($EN$3,0,0,'Données projet'!$E$15+1,1))-AVERAGE(OFFSET($H$3,0,0,'Données projet'!$E$15+1,1))</f>
        <v>482.99915419700773</v>
      </c>
      <c r="EP69" s="59">
        <f t="shared" ref="EP69:EP132" si="100">$EP$3</f>
        <v>219.74157899604279</v>
      </c>
      <c r="EQ69" s="15">
        <f>IF(ISNA(VLOOKUP(A69,'Données projet'!$A$191:$I$211,3,0)),0,VLOOKUP(A69,'Données projet'!$A$191:$I$211,3,0))</f>
        <v>4</v>
      </c>
      <c r="ER69" s="15">
        <f>IF(ISNA(VLOOKUP(A69,'Données projet'!$A$191:$I$211,4,0)),0,VLOOKUP(A69,'Données projet'!$A$191:$I$211,4,0))</f>
        <v>53.679999999999978</v>
      </c>
      <c r="ES69" s="16">
        <f>IF(ISNA(VLOOKUP(A69,'Données projet'!$A$191:$I$211,5,0)),0%,VLOOKUP(A69,'Données projet'!$A$191:$I$211,5,0)*VLOOKUP('Données projet'!$B$15,Paramètres!$A$1:$I$89,7,0))</f>
        <v>0.1855</v>
      </c>
      <c r="ET69" s="16">
        <f>IF(ISNA(VLOOKUP(A69,'Données projet'!$A$191:$I$211,6,0)),0%,VLOOKUP(A69,'Données projet'!$A$191:$I$211,6,0)*VLOOKUP('Données projet'!$B$15,Paramètres!$A$1:$I$89,7,0))</f>
        <v>0.10600000000000001</v>
      </c>
      <c r="EU69" s="16">
        <f>IF(ISNA(VLOOKUP(A69,'Données projet'!$A$191:$I$211,7,0)),0%,VLOOKUP(A69,'Données projet'!$A$191:$I$211,7,0))</f>
        <v>0.1</v>
      </c>
      <c r="EV69" s="21">
        <f>EXP(-LN(2)/35)*EV68+(1-EXP(-LN(2)/35))/(LN(2)/35)*ER69*ES69*VLOOKUP('Données projet'!$B$15,Paramètres!$A$1:$I$89,3,0)*0.475*44/12</f>
        <v>7.3840832677912047</v>
      </c>
      <c r="EW69" s="21">
        <f>EXP(-LN(2)/25)*EW68+(1-EXP(-LN(2)/25))/(LN(2)/25)*Calculateur!ER69*Calculateur!ET69*VLOOKUP('Données projet'!$B$15,Paramètres!$A$1:$I$89,3,0)*0.475*44/12</f>
        <v>30.90253492433893</v>
      </c>
      <c r="EX69" s="21">
        <f>EXP(-LN(2)/2)*EX68+(1-EXP(-LN(2)/2))/(LN(2)/2)*ER69*EU69*VLOOKUP('Données projet'!$B$15,Paramètres!$A$1:$I$89,3,0)*0.475*44/12</f>
        <v>3.7955301847347873</v>
      </c>
      <c r="EY69" s="22">
        <f t="shared" si="75"/>
        <v>42.082148376864922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>
        <f>VLOOKUP(A69,'Données projet'!$A$217:$I$237,2,0)</f>
        <v>286.77</v>
      </c>
      <c r="FC69" s="12">
        <f>VLOOKUP(A69,'Données projet'!$A$217:$I$237,9,0)</f>
        <v>10.107499999999998</v>
      </c>
      <c r="FD69" s="12">
        <f t="array" ref="FD69">INDEX(FC:FC,MIN(IF(ISNUMBER(FC69:FC265),ROW(FC69:FC265),"")))</f>
        <v>10.107499999999998</v>
      </c>
      <c r="FE69" s="12">
        <f>IF('Données projet'!$A$218&gt;35,FE68+FD69-FM68,IF(A69&lt;'Données projet'!$A$218,$FB$205^A69,IF(A69='Données projet'!$A$218,'Données projet'!$B$218,FE68+FD69-FM68)))</f>
        <v>286.77000000000032</v>
      </c>
      <c r="FF69" s="17">
        <f>FE69*VLOOKUP('Données projet'!$B$16,Paramètres!$A$1:$I$89,3,0)*VLOOKUP('Données projet'!$B$16,Paramètres!$A$1:$I$89,5,0)</f>
        <v>272.89033200000034</v>
      </c>
      <c r="FG69" s="13">
        <f t="shared" ref="FG69:FG132" si="101">EXP(-1.0587+0.8836*LN(FF69)+0.284)</f>
        <v>65.462290033470751</v>
      </c>
      <c r="FH69" s="20">
        <f t="shared" si="76"/>
        <v>589.2974833749621</v>
      </c>
      <c r="FI69" s="59">
        <f t="shared" si="77"/>
        <v>882.63081670829547</v>
      </c>
      <c r="FJ69" s="59">
        <f ca="1">AVERAGE(OFFSET($FI$3,0,0,'Données projet'!$E$16+1,1))-AVERAGE(OFFSET($H$3,0,0,'Données projet'!$E$16+1,1))</f>
        <v>666.1523645983184</v>
      </c>
      <c r="FK69" s="59">
        <f t="shared" ref="FK69:FK132" si="102">$FK$3</f>
        <v>294.13851344047526</v>
      </c>
      <c r="FL69" s="15">
        <f>IF(ISNA(VLOOKUP(A69,'Données projet'!$A$217:$I$237,3,0)),0,VLOOKUP(A69,'Données projet'!$A$217:$I$237,3,0))</f>
        <v>4</v>
      </c>
      <c r="FM69" s="15">
        <f>IF(ISNA(VLOOKUP(A69,'Données projet'!$A$217:$I$237,4,0)),0,VLOOKUP(A69,'Données projet'!$A$217:$I$237,4,0))</f>
        <v>53.679999999999978</v>
      </c>
      <c r="FN69" s="16">
        <f>IF(ISNA(VLOOKUP(A69,'Données projet'!$A$217:$I$237,5,0)),0%,VLOOKUP(A69,'Données projet'!$A$217:$I$237,5,0)*VLOOKUP('Données projet'!$B$16,Paramètres!$A$1:$I$89,7,0))</f>
        <v>0.15049999999999999</v>
      </c>
      <c r="FO69" s="16">
        <f>IF(ISNA(VLOOKUP(A69,'Données projet'!$A$217:$I$237,6,0)),0%,VLOOKUP(A69,'Données projet'!$A$217:$I$237,6,0)*VLOOKUP('Données projet'!$B$16,Paramètres!$A$1:$I$89,7,0))</f>
        <v>8.6000000000000007E-2</v>
      </c>
      <c r="FP69" s="16">
        <f>IF(ISNA(VLOOKUP(A69,'Données projet'!$A$217:$I$237,7,0)),0%,VLOOKUP(A69,'Données projet'!$A$217:$I$237,7,0))</f>
        <v>0.1</v>
      </c>
      <c r="FQ69" s="21">
        <f>EXP(-LN(2)/35)*FQ68+(1-EXP(-LN(2)/35))/(LN(2)/35)*FM69*FN69*VLOOKUP('Données projet'!$B$16,Paramètres!$A$1:$I$89,3,0)*0.475*44/12</f>
        <v>8.4986618742502529</v>
      </c>
      <c r="FR69" s="21">
        <f>EXP(-LN(2)/25)*FR68+(1-EXP(-LN(2)/25))/(LN(2)/25)*Calculateur!FM69*Calculateur!FO69*VLOOKUP('Données projet'!$B$16,Paramètres!$A$1:$I$89,3,0)*0.475*44/12</f>
        <v>35.567068497824039</v>
      </c>
      <c r="FS69" s="21">
        <f>EXP(-LN(2)/2)*FS68+(1-EXP(-LN(2)/2))/(LN(2)/2)*FM69*FP69*VLOOKUP('Données projet'!$B$16,Paramètres!$A$1:$I$89,3,0)*0.475*44/12</f>
        <v>5.3843567736935345</v>
      </c>
      <c r="FT69" s="22">
        <f t="shared" si="78"/>
        <v>49.450087145767824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4.5999999999999996</v>
      </c>
      <c r="N70" s="13">
        <f>IF('Données projet'!$A$36&gt;35,N69+M70-V69,IF(A70&lt;'Données projet'!$A$36,$K$205^A70,IF(A70='Données projet'!$A$36,'Données projet'!$B$36,N69+M70-V69)))</f>
        <v>302.19999999999987</v>
      </c>
      <c r="O70" s="13">
        <f>N70*VLOOKUP('Données projet'!$B$9,Paramètres!$A$1:$I$89,3,0)*VLOOKUP('Données projet'!$B$9,Paramètres!$A$1:$I$89,5,0)</f>
        <v>221.57303999999991</v>
      </c>
      <c r="P70" s="13">
        <f t="shared" si="87"/>
        <v>54.456636294321989</v>
      </c>
      <c r="Q70" s="20">
        <f t="shared" si="54"/>
        <v>480.75168621261065</v>
      </c>
      <c r="R70" s="59">
        <f t="shared" si="55"/>
        <v>774.08501954594396</v>
      </c>
      <c r="S70" s="59">
        <f ca="1">AVERAGE(OFFSET($R$3,0,0,'Données projet'!$E$9+1,1))-AVERAGE(OFFSET($H$3,0,0,'Données projet'!$E$9+1,1))</f>
        <v>328.55631138162721</v>
      </c>
      <c r="T70" s="59">
        <f t="shared" si="88"/>
        <v>321.81422611044985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10.655098839441838</v>
      </c>
      <c r="AA70" s="21">
        <f>EXP(-LN(2)/25)*AA69+(1-EXP(-LN(2)/25))/(LN(2)/25)*Calculateur!V70*Calculateur!X70*VLOOKUP('Données projet'!$B$9,Paramètres!$A$1:$I$89,3,0)*0.475*44/12</f>
        <v>11.431574931338611</v>
      </c>
      <c r="AB70" s="21">
        <f>EXP(-LN(2)/2)*AB69+(1-EXP(-LN(2)/2))/(LN(2)/2)*V70*Y70*VLOOKUP('Données projet'!$B$9,Paramètres!$A$1:$I$89,3,0)*0.475*44/12</f>
        <v>1.3931529334991042</v>
      </c>
      <c r="AC70" s="22">
        <f t="shared" si="57"/>
        <v>23.479826704279553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4.5999999999999996</v>
      </c>
      <c r="AI70" s="13">
        <f>IF('Données projet'!$A$62&gt;35,AI69+AH70-AQ69,IF(A70&lt;'Données projet'!$A$62,$AF$205^A70,IF(A70='Données projet'!$A$62,'Données projet'!$B$62,AI69+AH70-AQ69)))</f>
        <v>302.19999999999987</v>
      </c>
      <c r="AJ70" s="13">
        <f>AI70*VLOOKUP('Données projet'!$B$10,Paramètres!$A$1:$I$89,3,0)*VLOOKUP('Données projet'!$B$10,Paramètres!$A$1:$I$89,5,0)</f>
        <v>240.43031999999991</v>
      </c>
      <c r="AK70" s="13">
        <f t="shared" si="89"/>
        <v>58.532106271380506</v>
      </c>
      <c r="AL70" s="20">
        <f t="shared" si="58"/>
        <v>520.69289242265415</v>
      </c>
      <c r="AM70" s="59">
        <f t="shared" si="59"/>
        <v>814.02622575598753</v>
      </c>
      <c r="AN70" s="59">
        <f ca="1">AVERAGE(OFFSET($AM$3,0,0,'Données projet'!$E$10+1,1))-AVERAGE(OFFSET($H$3,0,0,'Données projet'!$E$10+1,1))</f>
        <v>353.37479213497227</v>
      </c>
      <c r="AO70" s="59">
        <f t="shared" si="90"/>
        <v>345.4750813433123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14.250733381005093</v>
      </c>
      <c r="AV70" s="21">
        <f>EXP(-LN(2)/25)*AV69+(1-EXP(-LN(2)/25))/(LN(2)/25)*Calculateur!AQ70*Calculateur!AS70*VLOOKUP('Données projet'!$B$10,Paramètres!$A$1:$I$89,3,0)*0.475*44/12</f>
        <v>15.289236536075345</v>
      </c>
      <c r="AW70" s="21">
        <f>EXP(-LN(2)/2)*AW69+(1-EXP(-LN(2)/2))/(LN(2)/2)*AQ70*AT70*VLOOKUP('Données projet'!$B$10,Paramètres!$A$1:$I$89,3,0)*0.475*44/12</f>
        <v>1.5117191406054111</v>
      </c>
      <c r="AX70" s="21">
        <f t="shared" si="60"/>
        <v>31.051689057685849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4.5999999999999996</v>
      </c>
      <c r="BD70" s="12">
        <f>IF('Données projet'!$A$88&gt;35,BD69+BC70-BL69,IF(A70&lt;'Données projet'!$A$88,$BA$205^A70,IF(A70='Données projet'!$A$88,'Données projet'!$B$88,BD69+BC70-BL69)))</f>
        <v>302.19999999999987</v>
      </c>
      <c r="BE70" s="13">
        <f>BD70*VLOOKUP('Données projet'!$B$11,Paramètres!$A$1:$I$89,3,0)*VLOOKUP('Données projet'!$B$11,Paramètres!$A$1:$I$89,5,0)</f>
        <v>245.14463999999992</v>
      </c>
      <c r="BF70" s="13">
        <f t="shared" si="91"/>
        <v>59.545054798309039</v>
      </c>
      <c r="BG70" s="20">
        <f t="shared" si="61"/>
        <v>530.66788510705476</v>
      </c>
      <c r="BH70" s="59">
        <f t="shared" si="62"/>
        <v>824.00121844038813</v>
      </c>
      <c r="BI70" s="59">
        <f ca="1">AVERAGE(OFFSET($BH$3,0,0,'Données projet'!$E$11+1,1))-AVERAGE(OFFSET($H$3,0,0,'Données projet'!$E$11+1,1))</f>
        <v>359.57284550600366</v>
      </c>
      <c r="BJ70" s="59">
        <f t="shared" si="92"/>
        <v>351.38386928091433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14.530159525730687</v>
      </c>
      <c r="BQ70" s="21">
        <f>EXP(-LN(2)/25)*BQ69+(1-EXP(-LN(2)/25))/(LN(2)/25)*Calculateur!BL70*Calculateur!BN70*VLOOKUP('Données projet'!$B$11,Paramètres!$A$1:$I$89,3,0)*0.475*44/12</f>
        <v>15.589025487763104</v>
      </c>
      <c r="BR70" s="21">
        <f>EXP(-LN(2)/2)*BR69+(1-EXP(-LN(2)/2))/(LN(2)/2)*BL70*BO70*VLOOKUP('Données projet'!$B$11,Paramètres!$A$1:$I$89,3,0)*0.475*44/12</f>
        <v>1.5413606923819871</v>
      </c>
      <c r="BS70" s="22">
        <f t="shared" si="63"/>
        <v>31.660545705875776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2.5641025641025577</v>
      </c>
      <c r="BY70" s="12">
        <f>IF('Données projet'!$A$114&gt;35,BY69+BX70-CG69,IF(A70&lt;'Données projet'!$A$114,$BV$205^A70,IF(A70='Données projet'!$A$114,'Données projet'!$B$114,BY69+BX70-CG69)))</f>
        <v>106.41025641025639</v>
      </c>
      <c r="BZ70" s="13">
        <f>BY70*VLOOKUP('Données projet'!$B$12,Paramètres!$A$1:$I$89,3,0)*VLOOKUP('Données projet'!$B$12,Paramètres!$A$1:$I$89,5,0)</f>
        <v>86.32</v>
      </c>
      <c r="CA70" s="13">
        <f t="shared" si="93"/>
        <v>23.675552678472247</v>
      </c>
      <c r="CB70" s="20">
        <f t="shared" si="64"/>
        <v>191.57558758167247</v>
      </c>
      <c r="CC70" s="59">
        <f t="shared" si="65"/>
        <v>484.90892091500575</v>
      </c>
      <c r="CD70" s="59">
        <f ca="1">AVERAGE(OFFSET($CC$3,0,0,'Données projet'!$E$12+1,1))-AVERAGE(OFFSET($H$3,0,0,'Données projet'!$E$12+1,1))</f>
        <v>159.4660488566085</v>
      </c>
      <c r="CE70" s="59">
        <f t="shared" si="94"/>
        <v>135.33030558297088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3.5215532074935934</v>
      </c>
      <c r="CM70" s="21">
        <f>EXP(-LN(2)/2)*CM69+(1-EXP(-LN(2)/2))/(LN(2)/2)*CG70*CJ70*VLOOKUP('Données projet'!$B$12,Paramètres!$A$1:$I$89,3,0)*0.475*44/12</f>
        <v>0.81947480974930653</v>
      </c>
      <c r="CN70" s="22">
        <f t="shared" si="66"/>
        <v>4.3410280172429001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4.5999999999999996</v>
      </c>
      <c r="CT70" s="12">
        <f>IF('Données projet'!$A$140&gt;35,CT69+CS70-DB69,IF(A70&lt;'Données projet'!$A$140,$CQ$205^A70,IF(A70='Données projet'!$A$140,'Données projet'!$B$140,CT69+CS70-DB69)))</f>
        <v>302.19999999999987</v>
      </c>
      <c r="CU70" s="17">
        <f>CT70*VLOOKUP('Données projet'!$B$13,Paramètres!$A$1:$I$89,3,0)*VLOOKUP('Données projet'!$B$13,Paramètres!$A$1:$I$89,5,0)</f>
        <v>240.43031999999991</v>
      </c>
      <c r="CV70" s="13">
        <f t="shared" si="95"/>
        <v>58.532106271380506</v>
      </c>
      <c r="CW70" s="20">
        <f t="shared" si="67"/>
        <v>520.69289242265415</v>
      </c>
      <c r="CX70" s="59">
        <f t="shared" si="68"/>
        <v>814.02622575598753</v>
      </c>
      <c r="CY70" s="59">
        <f ca="1">AVERAGE(OFFSET($CX$3,0,0,'Données projet'!$E$13+1,1))-AVERAGE(OFFSET($H$3,0,0,'Données projet'!$E$13+1,1))</f>
        <v>353.37479213497227</v>
      </c>
      <c r="CZ70" s="59">
        <f t="shared" si="96"/>
        <v>345.4750813433123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14.250733381005093</v>
      </c>
      <c r="DG70" s="21">
        <f>EXP(-LN(2)/25)*DG69+(1-EXP(-LN(2)/25))/(LN(2)/25)*Calculateur!DB70*Calculateur!DD70*VLOOKUP('Données projet'!$B$13,Paramètres!$A$1:$I$89,3,0)*0.475*44/12</f>
        <v>15.289236536075345</v>
      </c>
      <c r="DH70" s="21">
        <f>EXP(-LN(2)/2)*DH69+(1-EXP(-LN(2)/2))/(LN(2)/2)*DB70*DE70*VLOOKUP('Données projet'!$B$13,Paramètres!$A$1:$I$89,3,0)*0.475*44/12</f>
        <v>1.5117191406054111</v>
      </c>
      <c r="DI70" s="22">
        <f t="shared" si="69"/>
        <v>31.051689057685849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9.733749999999997</v>
      </c>
      <c r="DO70" s="12">
        <f>IF('Données projet'!$A$166&gt;35,DO69+DN70-DW69,IF(A70&lt;'Données projet'!$A$166,$DL$205^A70,IF(A70='Données projet'!$A$166,'Données projet'!$B$166,DO69+DN70-DW69)))</f>
        <v>242.82375000000033</v>
      </c>
      <c r="DP70" s="17">
        <f>DO70*VLOOKUP('Données projet'!$B$14,Paramètres!$A$1:$I$89,3,0)*VLOOKUP('Données projet'!$B$14,Paramètres!$A$1:$I$89,5,0)</f>
        <v>219.70692900000031</v>
      </c>
      <c r="DQ70" s="13">
        <f t="shared" si="97"/>
        <v>54.051183245794981</v>
      </c>
      <c r="DR70" s="20">
        <f t="shared" si="70"/>
        <v>476.79537882809342</v>
      </c>
      <c r="DS70" s="59">
        <f t="shared" si="71"/>
        <v>770.12871216142673</v>
      </c>
      <c r="DT70" s="59">
        <f ca="1">AVERAGE(OFFSET($DS$3,0,0,'Données projet'!$E$14+1,1))-AVERAGE(OFFSET($H$3,0,0,'Données projet'!$E$14+1,1))</f>
        <v>635.71275911100679</v>
      </c>
      <c r="DU70" s="59">
        <f t="shared" si="98"/>
        <v>281.7776857269169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7.9222373986385248</v>
      </c>
      <c r="EB70" s="21">
        <f>EXP(-LN(2)/25)*EB69+(1-EXP(-LN(2)/25))/(LN(2)/25)*Calculateur!DW70*Calculateur!DY70*VLOOKUP('Données projet'!$B$14,Paramètres!$A$1:$I$89,3,0)*0.475*44/12</f>
        <v>32.893117017752324</v>
      </c>
      <c r="EC70" s="21">
        <f>EXP(-LN(2)/2)*EC69+(1-EXP(-LN(2)/2))/(LN(2)/2)*DW70*DZ70*VLOOKUP('Données projet'!$B$14,Paramètres!$A$1:$I$89,3,0)*0.475*44/12</f>
        <v>3.6200701778093825</v>
      </c>
      <c r="ED70" s="22">
        <f t="shared" si="72"/>
        <v>44.435424594200228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9.733749999999997</v>
      </c>
      <c r="EJ70" s="12">
        <f>IF('Données projet'!$A$192&gt;35,EJ69+EI70-ER69,IF(A70&lt;'Données projet'!$A$192,$EG$205^A70,IF(A70='Données projet'!$A$192,'Données projet'!$B$192,EJ69+EI70-ER69)))</f>
        <v>242.82375000000033</v>
      </c>
      <c r="EK70" s="17">
        <f>EJ70*VLOOKUP('Données projet'!$B$15,Paramètres!$A$1:$I$89,3,0)*VLOOKUP('Données projet'!$B$15,Paramètres!$A$1:$I$89,5,0)</f>
        <v>162.88617150000024</v>
      </c>
      <c r="EL70" s="13">
        <f t="shared" si="99"/>
        <v>41.492820556939392</v>
      </c>
      <c r="EM70" s="20">
        <f t="shared" si="73"/>
        <v>355.96007783250315</v>
      </c>
      <c r="EN70" s="59">
        <f t="shared" si="74"/>
        <v>649.29341116583646</v>
      </c>
      <c r="EO70" s="59">
        <f ca="1">AVERAGE(OFFSET($EN$3,0,0,'Données projet'!$E$15+1,1))-AVERAGE(OFFSET($H$3,0,0,'Données projet'!$E$15+1,1))</f>
        <v>482.99915419700773</v>
      </c>
      <c r="EP70" s="59">
        <f t="shared" si="100"/>
        <v>219.74157899604279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7.2392858987558943</v>
      </c>
      <c r="EW70" s="21">
        <f>EXP(-LN(2)/25)*EW69+(1-EXP(-LN(2)/25))/(LN(2)/25)*Calculateur!ER70*Calculateur!ET70*VLOOKUP('Données projet'!$B$15,Paramètres!$A$1:$I$89,3,0)*0.475*44/12</f>
        <v>30.0575034817392</v>
      </c>
      <c r="EX70" s="21">
        <f>EXP(-LN(2)/2)*EX69+(1-EXP(-LN(2)/2))/(LN(2)/2)*ER70*EU70*VLOOKUP('Données projet'!$B$15,Paramètres!$A$1:$I$89,3,0)*0.475*44/12</f>
        <v>2.6838451318241976</v>
      </c>
      <c r="EY70" s="22">
        <f t="shared" si="75"/>
        <v>39.980634512319291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9.733749999999997</v>
      </c>
      <c r="FE70" s="12">
        <f>IF('Données projet'!$A$218&gt;35,FE69+FD70-FM69,IF(A70&lt;'Données projet'!$A$218,$FB$205^A70,IF(A70='Données projet'!$A$218,'Données projet'!$B$218,FE69+FD70-FM69)))</f>
        <v>242.82375000000033</v>
      </c>
      <c r="FF70" s="17">
        <f>FE70*VLOOKUP('Données projet'!$B$16,Paramètres!$A$1:$I$89,3,0)*VLOOKUP('Données projet'!$B$16,Paramètres!$A$1:$I$89,5,0)</f>
        <v>231.07108050000033</v>
      </c>
      <c r="FG70" s="13">
        <f t="shared" si="101"/>
        <v>56.514211517076802</v>
      </c>
      <c r="FH70" s="20">
        <f t="shared" si="76"/>
        <v>500.87771692974269</v>
      </c>
      <c r="FI70" s="59">
        <f t="shared" si="77"/>
        <v>794.211050263076</v>
      </c>
      <c r="FJ70" s="59">
        <f ca="1">AVERAGE(OFFSET($FI$3,0,0,'Données projet'!$E$16+1,1))-AVERAGE(OFFSET($H$3,0,0,'Données projet'!$E$16+1,1))</f>
        <v>666.1523645983184</v>
      </c>
      <c r="FK70" s="59">
        <f t="shared" si="102"/>
        <v>294.13851344047526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8.3320082985681037</v>
      </c>
      <c r="FR70" s="21">
        <f>EXP(-LN(2)/25)*FR69+(1-EXP(-LN(2)/25))/(LN(2)/25)*Calculateur!FM70*Calculateur!FO70*VLOOKUP('Données projet'!$B$16,Paramètres!$A$1:$I$89,3,0)*0.475*44/12</f>
        <v>34.594485139360195</v>
      </c>
      <c r="FS70" s="21">
        <f>EXP(-LN(2)/2)*FS69+(1-EXP(-LN(2)/2))/(LN(2)/2)*FM70*FP70*VLOOKUP('Données projet'!$B$16,Paramètres!$A$1:$I$89,3,0)*0.475*44/12</f>
        <v>3.8073151870064192</v>
      </c>
      <c r="FT70" s="22">
        <f t="shared" si="78"/>
        <v>46.733808624934717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4.5999999999999996</v>
      </c>
      <c r="N71" s="13">
        <f>IF('Données projet'!$A$36&gt;35,N70+M71-V70,IF(A71&lt;'Données projet'!$A$36,$K$205^A71,IF(A71='Données projet'!$A$36,'Données projet'!$B$36,N70+M71-V70)))</f>
        <v>306.7999999999999</v>
      </c>
      <c r="O71" s="13">
        <f>N71*VLOOKUP('Données projet'!$B$9,Paramètres!$A$1:$I$89,3,0)*VLOOKUP('Données projet'!$B$9,Paramètres!$A$1:$I$89,5,0)</f>
        <v>224.94575999999992</v>
      </c>
      <c r="P71" s="13">
        <f t="shared" si="87"/>
        <v>55.188427424815572</v>
      </c>
      <c r="Q71" s="20">
        <f t="shared" si="54"/>
        <v>487.90037643155364</v>
      </c>
      <c r="R71" s="59">
        <f t="shared" si="55"/>
        <v>781.23370976488695</v>
      </c>
      <c r="S71" s="59">
        <f ca="1">AVERAGE(OFFSET($R$3,0,0,'Données projet'!$E$9+1,1))-AVERAGE(OFFSET($H$3,0,0,'Données projet'!$E$9+1,1))</f>
        <v>328.55631138162721</v>
      </c>
      <c r="T71" s="59">
        <f t="shared" si="88"/>
        <v>321.81422611044985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10.446158850168956</v>
      </c>
      <c r="AA71" s="21">
        <f>EXP(-LN(2)/25)*AA70+(1-EXP(-LN(2)/25))/(LN(2)/25)*Calculateur!V71*Calculateur!X71*VLOOKUP('Données projet'!$B$9,Paramètres!$A$1:$I$89,3,0)*0.475*44/12</f>
        <v>11.118977913680759</v>
      </c>
      <c r="AB71" s="21">
        <f>EXP(-LN(2)/2)*AB70+(1-EXP(-LN(2)/2))/(LN(2)/2)*V71*Y71*VLOOKUP('Données projet'!$B$9,Paramètres!$A$1:$I$89,3,0)*0.475*44/12</f>
        <v>0.98510788650714798</v>
      </c>
      <c r="AC71" s="22">
        <f t="shared" si="57"/>
        <v>22.550244650356863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4.5999999999999996</v>
      </c>
      <c r="AI71" s="13">
        <f>IF('Données projet'!$A$62&gt;35,AI70+AH71-AQ70,IF(A71&lt;'Données projet'!$A$62,$AF$205^A71,IF(A71='Données projet'!$A$62,'Données projet'!$B$62,AI70+AH71-AQ70)))</f>
        <v>306.7999999999999</v>
      </c>
      <c r="AJ71" s="13">
        <f>AI71*VLOOKUP('Données projet'!$B$10,Paramètres!$A$1:$I$89,3,0)*VLOOKUP('Données projet'!$B$10,Paramètres!$A$1:$I$89,5,0)</f>
        <v>244.09007999999994</v>
      </c>
      <c r="AK71" s="13">
        <f t="shared" si="89"/>
        <v>59.318663780863893</v>
      </c>
      <c r="AL71" s="20">
        <f t="shared" si="58"/>
        <v>528.43689541833794</v>
      </c>
      <c r="AM71" s="59">
        <f t="shared" si="59"/>
        <v>821.77022875167131</v>
      </c>
      <c r="AN71" s="59">
        <f ca="1">AVERAGE(OFFSET($AM$3,0,0,'Données projet'!$E$10+1,1))-AVERAGE(OFFSET($H$3,0,0,'Données projet'!$E$10+1,1))</f>
        <v>353.37479213497227</v>
      </c>
      <c r="AO71" s="59">
        <f t="shared" si="90"/>
        <v>345.4750813433123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13.971285191492672</v>
      </c>
      <c r="AV71" s="21">
        <f>EXP(-LN(2)/25)*AV70+(1-EXP(-LN(2)/25))/(LN(2)/25)*Calculateur!AQ71*Calculateur!AS71*VLOOKUP('Données projet'!$B$10,Paramètres!$A$1:$I$89,3,0)*0.475*44/12</f>
        <v>14.871151558970359</v>
      </c>
      <c r="AW71" s="21">
        <f>EXP(-LN(2)/2)*AW70+(1-EXP(-LN(2)/2))/(LN(2)/2)*AQ71*AT71*VLOOKUP('Données projet'!$B$10,Paramètres!$A$1:$I$89,3,0)*0.475*44/12</f>
        <v>1.0689468555715862</v>
      </c>
      <c r="AX71" s="21">
        <f t="shared" si="60"/>
        <v>29.911383606034615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4.5999999999999996</v>
      </c>
      <c r="BD71" s="12">
        <f>IF('Données projet'!$A$88&gt;35,BD70+BC71-BL70,IF(A71&lt;'Données projet'!$A$88,$BA$205^A71,IF(A71='Données projet'!$A$88,'Données projet'!$B$88,BD70+BC71-BL70)))</f>
        <v>306.7999999999999</v>
      </c>
      <c r="BE71" s="13">
        <f>BD71*VLOOKUP('Données projet'!$B$11,Paramètres!$A$1:$I$89,3,0)*VLOOKUP('Données projet'!$B$11,Paramètres!$A$1:$I$89,5,0)</f>
        <v>248.87615999999991</v>
      </c>
      <c r="BF71" s="13">
        <f t="shared" si="91"/>
        <v>60.345224363146883</v>
      </c>
      <c r="BG71" s="20">
        <f t="shared" si="61"/>
        <v>538.56057776581395</v>
      </c>
      <c r="BH71" s="59">
        <f t="shared" si="62"/>
        <v>831.89391109914732</v>
      </c>
      <c r="BI71" s="59">
        <f ca="1">AVERAGE(OFFSET($BH$3,0,0,'Données projet'!$E$11+1,1))-AVERAGE(OFFSET($H$3,0,0,'Données projet'!$E$11+1,1))</f>
        <v>359.57284550600366</v>
      </c>
      <c r="BJ71" s="59">
        <f t="shared" si="92"/>
        <v>351.38386928091433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14.245231959953317</v>
      </c>
      <c r="BQ71" s="21">
        <f>EXP(-LN(2)/25)*BQ70+(1-EXP(-LN(2)/25))/(LN(2)/25)*Calculateur!BL71*Calculateur!BN71*VLOOKUP('Données projet'!$B$11,Paramètres!$A$1:$I$89,3,0)*0.475*44/12</f>
        <v>15.162742766009</v>
      </c>
      <c r="BR71" s="21">
        <f>EXP(-LN(2)/2)*BR70+(1-EXP(-LN(2)/2))/(LN(2)/2)*BL71*BO71*VLOOKUP('Données projet'!$B$11,Paramètres!$A$1:$I$89,3,0)*0.475*44/12</f>
        <v>1.0899065978376952</v>
      </c>
      <c r="BS71" s="22">
        <f t="shared" si="63"/>
        <v>30.497881323800016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2.5641025641025577</v>
      </c>
      <c r="BY71" s="12">
        <f>IF('Données projet'!$A$114&gt;35,BY70+BX71-CG70,IF(A71&lt;'Données projet'!$A$114,$BV$205^A71,IF(A71='Données projet'!$A$114,'Données projet'!$B$114,BY70+BX71-CG70)))</f>
        <v>108.97435897435895</v>
      </c>
      <c r="BZ71" s="13">
        <f>BY71*VLOOKUP('Données projet'!$B$12,Paramètres!$A$1:$I$89,3,0)*VLOOKUP('Données projet'!$B$12,Paramètres!$A$1:$I$89,5,0)</f>
        <v>88.399999999999991</v>
      </c>
      <c r="CA71" s="13">
        <f t="shared" si="93"/>
        <v>24.178941596629553</v>
      </c>
      <c r="CB71" s="20">
        <f t="shared" si="64"/>
        <v>196.07498994746314</v>
      </c>
      <c r="CC71" s="59">
        <f t="shared" si="65"/>
        <v>489.40832328079648</v>
      </c>
      <c r="CD71" s="59">
        <f ca="1">AVERAGE(OFFSET($CC$3,0,0,'Données projet'!$E$12+1,1))-AVERAGE(OFFSET($H$3,0,0,'Données projet'!$E$12+1,1))</f>
        <v>159.4660488566085</v>
      </c>
      <c r="CE71" s="59">
        <f t="shared" si="94"/>
        <v>135.33030558297088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3.4252561498442464</v>
      </c>
      <c r="CM71" s="21">
        <f>EXP(-LN(2)/2)*CM70+(1-EXP(-LN(2)/2))/(LN(2)/2)*CG71*CJ71*VLOOKUP('Données projet'!$B$12,Paramètres!$A$1:$I$89,3,0)*0.475*44/12</f>
        <v>0.57945619498529055</v>
      </c>
      <c r="CN71" s="22">
        <f t="shared" si="66"/>
        <v>4.004712344829537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4.5999999999999996</v>
      </c>
      <c r="CT71" s="12">
        <f>IF('Données projet'!$A$140&gt;35,CT70+CS71-DB70,IF(A71&lt;'Données projet'!$A$140,$CQ$205^A71,IF(A71='Données projet'!$A$140,'Données projet'!$B$140,CT70+CS71-DB70)))</f>
        <v>306.7999999999999</v>
      </c>
      <c r="CU71" s="17">
        <f>CT71*VLOOKUP('Données projet'!$B$13,Paramètres!$A$1:$I$89,3,0)*VLOOKUP('Données projet'!$B$13,Paramètres!$A$1:$I$89,5,0)</f>
        <v>244.09007999999994</v>
      </c>
      <c r="CV71" s="13">
        <f t="shared" si="95"/>
        <v>59.318663780863893</v>
      </c>
      <c r="CW71" s="20">
        <f t="shared" si="67"/>
        <v>528.43689541833794</v>
      </c>
      <c r="CX71" s="59">
        <f t="shared" si="68"/>
        <v>821.77022875167131</v>
      </c>
      <c r="CY71" s="59">
        <f ca="1">AVERAGE(OFFSET($CX$3,0,0,'Données projet'!$E$13+1,1))-AVERAGE(OFFSET($H$3,0,0,'Données projet'!$E$13+1,1))</f>
        <v>353.37479213497227</v>
      </c>
      <c r="CZ71" s="59">
        <f t="shared" si="96"/>
        <v>345.4750813433123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13.971285191492672</v>
      </c>
      <c r="DG71" s="21">
        <f>EXP(-LN(2)/25)*DG70+(1-EXP(-LN(2)/25))/(LN(2)/25)*Calculateur!DB71*Calculateur!DD71*VLOOKUP('Données projet'!$B$13,Paramètres!$A$1:$I$89,3,0)*0.475*44/12</f>
        <v>14.871151558970359</v>
      </c>
      <c r="DH71" s="21">
        <f>EXP(-LN(2)/2)*DH70+(1-EXP(-LN(2)/2))/(LN(2)/2)*DB71*DE71*VLOOKUP('Données projet'!$B$13,Paramètres!$A$1:$I$89,3,0)*0.475*44/12</f>
        <v>1.0689468555715862</v>
      </c>
      <c r="DI71" s="22">
        <f t="shared" si="69"/>
        <v>29.911383606034615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9.733749999999997</v>
      </c>
      <c r="DO71" s="12">
        <f>IF('Données projet'!$A$166&gt;35,DO70+DN71-DW70,IF(A71&lt;'Données projet'!$A$166,$DL$205^A71,IF(A71='Données projet'!$A$166,'Données projet'!$B$166,DO70+DN71-DW70)))</f>
        <v>252.55750000000032</v>
      </c>
      <c r="DP71" s="17">
        <f>DO71*VLOOKUP('Données projet'!$B$14,Paramètres!$A$1:$I$89,3,0)*VLOOKUP('Données projet'!$B$14,Paramètres!$A$1:$I$89,5,0)</f>
        <v>228.51402600000029</v>
      </c>
      <c r="DQ71" s="13">
        <f t="shared" si="97"/>
        <v>55.96125810397254</v>
      </c>
      <c r="DR71" s="20">
        <f t="shared" si="70"/>
        <v>495.46111981441936</v>
      </c>
      <c r="DS71" s="59">
        <f t="shared" si="71"/>
        <v>788.79445314775262</v>
      </c>
      <c r="DT71" s="59">
        <f ca="1">AVERAGE(OFFSET($DS$3,0,0,'Données projet'!$E$14+1,1))-AVERAGE(OFFSET($H$3,0,0,'Données projet'!$E$14+1,1))</f>
        <v>635.71275911100679</v>
      </c>
      <c r="DU71" s="59">
        <f t="shared" si="98"/>
        <v>281.7776857269169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7.7668871553389076</v>
      </c>
      <c r="EB71" s="21">
        <f>EXP(-LN(2)/25)*EB70+(1-EXP(-LN(2)/25))/(LN(2)/25)*Calculateur!DW71*Calculateur!DY71*VLOOKUP('Données projet'!$B$14,Paramètres!$A$1:$I$89,3,0)*0.475*44/12</f>
        <v>31.993653003128042</v>
      </c>
      <c r="EC71" s="21">
        <f>EXP(-LN(2)/2)*EC70+(1-EXP(-LN(2)/2))/(LN(2)/2)*DW71*DZ71*VLOOKUP('Données projet'!$B$14,Paramètres!$A$1:$I$89,3,0)*0.475*44/12</f>
        <v>2.5597761711002054</v>
      </c>
      <c r="ED71" s="22">
        <f t="shared" si="72"/>
        <v>42.320316329567156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9.733749999999997</v>
      </c>
      <c r="EJ71" s="12">
        <f>IF('Données projet'!$A$192&gt;35,EJ70+EI71-ER70,IF(A71&lt;'Données projet'!$A$192,$EG$205^A71,IF(A71='Données projet'!$A$192,'Données projet'!$B$192,EJ70+EI71-ER70)))</f>
        <v>252.55750000000032</v>
      </c>
      <c r="EK71" s="17">
        <f>EJ71*VLOOKUP('Données projet'!$B$15,Paramètres!$A$1:$I$89,3,0)*VLOOKUP('Données projet'!$B$15,Paramètres!$A$1:$I$89,5,0)</f>
        <v>169.41557100000023</v>
      </c>
      <c r="EL71" s="13">
        <f t="shared" si="99"/>
        <v>42.959104708024029</v>
      </c>
      <c r="EM71" s="20">
        <f t="shared" si="73"/>
        <v>369.88589352480886</v>
      </c>
      <c r="EN71" s="59">
        <f t="shared" si="74"/>
        <v>663.21922685814218</v>
      </c>
      <c r="EO71" s="59">
        <f ca="1">AVERAGE(OFFSET($EN$3,0,0,'Données projet'!$E$15+1,1))-AVERAGE(OFFSET($H$3,0,0,'Données projet'!$E$15+1,1))</f>
        <v>482.99915419700773</v>
      </c>
      <c r="EP71" s="59">
        <f t="shared" si="100"/>
        <v>219.74157899604279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7.0973279178096922</v>
      </c>
      <c r="EW71" s="21">
        <f>EXP(-LN(2)/25)*EW70+(1-EXP(-LN(2)/25))/(LN(2)/25)*Calculateur!ER71*Calculateur!ET71*VLOOKUP('Données projet'!$B$15,Paramètres!$A$1:$I$89,3,0)*0.475*44/12</f>
        <v>29.235579468375629</v>
      </c>
      <c r="EX71" s="21">
        <f>EXP(-LN(2)/2)*EX70+(1-EXP(-LN(2)/2))/(LN(2)/2)*ER71*EU71*VLOOKUP('Données projet'!$B$15,Paramètres!$A$1:$I$89,3,0)*0.475*44/12</f>
        <v>1.8977650923673939</v>
      </c>
      <c r="EY71" s="22">
        <f t="shared" si="75"/>
        <v>38.230672478552712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9.733749999999997</v>
      </c>
      <c r="FE71" s="12">
        <f>IF('Données projet'!$A$218&gt;35,FE70+FD71-FM70,IF(A71&lt;'Données projet'!$A$218,$FB$205^A71,IF(A71='Données projet'!$A$218,'Données projet'!$B$218,FE70+FD71-FM70)))</f>
        <v>252.55750000000032</v>
      </c>
      <c r="FF71" s="17">
        <f>FE71*VLOOKUP('Données projet'!$B$16,Paramètres!$A$1:$I$89,3,0)*VLOOKUP('Données projet'!$B$16,Paramètres!$A$1:$I$89,5,0)</f>
        <v>240.33371700000029</v>
      </c>
      <c r="FG71" s="13">
        <f t="shared" si="101"/>
        <v>58.511325512853986</v>
      </c>
      <c r="FH71" s="20">
        <f t="shared" si="76"/>
        <v>520.48844904322118</v>
      </c>
      <c r="FI71" s="59">
        <f t="shared" si="77"/>
        <v>813.82178237655444</v>
      </c>
      <c r="FJ71" s="59">
        <f ca="1">AVERAGE(OFFSET($FI$3,0,0,'Données projet'!$E$16+1,1))-AVERAGE(OFFSET($H$3,0,0,'Données projet'!$E$16+1,1))</f>
        <v>666.1523645983184</v>
      </c>
      <c r="FK71" s="59">
        <f t="shared" si="102"/>
        <v>294.13851344047526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8.1686226978564367</v>
      </c>
      <c r="FR71" s="21">
        <f>EXP(-LN(2)/25)*FR70+(1-EXP(-LN(2)/25))/(LN(2)/25)*Calculateur!FM71*Calculateur!FO71*VLOOKUP('Données projet'!$B$16,Paramètres!$A$1:$I$89,3,0)*0.475*44/12</f>
        <v>33.648497123979482</v>
      </c>
      <c r="FS71" s="21">
        <f>EXP(-LN(2)/2)*FS70+(1-EXP(-LN(2)/2))/(LN(2)/2)*FM71*FP71*VLOOKUP('Données projet'!$B$16,Paramètres!$A$1:$I$89,3,0)*0.475*44/12</f>
        <v>2.6921783868467677</v>
      </c>
      <c r="FT71" s="22">
        <f t="shared" si="78"/>
        <v>44.509298208682686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4.5999999999999996</v>
      </c>
      <c r="N72" s="13">
        <f>IF('Données projet'!$A$36&gt;35,N71+M72-V71,IF(A72&lt;'Données projet'!$A$36,$K$205^A72,IF(A72='Données projet'!$A$36,'Données projet'!$B$36,N71+M72-V71)))</f>
        <v>311.39999999999992</v>
      </c>
      <c r="O72" s="13">
        <f>N72*VLOOKUP('Données projet'!$B$9,Paramètres!$A$1:$I$89,3,0)*VLOOKUP('Données projet'!$B$9,Paramètres!$A$1:$I$89,5,0)</f>
        <v>228.31847999999994</v>
      </c>
      <c r="P72" s="13">
        <f t="shared" si="87"/>
        <v>55.918942466546987</v>
      </c>
      <c r="Q72" s="20">
        <f t="shared" si="54"/>
        <v>495.04684412923598</v>
      </c>
      <c r="R72" s="59">
        <f t="shared" si="55"/>
        <v>788.38017746256924</v>
      </c>
      <c r="S72" s="59">
        <f ca="1">AVERAGE(OFFSET($R$3,0,0,'Données projet'!$E$9+1,1))-AVERAGE(OFFSET($H$3,0,0,'Données projet'!$E$9+1,1))</f>
        <v>328.55631138162721</v>
      </c>
      <c r="T72" s="59">
        <f t="shared" si="88"/>
        <v>321.81422611044985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10.241316046644906</v>
      </c>
      <c r="AA72" s="21">
        <f>EXP(-LN(2)/25)*AA71+(1-EXP(-LN(2)/25))/(LN(2)/25)*Calculateur!V72*Calculateur!X72*VLOOKUP('Données projet'!$B$9,Paramètres!$A$1:$I$89,3,0)*0.475*44/12</f>
        <v>10.814928877909523</v>
      </c>
      <c r="AB72" s="21">
        <f>EXP(-LN(2)/2)*AB71+(1-EXP(-LN(2)/2))/(LN(2)/2)*V72*Y72*VLOOKUP('Données projet'!$B$9,Paramètres!$A$1:$I$89,3,0)*0.475*44/12</f>
        <v>0.6965764667495522</v>
      </c>
      <c r="AC72" s="22">
        <f t="shared" si="57"/>
        <v>21.752821391303979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4.5999999999999996</v>
      </c>
      <c r="AI72" s="13">
        <f>IF('Données projet'!$A$62&gt;35,AI71+AH72-AQ71,IF(A72&lt;'Données projet'!$A$62,$AF$205^A72,IF(A72='Données projet'!$A$62,'Données projet'!$B$62,AI71+AH72-AQ71)))</f>
        <v>311.39999999999992</v>
      </c>
      <c r="AJ72" s="13">
        <f>AI72*VLOOKUP('Données projet'!$B$10,Paramètres!$A$1:$I$89,3,0)*VLOOKUP('Données projet'!$B$10,Paramètres!$A$1:$I$89,5,0)</f>
        <v>247.74983999999995</v>
      </c>
      <c r="AK72" s="13">
        <f t="shared" si="89"/>
        <v>60.103849700617872</v>
      </c>
      <c r="AL72" s="20">
        <f t="shared" si="58"/>
        <v>536.17850956190932</v>
      </c>
      <c r="AM72" s="59">
        <f t="shared" si="59"/>
        <v>829.51184289524258</v>
      </c>
      <c r="AN72" s="59">
        <f ca="1">AVERAGE(OFFSET($AM$3,0,0,'Données projet'!$E$10+1,1))-AVERAGE(OFFSET($H$3,0,0,'Données projet'!$E$10+1,1))</f>
        <v>353.37479213497227</v>
      </c>
      <c r="AO72" s="59">
        <f t="shared" si="90"/>
        <v>345.4750813433123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13.697316810530026</v>
      </c>
      <c r="AV72" s="21">
        <f>EXP(-LN(2)/25)*AV71+(1-EXP(-LN(2)/25))/(LN(2)/25)*Calculateur!AQ72*Calculateur!AS72*VLOOKUP('Données projet'!$B$10,Paramètres!$A$1:$I$89,3,0)*0.475*44/12</f>
        <v>14.464499137550442</v>
      </c>
      <c r="AW72" s="21">
        <f>EXP(-LN(2)/2)*AW71+(1-EXP(-LN(2)/2))/(LN(2)/2)*AQ72*AT72*VLOOKUP('Données projet'!$B$10,Paramètres!$A$1:$I$89,3,0)*0.475*44/12</f>
        <v>0.75585957030270567</v>
      </c>
      <c r="AX72" s="21">
        <f t="shared" si="60"/>
        <v>28.917675518383174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4.5999999999999996</v>
      </c>
      <c r="BD72" s="12">
        <f>IF('Données projet'!$A$88&gt;35,BD71+BC72-BL71,IF(A72&lt;'Données projet'!$A$88,$BA$205^A72,IF(A72='Données projet'!$A$88,'Données projet'!$B$88,BD71+BC72-BL71)))</f>
        <v>311.39999999999992</v>
      </c>
      <c r="BE72" s="13">
        <f>BD72*VLOOKUP('Données projet'!$B$11,Paramètres!$A$1:$I$89,3,0)*VLOOKUP('Données projet'!$B$11,Paramètres!$A$1:$I$89,5,0)</f>
        <v>252.60767999999996</v>
      </c>
      <c r="BF72" s="13">
        <f t="shared" si="91"/>
        <v>61.143998601713257</v>
      </c>
      <c r="BG72" s="20">
        <f t="shared" si="61"/>
        <v>546.4508402313171</v>
      </c>
      <c r="BH72" s="59">
        <f t="shared" si="62"/>
        <v>839.78417356465047</v>
      </c>
      <c r="BI72" s="59">
        <f ca="1">AVERAGE(OFFSET($BH$3,0,0,'Données projet'!$E$11+1,1))-AVERAGE(OFFSET($H$3,0,0,'Données projet'!$E$11+1,1))</f>
        <v>359.57284550600366</v>
      </c>
      <c r="BJ72" s="59">
        <f t="shared" si="92"/>
        <v>351.38386928091433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13.965891649952187</v>
      </c>
      <c r="BQ72" s="21">
        <f>EXP(-LN(2)/25)*BQ71+(1-EXP(-LN(2)/25))/(LN(2)/25)*Calculateur!BL72*Calculateur!BN72*VLOOKUP('Données projet'!$B$11,Paramètres!$A$1:$I$89,3,0)*0.475*44/12</f>
        <v>14.748116767698496</v>
      </c>
      <c r="BR72" s="21">
        <f>EXP(-LN(2)/2)*BR71+(1-EXP(-LN(2)/2))/(LN(2)/2)*BL72*BO72*VLOOKUP('Données projet'!$B$11,Paramètres!$A$1:$I$89,3,0)*0.475*44/12</f>
        <v>0.77068034619099357</v>
      </c>
      <c r="BS72" s="22">
        <f t="shared" si="63"/>
        <v>29.484688763841675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2.5641025641025577</v>
      </c>
      <c r="BY72" s="12">
        <f>IF('Données projet'!$A$114&gt;35,BY71+BX72-CG71,IF(A72&lt;'Données projet'!$A$114,$BV$205^A72,IF(A72='Données projet'!$A$114,'Données projet'!$B$114,BY71+BX72-CG71)))</f>
        <v>111.5384615384615</v>
      </c>
      <c r="BZ72" s="13">
        <f>BY72*VLOOKUP('Données projet'!$B$12,Paramètres!$A$1:$I$89,3,0)*VLOOKUP('Données projet'!$B$12,Paramètres!$A$1:$I$89,5,0)</f>
        <v>90.479999999999976</v>
      </c>
      <c r="CA72" s="13">
        <f t="shared" si="93"/>
        <v>24.680953573367983</v>
      </c>
      <c r="CB72" s="20">
        <f t="shared" si="64"/>
        <v>200.57199414028253</v>
      </c>
      <c r="CC72" s="59">
        <f t="shared" si="65"/>
        <v>493.90532747361584</v>
      </c>
      <c r="CD72" s="59">
        <f ca="1">AVERAGE(OFFSET($CC$3,0,0,'Données projet'!$E$12+1,1))-AVERAGE(OFFSET($H$3,0,0,'Données projet'!$E$12+1,1))</f>
        <v>159.4660488566085</v>
      </c>
      <c r="CE72" s="59">
        <f t="shared" si="94"/>
        <v>135.33030558297088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3.3315923403003631</v>
      </c>
      <c r="CM72" s="21">
        <f>EXP(-LN(2)/2)*CM71+(1-EXP(-LN(2)/2))/(LN(2)/2)*CG72*CJ72*VLOOKUP('Données projet'!$B$12,Paramètres!$A$1:$I$89,3,0)*0.475*44/12</f>
        <v>0.40973740487465327</v>
      </c>
      <c r="CN72" s="22">
        <f t="shared" si="66"/>
        <v>3.7413297451750163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4.5999999999999996</v>
      </c>
      <c r="CT72" s="12">
        <f>IF('Données projet'!$A$140&gt;35,CT71+CS72-DB71,IF(A72&lt;'Données projet'!$A$140,$CQ$205^A72,IF(A72='Données projet'!$A$140,'Données projet'!$B$140,CT71+CS72-DB71)))</f>
        <v>311.39999999999992</v>
      </c>
      <c r="CU72" s="17">
        <f>CT72*VLOOKUP('Données projet'!$B$13,Paramètres!$A$1:$I$89,3,0)*VLOOKUP('Données projet'!$B$13,Paramètres!$A$1:$I$89,5,0)</f>
        <v>247.74983999999995</v>
      </c>
      <c r="CV72" s="13">
        <f t="shared" si="95"/>
        <v>60.103849700617872</v>
      </c>
      <c r="CW72" s="20">
        <f t="shared" si="67"/>
        <v>536.17850956190932</v>
      </c>
      <c r="CX72" s="59">
        <f t="shared" si="68"/>
        <v>829.51184289524258</v>
      </c>
      <c r="CY72" s="59">
        <f ca="1">AVERAGE(OFFSET($CX$3,0,0,'Données projet'!$E$13+1,1))-AVERAGE(OFFSET($H$3,0,0,'Données projet'!$E$13+1,1))</f>
        <v>353.37479213497227</v>
      </c>
      <c r="CZ72" s="59">
        <f t="shared" si="96"/>
        <v>345.4750813433123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13.697316810530026</v>
      </c>
      <c r="DG72" s="21">
        <f>EXP(-LN(2)/25)*DG71+(1-EXP(-LN(2)/25))/(LN(2)/25)*Calculateur!DB72*Calculateur!DD72*VLOOKUP('Données projet'!$B$13,Paramètres!$A$1:$I$89,3,0)*0.475*44/12</f>
        <v>14.464499137550442</v>
      </c>
      <c r="DH72" s="21">
        <f>EXP(-LN(2)/2)*DH71+(1-EXP(-LN(2)/2))/(LN(2)/2)*DB72*DE72*VLOOKUP('Données projet'!$B$13,Paramètres!$A$1:$I$89,3,0)*0.475*44/12</f>
        <v>0.75585957030270567</v>
      </c>
      <c r="DI72" s="22">
        <f t="shared" si="69"/>
        <v>28.917675518383174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9.733749999999997</v>
      </c>
      <c r="DO72" s="12">
        <f>IF('Données projet'!$A$166&gt;35,DO71+DN72-DW71,IF(A72&lt;'Données projet'!$A$166,$DL$205^A72,IF(A72='Données projet'!$A$166,'Données projet'!$B$166,DO71+DN72-DW71)))</f>
        <v>262.29125000000033</v>
      </c>
      <c r="DP72" s="17">
        <f>DO72*VLOOKUP('Données projet'!$B$14,Paramètres!$A$1:$I$89,3,0)*VLOOKUP('Données projet'!$B$14,Paramètres!$A$1:$I$89,5,0)</f>
        <v>237.32112300000028</v>
      </c>
      <c r="DQ72" s="13">
        <f t="shared" si="97"/>
        <v>57.862781053141006</v>
      </c>
      <c r="DR72" s="20">
        <f t="shared" si="70"/>
        <v>514.11196622588784</v>
      </c>
      <c r="DS72" s="59">
        <f t="shared" si="71"/>
        <v>807.44529955922121</v>
      </c>
      <c r="DT72" s="59">
        <f ca="1">AVERAGE(OFFSET($DS$3,0,0,'Données projet'!$E$14+1,1))-AVERAGE(OFFSET($H$3,0,0,'Données projet'!$E$14+1,1))</f>
        <v>635.71275911100679</v>
      </c>
      <c r="DU72" s="59">
        <f t="shared" si="98"/>
        <v>281.7776857269169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7.6145832355561032</v>
      </c>
      <c r="EB72" s="21">
        <f>EXP(-LN(2)/25)*EB71+(1-EXP(-LN(2)/25))/(LN(2)/25)*Calculateur!DW72*Calculateur!DY72*VLOOKUP('Données projet'!$B$14,Paramètres!$A$1:$I$89,3,0)*0.475*44/12</f>
        <v>31.118784879284416</v>
      </c>
      <c r="EC72" s="21">
        <f>EXP(-LN(2)/2)*EC71+(1-EXP(-LN(2)/2))/(LN(2)/2)*DW72*DZ72*VLOOKUP('Données projet'!$B$14,Paramètres!$A$1:$I$89,3,0)*0.475*44/12</f>
        <v>1.8100350889046914</v>
      </c>
      <c r="ED72" s="22">
        <f t="shared" si="72"/>
        <v>40.543403203745207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9.733749999999997</v>
      </c>
      <c r="EJ72" s="12">
        <f>IF('Données projet'!$A$192&gt;35,EJ71+EI72-ER71,IF(A72&lt;'Données projet'!$A$192,$EG$205^A72,IF(A72='Données projet'!$A$192,'Données projet'!$B$192,EJ71+EI72-ER71)))</f>
        <v>262.29125000000033</v>
      </c>
      <c r="EK72" s="17">
        <f>EJ72*VLOOKUP('Données projet'!$B$15,Paramètres!$A$1:$I$89,3,0)*VLOOKUP('Données projet'!$B$15,Paramètres!$A$1:$I$89,5,0)</f>
        <v>175.94497050000021</v>
      </c>
      <c r="EL72" s="13">
        <f t="shared" si="99"/>
        <v>44.418823918165273</v>
      </c>
      <c r="EM72" s="20">
        <f t="shared" si="73"/>
        <v>383.80027527830481</v>
      </c>
      <c r="EN72" s="59">
        <f t="shared" si="74"/>
        <v>677.13360861163812</v>
      </c>
      <c r="EO72" s="59">
        <f ca="1">AVERAGE(OFFSET($EN$3,0,0,'Données projet'!$E$15+1,1))-AVERAGE(OFFSET($H$3,0,0,'Données projet'!$E$15+1,1))</f>
        <v>482.99915419700773</v>
      </c>
      <c r="EP72" s="59">
        <f t="shared" si="100"/>
        <v>219.74157899604279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6.9581536462840266</v>
      </c>
      <c r="EW72" s="21">
        <f>EXP(-LN(2)/25)*EW71+(1-EXP(-LN(2)/25))/(LN(2)/25)*Calculateur!ER72*Calculateur!ET72*VLOOKUP('Données projet'!$B$15,Paramètres!$A$1:$I$89,3,0)*0.475*44/12</f>
        <v>28.436131010380592</v>
      </c>
      <c r="EX72" s="21">
        <f>EXP(-LN(2)/2)*EX71+(1-EXP(-LN(2)/2))/(LN(2)/2)*ER72*EU72*VLOOKUP('Données projet'!$B$15,Paramètres!$A$1:$I$89,3,0)*0.475*44/12</f>
        <v>1.341922565912099</v>
      </c>
      <c r="EY72" s="22">
        <f t="shared" si="75"/>
        <v>36.736207222576716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9.733749999999997</v>
      </c>
      <c r="FE72" s="12">
        <f>IF('Données projet'!$A$218&gt;35,FE71+FD72-FM71,IF(A72&lt;'Données projet'!$A$218,$FB$205^A72,IF(A72='Données projet'!$A$218,'Données projet'!$B$218,FE71+FD72-FM71)))</f>
        <v>262.29125000000033</v>
      </c>
      <c r="FF72" s="17">
        <f>FE72*VLOOKUP('Données projet'!$B$16,Paramètres!$A$1:$I$89,3,0)*VLOOKUP('Données projet'!$B$16,Paramètres!$A$1:$I$89,5,0)</f>
        <v>249.5963535000003</v>
      </c>
      <c r="FG72" s="13">
        <f t="shared" si="101"/>
        <v>60.49949790244262</v>
      </c>
      <c r="FH72" s="20">
        <f t="shared" si="76"/>
        <v>540.0836078592547</v>
      </c>
      <c r="FI72" s="59">
        <f t="shared" si="77"/>
        <v>833.41694119258796</v>
      </c>
      <c r="FJ72" s="59">
        <f ca="1">AVERAGE(OFFSET($FI$3,0,0,'Données projet'!$E$16+1,1))-AVERAGE(OFFSET($H$3,0,0,'Données projet'!$E$16+1,1))</f>
        <v>666.1523645983184</v>
      </c>
      <c r="FK72" s="59">
        <f t="shared" si="102"/>
        <v>294.13851344047526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8.0084409891193502</v>
      </c>
      <c r="FR72" s="21">
        <f>EXP(-LN(2)/25)*FR71+(1-EXP(-LN(2)/25))/(LN(2)/25)*Calculateur!FM72*Calculateur!FO72*VLOOKUP('Données projet'!$B$16,Paramètres!$A$1:$I$89,3,0)*0.475*44/12</f>
        <v>32.728377200626703</v>
      </c>
      <c r="FS72" s="21">
        <f>EXP(-LN(2)/2)*FS71+(1-EXP(-LN(2)/2))/(LN(2)/2)*FM72*FP72*VLOOKUP('Données projet'!$B$16,Paramètres!$A$1:$I$89,3,0)*0.475*44/12</f>
        <v>1.9036575935032101</v>
      </c>
      <c r="FT72" s="22">
        <f t="shared" si="78"/>
        <v>42.640475783249265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316</v>
      </c>
      <c r="L73" s="12">
        <f>VLOOKUP(A73,'Données projet'!$A$35:$I$55,9,0)</f>
        <v>4.5999999999999996</v>
      </c>
      <c r="M73" s="12">
        <f t="array" ref="M73">INDEX(L:L,MIN(IF(ISNUMBER(L73:L269),ROW(L73:L269),"")))</f>
        <v>4.5999999999999996</v>
      </c>
      <c r="N73" s="13">
        <f>IF('Données projet'!$A$36&gt;35,N72+M73-V72,IF(A73&lt;'Données projet'!$A$36,$K$205^A73,IF(A73='Données projet'!$A$36,'Données projet'!$B$36,N72+M73-V72)))</f>
        <v>315.99999999999994</v>
      </c>
      <c r="O73" s="13">
        <f>N73*VLOOKUP('Données projet'!$B$9,Paramètres!$A$1:$I$89,3,0)*VLOOKUP('Données projet'!$B$9,Paramètres!$A$1:$I$89,5,0)</f>
        <v>231.69119999999992</v>
      </c>
      <c r="P73" s="13">
        <f t="shared" si="87"/>
        <v>56.648202447537749</v>
      </c>
      <c r="Q73" s="20">
        <f t="shared" si="54"/>
        <v>502.19112592946141</v>
      </c>
      <c r="R73" s="59">
        <f t="shared" si="55"/>
        <v>795.52445926279472</v>
      </c>
      <c r="S73" s="59">
        <f ca="1">AVERAGE(OFFSET($R$3,0,0,'Données projet'!$E$9+1,1))-AVERAGE(OFFSET($H$3,0,0,'Données projet'!$E$9+1,1))</f>
        <v>328.55631138162721</v>
      </c>
      <c r="T73" s="59">
        <f t="shared" si="88"/>
        <v>321.81422611044985</v>
      </c>
      <c r="U73" s="15">
        <f>IF(ISNA(VLOOKUP(A73,'Données projet'!$A$35:$I$55,3,0)),0,VLOOKUP(A73,'Données projet'!$A$35:$I$55,3,0))</f>
        <v>12</v>
      </c>
      <c r="V73" s="15">
        <f>IF(ISNA(VLOOKUP(A73,'Données projet'!$A$35:$I$55,4,0)),0,VLOOKUP(A73,'Données projet'!$A$35:$I$55,4,0))</f>
        <v>13</v>
      </c>
      <c r="W73" s="16">
        <f>IF(ISNA(VLOOKUP(A73,'Données projet'!$A$35:$I$55,5,0)),0%,VLOOKUP(A73,'Données projet'!$A$35:$I$55,5,0)*VLOOKUP('Données projet'!$B$9,Paramètres!$A$1:$I$89,7,0))</f>
        <v>0.1075</v>
      </c>
      <c r="X73" s="16">
        <f>IF(ISNA(VLOOKUP(A73,'Données projet'!$A$35:$I$55,6,0)),0%,VLOOKUP(A73,'Données projet'!$A$35:$I$55,6,0)*VLOOKUP('Données projet'!$B$9,Paramètres!$A$1:$I$89,7,0))</f>
        <v>0.1075</v>
      </c>
      <c r="Y73" s="16">
        <f>IF(ISNA(VLOOKUP(A73,'Données projet'!$A$35:$I$55,7,0)),0%,VLOOKUP(A73,'Données projet'!$A$35:$I$55,7,0))</f>
        <v>0.25</v>
      </c>
      <c r="Z73" s="21">
        <f>EXP(-LN(2)/35)*Z72+(1-EXP(-LN(2)/35))/(LN(2)/35)*V73*W73*VLOOKUP('Données projet'!$B$9,Paramètres!$A$1:$I$89,3,0)*0.475*44/12</f>
        <v>11.173206993533487</v>
      </c>
      <c r="AA73" s="21">
        <f>EXP(-LN(2)/25)*AA72+(1-EXP(-LN(2)/25))/(LN(2)/25)*Calculateur!V73*Calculateur!X73*VLOOKUP('Données projet'!$B$9,Paramètres!$A$1:$I$89,3,0)*0.475*44/12</f>
        <v>11.647451048922308</v>
      </c>
      <c r="AB73" s="21">
        <f>EXP(-LN(2)/2)*AB72+(1-EXP(-LN(2)/2))/(LN(2)/2)*V73*Y73*VLOOKUP('Données projet'!$B$9,Paramètres!$A$1:$I$89,3,0)*0.475*44/12</f>
        <v>2.7408842280667534</v>
      </c>
      <c r="AC73" s="22">
        <f t="shared" si="57"/>
        <v>25.561542270522551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316</v>
      </c>
      <c r="AG73" s="12">
        <f>VLOOKUP(A73,'Données projet'!$A$61:$I$81,9,0)</f>
        <v>4.5999999999999996</v>
      </c>
      <c r="AH73" s="12">
        <f t="array" ref="AH73">INDEX(AG:AG,MIN(IF(ISNUMBER(AG73:AG269),ROW(AG73:AG269),"")))</f>
        <v>4.5999999999999996</v>
      </c>
      <c r="AI73" s="13">
        <f>IF('Données projet'!$A$62&gt;35,AI72+AH73-AQ72,IF(A73&lt;'Données projet'!$A$62,$AF$205^A73,IF(A73='Données projet'!$A$62,'Données projet'!$B$62,AI72+AH73-AQ72)))</f>
        <v>315.99999999999994</v>
      </c>
      <c r="AJ73" s="13">
        <f>AI73*VLOOKUP('Données projet'!$B$10,Paramètres!$A$1:$I$89,3,0)*VLOOKUP('Données projet'!$B$10,Paramètres!$A$1:$I$89,5,0)</f>
        <v>251.40959999999995</v>
      </c>
      <c r="AK73" s="13">
        <f t="shared" si="89"/>
        <v>60.887686632376123</v>
      </c>
      <c r="AL73" s="20">
        <f t="shared" si="58"/>
        <v>543.917774218055</v>
      </c>
      <c r="AM73" s="59">
        <f t="shared" si="59"/>
        <v>837.25110755138826</v>
      </c>
      <c r="AN73" s="59">
        <f ca="1">AVERAGE(OFFSET($AM$3,0,0,'Données projet'!$E$10+1,1))-AVERAGE(OFFSET($H$3,0,0,'Données projet'!$E$10+1,1))</f>
        <v>353.37479213497227</v>
      </c>
      <c r="AO73" s="59">
        <f t="shared" si="90"/>
        <v>345.4750813433123</v>
      </c>
      <c r="AP73" s="15">
        <f>IF(ISNA(VLOOKUP(A73,'Données projet'!$A$61:$I$81,3,0)),0,VLOOKUP(A73,'Données projet'!$A$61:$I$81,3,0))</f>
        <v>12</v>
      </c>
      <c r="AQ73" s="15">
        <f>IF(ISNA(VLOOKUP(A73,'Données projet'!$A$61:$I$81,4,0)),0,VLOOKUP(A73,'Données projet'!$A$61:$I$81,4,0))</f>
        <v>13</v>
      </c>
      <c r="AR73" s="16">
        <f>IF(ISNA(VLOOKUP(A73,'Données projet'!$A$61:$I$81,5,0)),0%,VLOOKUP(A73,'Données projet'!$A$61:$I$81,5,0)*VLOOKUP('Données projet'!$B$10,Paramètres!$A$1:$I$89,7,0))</f>
        <v>0.13250000000000001</v>
      </c>
      <c r="AS73" s="16">
        <f>IF(ISNA(VLOOKUP(A73,'Données projet'!$A$61:$I$81,6,0)),0%,VLOOKUP(A73,'Données projet'!$A$61:$I$81,6,0)*VLOOKUP('Données projet'!$B$10,Paramètres!$A$1:$I$89,7,0))</f>
        <v>0.13250000000000001</v>
      </c>
      <c r="AT73" s="16">
        <f>IF(ISNA(VLOOKUP(A73,'Données projet'!$A$61:$I$81,7,0)),0%,VLOOKUP(A73,'Données projet'!$A$61:$I$81,7,0))</f>
        <v>0.25</v>
      </c>
      <c r="AU73" s="21">
        <f>EXP(-LN(2)/35)*AU72+(1-EXP(-LN(2)/35))/(LN(2)/35)*AQ73*AR73*VLOOKUP('Données projet'!$B$10,Paramètres!$A$1:$I$89,3,0)*0.475*44/12</f>
        <v>14.94368060540377</v>
      </c>
      <c r="AV73" s="21">
        <f>EXP(-LN(2)/25)*AV72+(1-EXP(-LN(2)/25))/(LN(2)/25)*Calculateur!AQ73*Calculateur!AS73*VLOOKUP('Données projet'!$B$10,Paramètres!$A$1:$I$89,3,0)*0.475*44/12</f>
        <v>15.57796149690104</v>
      </c>
      <c r="AW73" s="21">
        <f>EXP(-LN(2)/2)*AW72+(1-EXP(-LN(2)/2))/(LN(2)/2)*AQ73*AT73*VLOOKUP('Données projet'!$B$10,Paramètres!$A$1:$I$89,3,0)*0.475*44/12</f>
        <v>2.9741509708809453</v>
      </c>
      <c r="AX73" s="21">
        <f t="shared" si="60"/>
        <v>33.495793073185752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316</v>
      </c>
      <c r="BB73" s="12">
        <f>VLOOKUP(A73,'Données projet'!$A$87:$I$107,9,0)</f>
        <v>4.5999999999999996</v>
      </c>
      <c r="BC73" s="12">
        <f t="array" ref="BC73">INDEX(BB:BB,MIN(IF(ISNUMBER(BB73:BB269),ROW(BB73:BB269),"")))</f>
        <v>4.5999999999999996</v>
      </c>
      <c r="BD73" s="12">
        <f>IF('Données projet'!$A$88&gt;35,BD72+BC73-BL72,IF(A73&lt;'Données projet'!$A$88,$BA$205^A73,IF(A73='Données projet'!$A$88,'Données projet'!$B$88,BD72+BC73-BL72)))</f>
        <v>315.99999999999994</v>
      </c>
      <c r="BE73" s="13">
        <f>BD73*VLOOKUP('Données projet'!$B$11,Paramètres!$A$1:$I$89,3,0)*VLOOKUP('Données projet'!$B$11,Paramètres!$A$1:$I$89,5,0)</f>
        <v>256.33919999999995</v>
      </c>
      <c r="BF73" s="13">
        <f t="shared" si="91"/>
        <v>61.941400506884484</v>
      </c>
      <c r="BG73" s="20">
        <f t="shared" si="61"/>
        <v>554.33871254949031</v>
      </c>
      <c r="BH73" s="59">
        <f t="shared" si="62"/>
        <v>847.67204588282357</v>
      </c>
      <c r="BI73" s="59">
        <f ca="1">AVERAGE(OFFSET($BH$3,0,0,'Données projet'!$E$11+1,1))-AVERAGE(OFFSET($H$3,0,0,'Données projet'!$E$11+1,1))</f>
        <v>359.57284550600366</v>
      </c>
      <c r="BJ73" s="59">
        <f t="shared" si="92"/>
        <v>351.38386928091433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13</v>
      </c>
      <c r="BM73" s="16">
        <f>IF(ISNA(VLOOKUP(A73,'Données projet'!$A$87:$I$107,5,0)),0%,VLOOKUP(A73,'Données projet'!$A$87:$I$107,5,0)*VLOOKUP('Données projet'!$B$11,Paramètres!$A$1:$I$89,7,0))</f>
        <v>0.13250000000000001</v>
      </c>
      <c r="BN73" s="16">
        <f>IF(ISNA(VLOOKUP(A73,'Données projet'!$A$87:$I$107,6,0)),0%,VLOOKUP(A73,'Données projet'!$A$87:$I$107,6,0)*VLOOKUP('Données projet'!$B$11,Paramètres!$A$1:$I$89,7,0))</f>
        <v>0.13250000000000001</v>
      </c>
      <c r="BO73" s="16">
        <f>IF(ISNA(VLOOKUP(A73,'Données projet'!$A$87:$I$107,7,0)),0%,VLOOKUP(A73,'Données projet'!$A$87:$I$107,7,0))</f>
        <v>0.25</v>
      </c>
      <c r="BP73" s="21">
        <f>EXP(-LN(2)/35)*BP72+(1-EXP(-LN(2)/35))/(LN(2)/35)*BL73*BM73*VLOOKUP('Données projet'!$B$11,Paramètres!$A$1:$I$89,3,0)*0.475*44/12</f>
        <v>15.236693950607769</v>
      </c>
      <c r="BQ73" s="21">
        <f>EXP(-LN(2)/25)*BQ72+(1-EXP(-LN(2)/25))/(LN(2)/25)*Calculateur!BL73*Calculateur!BN73*VLOOKUP('Données projet'!$B$11,Paramètres!$A$1:$I$89,3,0)*0.475*44/12</f>
        <v>15.883411722330479</v>
      </c>
      <c r="BR73" s="21">
        <f>EXP(-LN(2)/2)*BR72+(1-EXP(-LN(2)/2))/(LN(2)/2)*BL73*BO73*VLOOKUP('Données projet'!$B$11,Paramètres!$A$1:$I$89,3,0)*0.475*44/12</f>
        <v>3.0324676565844926</v>
      </c>
      <c r="BS73" s="22">
        <f t="shared" si="63"/>
        <v>34.152573329522738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114.10256410256409</v>
      </c>
      <c r="BW73" s="12">
        <f>VLOOKUP(A73,'Données projet'!$A$113:$I$133,9,0)</f>
        <v>2.5641025641025577</v>
      </c>
      <c r="BX73" s="12">
        <f t="array" ref="BX73">INDEX(BW:BW,MIN(IF(ISNUMBER(BW73:BW269),ROW(BW73:BW269),"")))</f>
        <v>2.5641025641025577</v>
      </c>
      <c r="BY73" s="12">
        <f>IF('Données projet'!$A$114&gt;35,BY72+BX73-CG72,IF(A73&lt;'Données projet'!$A$114,$BV$205^A73,IF(A73='Données projet'!$A$114,'Données projet'!$B$114,BY72+BX73-CG72)))</f>
        <v>114.10256410256406</v>
      </c>
      <c r="BZ73" s="13">
        <f>BY73*VLOOKUP('Données projet'!$B$12,Paramètres!$A$1:$I$89,3,0)*VLOOKUP('Données projet'!$B$12,Paramètres!$A$1:$I$89,5,0)</f>
        <v>92.559999999999974</v>
      </c>
      <c r="CA73" s="13">
        <f t="shared" si="93"/>
        <v>25.181623906063926</v>
      </c>
      <c r="CB73" s="20">
        <f t="shared" si="64"/>
        <v>205.06666163639463</v>
      </c>
      <c r="CC73" s="59">
        <f t="shared" si="65"/>
        <v>498.39999496972791</v>
      </c>
      <c r="CD73" s="59">
        <f ca="1">AVERAGE(OFFSET($CC$3,0,0,'Données projet'!$E$12+1,1))-AVERAGE(OFFSET($H$3,0,0,'Données projet'!$E$12+1,1))</f>
        <v>159.4660488566085</v>
      </c>
      <c r="CE73" s="59">
        <f t="shared" si="94"/>
        <v>135.33030558297088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7.0512820512820511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0.1075</v>
      </c>
      <c r="CJ73" s="16">
        <f>IF(ISNA(VLOOKUP(A73,'Données projet'!$A$113:$I$133,7,0)),0%,VLOOKUP(A73,'Données projet'!$A$113:$I$133,7,0))</f>
        <v>0.25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3.9175670594622471</v>
      </c>
      <c r="CM73" s="21">
        <f>EXP(-LN(2)/2)*CM72+(1-EXP(-LN(2)/2))/(LN(2)/2)*CG73*CJ73*VLOOKUP('Données projet'!$B$12,Paramètres!$A$1:$I$89,3,0)*0.475*44/12</f>
        <v>1.6389715853783506</v>
      </c>
      <c r="CN73" s="22">
        <f t="shared" si="66"/>
        <v>5.5565386448405976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316</v>
      </c>
      <c r="CR73" s="12">
        <f>VLOOKUP(A73,'Données projet'!$A$139:$I$159,9,0)</f>
        <v>4.5999999999999996</v>
      </c>
      <c r="CS73" s="12">
        <f t="array" ref="CS73">INDEX(CR:CR,MIN(IF(ISNUMBER(CR73:CR269),ROW(CR73:CR269),"")))</f>
        <v>4.5999999999999996</v>
      </c>
      <c r="CT73" s="12">
        <f>IF('Données projet'!$A$140&gt;35,CT72+CS73-DB72,IF(A73&lt;'Données projet'!$A$140,$CQ$205^A73,IF(A73='Données projet'!$A$140,'Données projet'!$B$140,CT72+CS73-DB72)))</f>
        <v>315.99999999999994</v>
      </c>
      <c r="CU73" s="17">
        <f>CT73*VLOOKUP('Données projet'!$B$13,Paramètres!$A$1:$I$89,3,0)*VLOOKUP('Données projet'!$B$13,Paramètres!$A$1:$I$89,5,0)</f>
        <v>251.40959999999995</v>
      </c>
      <c r="CV73" s="13">
        <f t="shared" si="95"/>
        <v>60.887686632376123</v>
      </c>
      <c r="CW73" s="20">
        <f t="shared" si="67"/>
        <v>543.917774218055</v>
      </c>
      <c r="CX73" s="59">
        <f t="shared" si="68"/>
        <v>837.25110755138826</v>
      </c>
      <c r="CY73" s="59">
        <f ca="1">AVERAGE(OFFSET($CX$3,0,0,'Données projet'!$E$13+1,1))-AVERAGE(OFFSET($H$3,0,0,'Données projet'!$E$13+1,1))</f>
        <v>353.37479213497227</v>
      </c>
      <c r="CZ73" s="59">
        <f t="shared" si="96"/>
        <v>345.4750813433123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13</v>
      </c>
      <c r="DC73" s="16">
        <f>IF(ISNA(VLOOKUP(A73,'Données projet'!$A$139:$I$159,5,0)),0%,VLOOKUP(A73,'Données projet'!$A$139:$I$159,5,0)*VLOOKUP('Données projet'!$B$13,Paramètres!$A$1:$I$89,7,0))</f>
        <v>0.13250000000000001</v>
      </c>
      <c r="DD73" s="16">
        <f>IF(ISNA(VLOOKUP(A73,'Données projet'!$A$139:$I$159,6,0)),0%,VLOOKUP(A73,'Données projet'!$A$139:$I$159,6,0)*VLOOKUP('Données projet'!$B$13,Paramètres!$A$1:$I$89,7,0))</f>
        <v>0.13250000000000001</v>
      </c>
      <c r="DE73" s="16">
        <f>IF(ISNA(VLOOKUP(A73,'Données projet'!$A$139:$I$159,7,0)),0%,VLOOKUP(A73,'Données projet'!$A$139:$I$159,7,0))</f>
        <v>0.25</v>
      </c>
      <c r="DF73" s="21">
        <f>EXP(-LN(2)/35)*DF72+(1-EXP(-LN(2)/35))/(LN(2)/35)*DB73*DC73*VLOOKUP('Données projet'!$B$13,Paramètres!$A$1:$I$89,3,0)*0.475*44/12</f>
        <v>14.94368060540377</v>
      </c>
      <c r="DG73" s="21">
        <f>EXP(-LN(2)/25)*DG72+(1-EXP(-LN(2)/25))/(LN(2)/25)*Calculateur!DB73*Calculateur!DD73*VLOOKUP('Données projet'!$B$13,Paramètres!$A$1:$I$89,3,0)*0.475*44/12</f>
        <v>15.57796149690104</v>
      </c>
      <c r="DH73" s="21">
        <f>EXP(-LN(2)/2)*DH72+(1-EXP(-LN(2)/2))/(LN(2)/2)*DB73*DE73*VLOOKUP('Données projet'!$B$13,Paramètres!$A$1:$I$89,3,0)*0.475*44/12</f>
        <v>2.9741509708809453</v>
      </c>
      <c r="DI73" s="22">
        <f t="shared" si="69"/>
        <v>33.495793073185752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9.733749999999997</v>
      </c>
      <c r="DO73" s="12">
        <f>IF('Données projet'!$A$166&gt;35,DO72+DN73-DW72,IF(A73&lt;'Données projet'!$A$166,$DL$205^A73,IF(A73='Données projet'!$A$166,'Données projet'!$B$166,DO72+DN73-DW72)))</f>
        <v>272.02500000000032</v>
      </c>
      <c r="DP73" s="17">
        <f>DO73*VLOOKUP('Données projet'!$B$14,Paramètres!$A$1:$I$89,3,0)*VLOOKUP('Données projet'!$B$14,Paramètres!$A$1:$I$89,5,0)</f>
        <v>246.12822000000025</v>
      </c>
      <c r="DQ73" s="13">
        <f t="shared" si="97"/>
        <v>59.756105801003123</v>
      </c>
      <c r="DR73" s="20">
        <f t="shared" si="70"/>
        <v>532.74853410341427</v>
      </c>
      <c r="DS73" s="59">
        <f t="shared" si="71"/>
        <v>826.08186743674764</v>
      </c>
      <c r="DT73" s="59">
        <f ca="1">AVERAGE(OFFSET($DS$3,0,0,'Données projet'!$E$14+1,1))-AVERAGE(OFFSET($H$3,0,0,'Données projet'!$E$14+1,1))</f>
        <v>635.71275911100679</v>
      </c>
      <c r="DU73" s="59">
        <f t="shared" si="98"/>
        <v>281.7776857269169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7.4652659027440214</v>
      </c>
      <c r="EB73" s="21">
        <f>EXP(-LN(2)/25)*EB72+(1-EXP(-LN(2)/25))/(LN(2)/25)*Calculateur!DW73*Calculateur!DY73*VLOOKUP('Données projet'!$B$14,Paramètres!$A$1:$I$89,3,0)*0.475*44/12</f>
        <v>30.267840070294611</v>
      </c>
      <c r="EC73" s="21">
        <f>EXP(-LN(2)/2)*EC72+(1-EXP(-LN(2)/2))/(LN(2)/2)*DW73*DZ73*VLOOKUP('Données projet'!$B$14,Paramètres!$A$1:$I$89,3,0)*0.475*44/12</f>
        <v>1.2798880855501029</v>
      </c>
      <c r="ED73" s="22">
        <f t="shared" si="72"/>
        <v>39.012994058588738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9.733749999999997</v>
      </c>
      <c r="EJ73" s="12">
        <f>IF('Données projet'!$A$192&gt;35,EJ72+EI73-ER72,IF(A73&lt;'Données projet'!$A$192,$EG$205^A73,IF(A73='Données projet'!$A$192,'Données projet'!$B$192,EJ72+EI73-ER72)))</f>
        <v>272.02500000000032</v>
      </c>
      <c r="EK73" s="17">
        <f>EJ73*VLOOKUP('Données projet'!$B$15,Paramètres!$A$1:$I$89,3,0)*VLOOKUP('Données projet'!$B$15,Paramètres!$A$1:$I$89,5,0)</f>
        <v>182.47437000000022</v>
      </c>
      <c r="EL73" s="13">
        <f t="shared" si="99"/>
        <v>45.872249713893197</v>
      </c>
      <c r="EM73" s="20">
        <f t="shared" si="73"/>
        <v>397.70369600169761</v>
      </c>
      <c r="EN73" s="59">
        <f t="shared" si="74"/>
        <v>691.03702933503087</v>
      </c>
      <c r="EO73" s="59">
        <f ca="1">AVERAGE(OFFSET($EN$3,0,0,'Données projet'!$E$15+1,1))-AVERAGE(OFFSET($H$3,0,0,'Données projet'!$E$15+1,1))</f>
        <v>482.99915419700773</v>
      </c>
      <c r="EP73" s="59">
        <f t="shared" si="100"/>
        <v>219.74157899604279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6.821708497335055</v>
      </c>
      <c r="EW73" s="21">
        <f>EXP(-LN(2)/25)*EW72+(1-EXP(-LN(2)/25))/(LN(2)/25)*Calculateur!ER73*Calculateur!ET73*VLOOKUP('Données projet'!$B$15,Paramètres!$A$1:$I$89,3,0)*0.475*44/12</f>
        <v>27.658543512510597</v>
      </c>
      <c r="EX73" s="21">
        <f>EXP(-LN(2)/2)*EX72+(1-EXP(-LN(2)/2))/(LN(2)/2)*ER73*EU73*VLOOKUP('Données projet'!$B$15,Paramètres!$A$1:$I$89,3,0)*0.475*44/12</f>
        <v>0.94888254618369705</v>
      </c>
      <c r="EY73" s="22">
        <f t="shared" si="75"/>
        <v>35.429134556029346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9.733749999999997</v>
      </c>
      <c r="FE73" s="12">
        <f>IF('Données projet'!$A$218&gt;35,FE72+FD73-FM72,IF(A73&lt;'Données projet'!$A$218,$FB$205^A73,IF(A73='Données projet'!$A$218,'Données projet'!$B$218,FE72+FD73-FM72)))</f>
        <v>272.02500000000032</v>
      </c>
      <c r="FF73" s="17">
        <f>FE73*VLOOKUP('Données projet'!$B$16,Paramètres!$A$1:$I$89,3,0)*VLOOKUP('Données projet'!$B$16,Paramètres!$A$1:$I$89,5,0)</f>
        <v>258.85899000000029</v>
      </c>
      <c r="FG73" s="13">
        <f t="shared" si="101"/>
        <v>62.47909851145463</v>
      </c>
      <c r="FH73" s="20">
        <f t="shared" si="76"/>
        <v>559.66383749078398</v>
      </c>
      <c r="FI73" s="59">
        <f t="shared" si="77"/>
        <v>852.99717082411735</v>
      </c>
      <c r="FJ73" s="59">
        <f ca="1">AVERAGE(OFFSET($FI$3,0,0,'Données projet'!$E$16+1,1))-AVERAGE(OFFSET($H$3,0,0,'Données projet'!$E$16+1,1))</f>
        <v>666.1523645983184</v>
      </c>
      <c r="FK73" s="59">
        <f t="shared" si="102"/>
        <v>294.13851344047526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7.8514003459894024</v>
      </c>
      <c r="FR73" s="21">
        <f>EXP(-LN(2)/25)*FR72+(1-EXP(-LN(2)/25))/(LN(2)/25)*Calculateur!FM73*Calculateur!FO73*VLOOKUP('Données projet'!$B$16,Paramètres!$A$1:$I$89,3,0)*0.475*44/12</f>
        <v>31.833418004965012</v>
      </c>
      <c r="FS73" s="21">
        <f>EXP(-LN(2)/2)*FS72+(1-EXP(-LN(2)/2))/(LN(2)/2)*FM73*FP73*VLOOKUP('Données projet'!$B$16,Paramètres!$A$1:$I$89,3,0)*0.475*44/12</f>
        <v>1.3460891934233841</v>
      </c>
      <c r="FT73" s="22">
        <f t="shared" si="78"/>
        <v>41.030907544377797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4.2</v>
      </c>
      <c r="N74" s="13">
        <f>IF('Données projet'!$A$36&gt;35,N73+M74-V73,IF(A74&lt;'Données projet'!$A$36,$K$205^A74,IF(A74='Données projet'!$A$36,'Données projet'!$B$36,N73+M74-V73)))</f>
        <v>307.19999999999993</v>
      </c>
      <c r="O74" s="13">
        <f>N74*VLOOKUP('Données projet'!$B$9,Paramètres!$A$1:$I$89,3,0)*VLOOKUP('Données projet'!$B$9,Paramètres!$A$1:$I$89,5,0)</f>
        <v>225.23903999999993</v>
      </c>
      <c r="P74" s="13">
        <f t="shared" si="87"/>
        <v>55.252000822487368</v>
      </c>
      <c r="Q74" s="20">
        <f t="shared" si="54"/>
        <v>488.52189609916542</v>
      </c>
      <c r="R74" s="59">
        <f t="shared" si="55"/>
        <v>781.85522943249873</v>
      </c>
      <c r="S74" s="59">
        <f ca="1">AVERAGE(OFFSET($R$3,0,0,'Données projet'!$E$9+1,1))-AVERAGE(OFFSET($H$3,0,0,'Données projet'!$E$9+1,1))</f>
        <v>328.55631138162721</v>
      </c>
      <c r="T74" s="59">
        <f t="shared" si="88"/>
        <v>321.81422611044985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10.954107219373638</v>
      </c>
      <c r="AA74" s="21">
        <f>EXP(-LN(2)/25)*AA73+(1-EXP(-LN(2)/25))/(LN(2)/25)*Calculateur!V74*Calculateur!X74*VLOOKUP('Données projet'!$B$9,Paramètres!$A$1:$I$89,3,0)*0.475*44/12</f>
        <v>11.328950887476697</v>
      </c>
      <c r="AB74" s="21">
        <f>EXP(-LN(2)/2)*AB73+(1-EXP(-LN(2)/2))/(LN(2)/2)*V74*Y74*VLOOKUP('Données projet'!$B$9,Paramètres!$A$1:$I$89,3,0)*0.475*44/12</f>
        <v>1.9380978241132572</v>
      </c>
      <c r="AC74" s="22">
        <f t="shared" si="57"/>
        <v>24.22115593096359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4.2</v>
      </c>
      <c r="AI74" s="13">
        <f>IF('Données projet'!$A$62&gt;35,AI73+AH74-AQ73,IF(A74&lt;'Données projet'!$A$62,$AF$205^A74,IF(A74='Données projet'!$A$62,'Données projet'!$B$62,AI73+AH74-AQ73)))</f>
        <v>307.19999999999993</v>
      </c>
      <c r="AJ74" s="13">
        <f>AI74*VLOOKUP('Données projet'!$B$10,Paramètres!$A$1:$I$89,3,0)*VLOOKUP('Données projet'!$B$10,Paramètres!$A$1:$I$89,5,0)</f>
        <v>244.40831999999995</v>
      </c>
      <c r="AK74" s="13">
        <f t="shared" si="89"/>
        <v>59.38699493610541</v>
      </c>
      <c r="AL74" s="20">
        <f t="shared" si="58"/>
        <v>529.11017351371675</v>
      </c>
      <c r="AM74" s="59">
        <f t="shared" si="59"/>
        <v>822.44350684705</v>
      </c>
      <c r="AN74" s="59">
        <f ca="1">AVERAGE(OFFSET($AM$3,0,0,'Données projet'!$E$10+1,1))-AVERAGE(OFFSET($H$3,0,0,'Données projet'!$E$10+1,1))</f>
        <v>353.37479213497227</v>
      </c>
      <c r="AO74" s="59">
        <f t="shared" si="90"/>
        <v>345.4750813433123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14.650644143476965</v>
      </c>
      <c r="AV74" s="21">
        <f>EXP(-LN(2)/25)*AV73+(1-EXP(-LN(2)/25))/(LN(2)/25)*Calculateur!AQ74*Calculateur!AS74*VLOOKUP('Données projet'!$B$10,Paramètres!$A$1:$I$89,3,0)*0.475*44/12</f>
        <v>15.151981320558889</v>
      </c>
      <c r="AW74" s="21">
        <f>EXP(-LN(2)/2)*AW73+(1-EXP(-LN(2)/2))/(LN(2)/2)*AQ74*AT74*VLOOKUP('Données projet'!$B$10,Paramètres!$A$1:$I$89,3,0)*0.475*44/12</f>
        <v>2.1030423197824706</v>
      </c>
      <c r="AX74" s="21">
        <f t="shared" si="60"/>
        <v>31.905667783818327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4.2</v>
      </c>
      <c r="BD74" s="12">
        <f>IF('Données projet'!$A$88&gt;35,BD73+BC74-BL73,IF(A74&lt;'Données projet'!$A$88,$BA$205^A74,IF(A74='Données projet'!$A$88,'Données projet'!$B$88,BD73+BC74-BL73)))</f>
        <v>307.19999999999993</v>
      </c>
      <c r="BE74" s="13">
        <f>BD74*VLOOKUP('Données projet'!$B$11,Paramètres!$A$1:$I$89,3,0)*VLOOKUP('Données projet'!$B$11,Paramètres!$A$1:$I$89,5,0)</f>
        <v>249.20063999999996</v>
      </c>
      <c r="BF74" s="13">
        <f t="shared" si="91"/>
        <v>60.414738047899995</v>
      </c>
      <c r="BG74" s="20">
        <f t="shared" si="61"/>
        <v>539.24678343342578</v>
      </c>
      <c r="BH74" s="59">
        <f t="shared" si="62"/>
        <v>832.58011676675915</v>
      </c>
      <c r="BI74" s="59">
        <f ca="1">AVERAGE(OFFSET($BH$3,0,0,'Données projet'!$E$11+1,1))-AVERAGE(OFFSET($H$3,0,0,'Données projet'!$E$11+1,1))</f>
        <v>359.57284550600366</v>
      </c>
      <c r="BJ74" s="59">
        <f t="shared" si="92"/>
        <v>351.38386928091433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14.937911675702008</v>
      </c>
      <c r="BQ74" s="21">
        <f>EXP(-LN(2)/25)*BQ73+(1-EXP(-LN(2)/25))/(LN(2)/25)*Calculateur!BL74*Calculateur!BN74*VLOOKUP('Données projet'!$B$11,Paramètres!$A$1:$I$89,3,0)*0.475*44/12</f>
        <v>15.449078993511032</v>
      </c>
      <c r="BR74" s="21">
        <f>EXP(-LN(2)/2)*BR73+(1-EXP(-LN(2)/2))/(LN(2)/2)*BL74*BO74*VLOOKUP('Données projet'!$B$11,Paramètres!$A$1:$I$89,3,0)*0.475*44/12</f>
        <v>2.1442784436997733</v>
      </c>
      <c r="BS74" s="22">
        <f t="shared" si="63"/>
        <v>32.531269112912817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2.3076923076923093</v>
      </c>
      <c r="BY74" s="12">
        <f>IF('Données projet'!$A$114&gt;35,BY73+BX74-CG73,IF(A74&lt;'Données projet'!$A$114,$BV$205^A74,IF(A74='Données projet'!$A$114,'Données projet'!$B$114,BY73+BX74-CG73)))</f>
        <v>109.35897435897431</v>
      </c>
      <c r="BZ74" s="13">
        <f>BY74*VLOOKUP('Données projet'!$B$12,Paramètres!$A$1:$I$89,3,0)*VLOOKUP('Données projet'!$B$12,Paramètres!$A$1:$I$89,5,0)</f>
        <v>88.711999999999961</v>
      </c>
      <c r="CA74" s="13">
        <f t="shared" si="93"/>
        <v>24.254330290837913</v>
      </c>
      <c r="CB74" s="20">
        <f t="shared" si="64"/>
        <v>196.74969192320927</v>
      </c>
      <c r="CC74" s="59">
        <f t="shared" si="65"/>
        <v>490.08302525654256</v>
      </c>
      <c r="CD74" s="59">
        <f ca="1">AVERAGE(OFFSET($CC$3,0,0,'Données projet'!$E$12+1,1))-AVERAGE(OFFSET($H$3,0,0,'Données projet'!$E$12+1,1))</f>
        <v>159.4660488566085</v>
      </c>
      <c r="CE74" s="59">
        <f t="shared" si="94"/>
        <v>135.33030558297088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3.8104409822053542</v>
      </c>
      <c r="CM74" s="21">
        <f>EXP(-LN(2)/2)*CM73+(1-EXP(-LN(2)/2))/(LN(2)/2)*CG74*CJ74*VLOOKUP('Données projet'!$B$12,Paramètres!$A$1:$I$89,3,0)*0.475*44/12</f>
        <v>1.1589279221930984</v>
      </c>
      <c r="CN74" s="22">
        <f t="shared" si="66"/>
        <v>4.9693689043984524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4.2</v>
      </c>
      <c r="CT74" s="12">
        <f>IF('Données projet'!$A$140&gt;35,CT73+CS74-DB73,IF(A74&lt;'Données projet'!$A$140,$CQ$205^A74,IF(A74='Données projet'!$A$140,'Données projet'!$B$140,CT73+CS74-DB73)))</f>
        <v>307.19999999999993</v>
      </c>
      <c r="CU74" s="17">
        <f>CT74*VLOOKUP('Données projet'!$B$13,Paramètres!$A$1:$I$89,3,0)*VLOOKUP('Données projet'!$B$13,Paramètres!$A$1:$I$89,5,0)</f>
        <v>244.40831999999995</v>
      </c>
      <c r="CV74" s="13">
        <f t="shared" si="95"/>
        <v>59.38699493610541</v>
      </c>
      <c r="CW74" s="20">
        <f t="shared" si="67"/>
        <v>529.11017351371675</v>
      </c>
      <c r="CX74" s="59">
        <f t="shared" si="68"/>
        <v>822.44350684705</v>
      </c>
      <c r="CY74" s="59">
        <f ca="1">AVERAGE(OFFSET($CX$3,0,0,'Données projet'!$E$13+1,1))-AVERAGE(OFFSET($H$3,0,0,'Données projet'!$E$13+1,1))</f>
        <v>353.37479213497227</v>
      </c>
      <c r="CZ74" s="59">
        <f t="shared" si="96"/>
        <v>345.4750813433123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14.650644143476965</v>
      </c>
      <c r="DG74" s="21">
        <f>EXP(-LN(2)/25)*DG73+(1-EXP(-LN(2)/25))/(LN(2)/25)*Calculateur!DB74*Calculateur!DD74*VLOOKUP('Données projet'!$B$13,Paramètres!$A$1:$I$89,3,0)*0.475*44/12</f>
        <v>15.151981320558889</v>
      </c>
      <c r="DH74" s="21">
        <f>EXP(-LN(2)/2)*DH73+(1-EXP(-LN(2)/2))/(LN(2)/2)*DB74*DE74*VLOOKUP('Données projet'!$B$13,Paramètres!$A$1:$I$89,3,0)*0.475*44/12</f>
        <v>2.1030423197824706</v>
      </c>
      <c r="DI74" s="22">
        <f t="shared" si="69"/>
        <v>31.905667783818327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9.733749999999997</v>
      </c>
      <c r="DO74" s="12">
        <f>IF('Données projet'!$A$166&gt;35,DO73+DN74-DW73,IF(A74&lt;'Données projet'!$A$166,$DL$205^A74,IF(A74='Données projet'!$A$166,'Données projet'!$B$166,DO73+DN74-DW73)))</f>
        <v>281.7587500000003</v>
      </c>
      <c r="DP74" s="17">
        <f>DO74*VLOOKUP('Données projet'!$B$14,Paramètres!$A$1:$I$89,3,0)*VLOOKUP('Données projet'!$B$14,Paramètres!$A$1:$I$89,5,0)</f>
        <v>254.93531700000028</v>
      </c>
      <c r="DQ74" s="13">
        <f t="shared" si="97"/>
        <v>61.641559307209917</v>
      </c>
      <c r="DR74" s="20">
        <f t="shared" si="70"/>
        <v>551.37139290172445</v>
      </c>
      <c r="DS74" s="59">
        <f t="shared" si="71"/>
        <v>844.70472623505771</v>
      </c>
      <c r="DT74" s="59">
        <f ca="1">AVERAGE(OFFSET($DS$3,0,0,'Données projet'!$E$14+1,1))-AVERAGE(OFFSET($H$3,0,0,'Données projet'!$E$14+1,1))</f>
        <v>635.71275911100679</v>
      </c>
      <c r="DU74" s="59">
        <f t="shared" si="98"/>
        <v>281.7776857269169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7.3188765917538046</v>
      </c>
      <c r="EB74" s="21">
        <f>EXP(-LN(2)/25)*EB73+(1-EXP(-LN(2)/25))/(LN(2)/25)*Calculateur!DW74*Calculateur!DY74*VLOOKUP('Données projet'!$B$14,Paramètres!$A$1:$I$89,3,0)*0.475*44/12</f>
        <v>29.440164391855873</v>
      </c>
      <c r="EC74" s="21">
        <f>EXP(-LN(2)/2)*EC73+(1-EXP(-LN(2)/2))/(LN(2)/2)*DW74*DZ74*VLOOKUP('Données projet'!$B$14,Paramètres!$A$1:$I$89,3,0)*0.475*44/12</f>
        <v>0.90501754445234595</v>
      </c>
      <c r="ED74" s="22">
        <f t="shared" si="72"/>
        <v>37.664058528062029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9.733749999999997</v>
      </c>
      <c r="EJ74" s="12">
        <f>IF('Données projet'!$A$192&gt;35,EJ73+EI74-ER73,IF(A74&lt;'Données projet'!$A$192,$EG$205^A74,IF(A74='Données projet'!$A$192,'Données projet'!$B$192,EJ73+EI74-ER73)))</f>
        <v>281.7587500000003</v>
      </c>
      <c r="EK74" s="17">
        <f>EJ74*VLOOKUP('Données projet'!$B$15,Paramètres!$A$1:$I$89,3,0)*VLOOKUP('Données projet'!$B$15,Paramètres!$A$1:$I$89,5,0)</f>
        <v>189.0037695000002</v>
      </c>
      <c r="EL74" s="13">
        <f t="shared" si="99"/>
        <v>47.319633088383469</v>
      </c>
      <c r="EM74" s="20">
        <f t="shared" si="73"/>
        <v>411.59659284143487</v>
      </c>
      <c r="EN74" s="59">
        <f t="shared" si="74"/>
        <v>704.92992617476818</v>
      </c>
      <c r="EO74" s="59">
        <f ca="1">AVERAGE(OFFSET($EN$3,0,0,'Données projet'!$E$15+1,1))-AVERAGE(OFFSET($H$3,0,0,'Données projet'!$E$15+1,1))</f>
        <v>482.99915419700773</v>
      </c>
      <c r="EP74" s="59">
        <f t="shared" si="100"/>
        <v>219.74157899604279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6.6879389545336503</v>
      </c>
      <c r="EW74" s="21">
        <f>EXP(-LN(2)/25)*EW73+(1-EXP(-LN(2)/25))/(LN(2)/25)*Calculateur!ER74*Calculateur!ET74*VLOOKUP('Données projet'!$B$15,Paramètres!$A$1:$I$89,3,0)*0.475*44/12</f>
        <v>26.902219185661405</v>
      </c>
      <c r="EX74" s="21">
        <f>EXP(-LN(2)/2)*EX73+(1-EXP(-LN(2)/2))/(LN(2)/2)*ER74*EU74*VLOOKUP('Données projet'!$B$15,Paramètres!$A$1:$I$89,3,0)*0.475*44/12</f>
        <v>0.67096128295604962</v>
      </c>
      <c r="EY74" s="22">
        <f t="shared" si="75"/>
        <v>34.261119423151108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9.733749999999997</v>
      </c>
      <c r="FE74" s="12">
        <f>IF('Données projet'!$A$218&gt;35,FE73+FD74-FM73,IF(A74&lt;'Données projet'!$A$218,$FB$205^A74,IF(A74='Données projet'!$A$218,'Données projet'!$B$218,FE73+FD74-FM73)))</f>
        <v>281.7587500000003</v>
      </c>
      <c r="FF74" s="17">
        <f>FE74*VLOOKUP('Données projet'!$B$16,Paramètres!$A$1:$I$89,3,0)*VLOOKUP('Données projet'!$B$16,Paramètres!$A$1:$I$89,5,0)</f>
        <v>268.12162650000027</v>
      </c>
      <c r="FG74" s="13">
        <f t="shared" si="101"/>
        <v>64.450469198583448</v>
      </c>
      <c r="FH74" s="20">
        <f t="shared" si="76"/>
        <v>579.2297333416999</v>
      </c>
      <c r="FI74" s="59">
        <f t="shared" si="77"/>
        <v>872.56306667503327</v>
      </c>
      <c r="FJ74" s="59">
        <f ca="1">AVERAGE(OFFSET($FI$3,0,0,'Données projet'!$E$16+1,1))-AVERAGE(OFFSET($H$3,0,0,'Données projet'!$E$16+1,1))</f>
        <v>666.1523645983184</v>
      </c>
      <c r="FK74" s="59">
        <f t="shared" si="102"/>
        <v>294.13851344047526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7.6974391740858987</v>
      </c>
      <c r="FR74" s="21">
        <f>EXP(-LN(2)/25)*FR73+(1-EXP(-LN(2)/25))/(LN(2)/25)*Calculateur!FM74*Calculateur!FO74*VLOOKUP('Données projet'!$B$16,Paramètres!$A$1:$I$89,3,0)*0.475*44/12</f>
        <v>30.962931515572546</v>
      </c>
      <c r="FS74" s="21">
        <f>EXP(-LN(2)/2)*FS73+(1-EXP(-LN(2)/2))/(LN(2)/2)*FM74*FP74*VLOOKUP('Données projet'!$B$16,Paramètres!$A$1:$I$89,3,0)*0.475*44/12</f>
        <v>0.95182879675160514</v>
      </c>
      <c r="FT74" s="22">
        <f t="shared" si="78"/>
        <v>39.612199486410049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4.2</v>
      </c>
      <c r="N75" s="13">
        <f>IF('Données projet'!$A$36&gt;35,N74+M75-V74,IF(A75&lt;'Données projet'!$A$36,$K$205^A75,IF(A75='Données projet'!$A$36,'Données projet'!$B$36,N74+M75-V74)))</f>
        <v>311.39999999999992</v>
      </c>
      <c r="O75" s="13">
        <f>N75*VLOOKUP('Données projet'!$B$9,Paramètres!$A$1:$I$89,3,0)*VLOOKUP('Données projet'!$B$9,Paramètres!$A$1:$I$89,5,0)</f>
        <v>228.31847999999994</v>
      </c>
      <c r="P75" s="13">
        <f t="shared" si="87"/>
        <v>55.918942466546987</v>
      </c>
      <c r="Q75" s="20">
        <f t="shared" si="54"/>
        <v>495.04684412923598</v>
      </c>
      <c r="R75" s="59">
        <f t="shared" si="55"/>
        <v>788.38017746256924</v>
      </c>
      <c r="S75" s="59">
        <f ca="1">AVERAGE(OFFSET($R$3,0,0,'Données projet'!$E$9+1,1))-AVERAGE(OFFSET($H$3,0,0,'Données projet'!$E$9+1,1))</f>
        <v>328.55631138162721</v>
      </c>
      <c r="T75" s="59">
        <f t="shared" si="88"/>
        <v>321.81422611044985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10.739303858147396</v>
      </c>
      <c r="AA75" s="21">
        <f>EXP(-LN(2)/25)*AA74+(1-EXP(-LN(2)/25))/(LN(2)/25)*Calculateur!V75*Calculateur!X75*VLOOKUP('Données projet'!$B$9,Paramètres!$A$1:$I$89,3,0)*0.475*44/12</f>
        <v>11.019160129695013</v>
      </c>
      <c r="AB75" s="21">
        <f>EXP(-LN(2)/2)*AB74+(1-EXP(-LN(2)/2))/(LN(2)/2)*V75*Y75*VLOOKUP('Données projet'!$B$9,Paramètres!$A$1:$I$89,3,0)*0.475*44/12</f>
        <v>1.3704421140333769</v>
      </c>
      <c r="AC75" s="22">
        <f t="shared" si="57"/>
        <v>23.128906101875788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4.2</v>
      </c>
      <c r="AI75" s="13">
        <f>IF('Données projet'!$A$62&gt;35,AI74+AH75-AQ74,IF(A75&lt;'Données projet'!$A$62,$AF$205^A75,IF(A75='Données projet'!$A$62,'Données projet'!$B$62,AI74+AH75-AQ74)))</f>
        <v>311.39999999999992</v>
      </c>
      <c r="AJ75" s="13">
        <f>AI75*VLOOKUP('Données projet'!$B$10,Paramètres!$A$1:$I$89,3,0)*VLOOKUP('Données projet'!$B$10,Paramètres!$A$1:$I$89,5,0)</f>
        <v>247.74983999999995</v>
      </c>
      <c r="AK75" s="13">
        <f t="shared" si="89"/>
        <v>60.103849700617872</v>
      </c>
      <c r="AL75" s="20">
        <f t="shared" si="58"/>
        <v>536.17850956190932</v>
      </c>
      <c r="AM75" s="59">
        <f t="shared" si="59"/>
        <v>829.51184289524258</v>
      </c>
      <c r="AN75" s="59">
        <f ca="1">AVERAGE(OFFSET($AM$3,0,0,'Données projet'!$E$10+1,1))-AVERAGE(OFFSET($H$3,0,0,'Données projet'!$E$10+1,1))</f>
        <v>353.37479213497227</v>
      </c>
      <c r="AO75" s="59">
        <f t="shared" si="90"/>
        <v>345.4750813433123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14.363353947833952</v>
      </c>
      <c r="AV75" s="21">
        <f>EXP(-LN(2)/25)*AV74+(1-EXP(-LN(2)/25))/(LN(2)/25)*Calculateur!AQ75*Calculateur!AS75*VLOOKUP('Données projet'!$B$10,Paramètres!$A$1:$I$89,3,0)*0.475*44/12</f>
        <v>14.737649594540139</v>
      </c>
      <c r="AW75" s="21">
        <f>EXP(-LN(2)/2)*AW74+(1-EXP(-LN(2)/2))/(LN(2)/2)*AQ75*AT75*VLOOKUP('Données projet'!$B$10,Paramètres!$A$1:$I$89,3,0)*0.475*44/12</f>
        <v>1.4870754854404729</v>
      </c>
      <c r="AX75" s="21">
        <f t="shared" si="60"/>
        <v>30.588079027814565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4.2</v>
      </c>
      <c r="BD75" s="12">
        <f>IF('Données projet'!$A$88&gt;35,BD74+BC75-BL74,IF(A75&lt;'Données projet'!$A$88,$BA$205^A75,IF(A75='Données projet'!$A$88,'Données projet'!$B$88,BD74+BC75-BL74)))</f>
        <v>311.39999999999992</v>
      </c>
      <c r="BE75" s="13">
        <f>BD75*VLOOKUP('Données projet'!$B$11,Paramètres!$A$1:$I$89,3,0)*VLOOKUP('Données projet'!$B$11,Paramètres!$A$1:$I$89,5,0)</f>
        <v>252.60767999999996</v>
      </c>
      <c r="BF75" s="13">
        <f t="shared" si="91"/>
        <v>61.143998601713257</v>
      </c>
      <c r="BG75" s="20">
        <f t="shared" si="61"/>
        <v>546.4508402313171</v>
      </c>
      <c r="BH75" s="59">
        <f t="shared" si="62"/>
        <v>839.78417356465047</v>
      </c>
      <c r="BI75" s="59">
        <f ca="1">AVERAGE(OFFSET($BH$3,0,0,'Données projet'!$E$11+1,1))-AVERAGE(OFFSET($H$3,0,0,'Données projet'!$E$11+1,1))</f>
        <v>359.57284550600366</v>
      </c>
      <c r="BJ75" s="59">
        <f t="shared" si="92"/>
        <v>351.38386928091433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14.644988338967956</v>
      </c>
      <c r="BQ75" s="21">
        <f>EXP(-LN(2)/25)*BQ74+(1-EXP(-LN(2)/25))/(LN(2)/25)*Calculateur!BL75*Calculateur!BN75*VLOOKUP('Données projet'!$B$11,Paramètres!$A$1:$I$89,3,0)*0.475*44/12</f>
        <v>15.026623116001717</v>
      </c>
      <c r="BR75" s="21">
        <f>EXP(-LN(2)/2)*BR74+(1-EXP(-LN(2)/2))/(LN(2)/2)*BL75*BO75*VLOOKUP('Données projet'!$B$11,Paramètres!$A$1:$I$89,3,0)*0.475*44/12</f>
        <v>1.5162338282922463</v>
      </c>
      <c r="BS75" s="22">
        <f t="shared" si="63"/>
        <v>31.187845283261918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2.3076923076923093</v>
      </c>
      <c r="BY75" s="12">
        <f>IF('Données projet'!$A$114&gt;35,BY74+BX75-CG74,IF(A75&lt;'Données projet'!$A$114,$BV$205^A75,IF(A75='Données projet'!$A$114,'Données projet'!$B$114,BY74+BX75-CG74)))</f>
        <v>111.66666666666661</v>
      </c>
      <c r="BZ75" s="13">
        <f>BY75*VLOOKUP('Données projet'!$B$12,Paramètres!$A$1:$I$89,3,0)*VLOOKUP('Données projet'!$B$12,Paramètres!$A$1:$I$89,5,0)</f>
        <v>90.583999999999961</v>
      </c>
      <c r="CA75" s="13">
        <f t="shared" si="93"/>
        <v>24.706018667982935</v>
      </c>
      <c r="CB75" s="20">
        <f t="shared" si="64"/>
        <v>200.79678251340351</v>
      </c>
      <c r="CC75" s="59">
        <f t="shared" si="65"/>
        <v>494.13011584673683</v>
      </c>
      <c r="CD75" s="59">
        <f ca="1">AVERAGE(OFFSET($CC$3,0,0,'Données projet'!$E$12+1,1))-AVERAGE(OFFSET($H$3,0,0,'Données projet'!$E$12+1,1))</f>
        <v>159.4660488566085</v>
      </c>
      <c r="CE75" s="59">
        <f t="shared" si="94"/>
        <v>135.33030558297088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3.7062442731645664</v>
      </c>
      <c r="CM75" s="21">
        <f>EXP(-LN(2)/2)*CM74+(1-EXP(-LN(2)/2))/(LN(2)/2)*CG75*CJ75*VLOOKUP('Données projet'!$B$12,Paramètres!$A$1:$I$89,3,0)*0.475*44/12</f>
        <v>0.81948579268917543</v>
      </c>
      <c r="CN75" s="22">
        <f t="shared" si="66"/>
        <v>4.5257300658537414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4.2</v>
      </c>
      <c r="CT75" s="12">
        <f>IF('Données projet'!$A$140&gt;35,CT74+CS75-DB74,IF(A75&lt;'Données projet'!$A$140,$CQ$205^A75,IF(A75='Données projet'!$A$140,'Données projet'!$B$140,CT74+CS75-DB74)))</f>
        <v>311.39999999999992</v>
      </c>
      <c r="CU75" s="17">
        <f>CT75*VLOOKUP('Données projet'!$B$13,Paramètres!$A$1:$I$89,3,0)*VLOOKUP('Données projet'!$B$13,Paramètres!$A$1:$I$89,5,0)</f>
        <v>247.74983999999995</v>
      </c>
      <c r="CV75" s="13">
        <f t="shared" si="95"/>
        <v>60.103849700617872</v>
      </c>
      <c r="CW75" s="20">
        <f t="shared" si="67"/>
        <v>536.17850956190932</v>
      </c>
      <c r="CX75" s="59">
        <f t="shared" si="68"/>
        <v>829.51184289524258</v>
      </c>
      <c r="CY75" s="59">
        <f ca="1">AVERAGE(OFFSET($CX$3,0,0,'Données projet'!$E$13+1,1))-AVERAGE(OFFSET($H$3,0,0,'Données projet'!$E$13+1,1))</f>
        <v>353.37479213497227</v>
      </c>
      <c r="CZ75" s="59">
        <f t="shared" si="96"/>
        <v>345.4750813433123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14.363353947833952</v>
      </c>
      <c r="DG75" s="21">
        <f>EXP(-LN(2)/25)*DG74+(1-EXP(-LN(2)/25))/(LN(2)/25)*Calculateur!DB75*Calculateur!DD75*VLOOKUP('Données projet'!$B$13,Paramètres!$A$1:$I$89,3,0)*0.475*44/12</f>
        <v>14.737649594540139</v>
      </c>
      <c r="DH75" s="21">
        <f>EXP(-LN(2)/2)*DH74+(1-EXP(-LN(2)/2))/(LN(2)/2)*DB75*DE75*VLOOKUP('Données projet'!$B$13,Paramètres!$A$1:$I$89,3,0)*0.475*44/12</f>
        <v>1.4870754854404729</v>
      </c>
      <c r="DI75" s="22">
        <f t="shared" si="69"/>
        <v>30.588079027814565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9.733749999999997</v>
      </c>
      <c r="DO75" s="12">
        <f>IF('Données projet'!$A$166&gt;35,DO74+DN75-DW74,IF(A75&lt;'Données projet'!$A$166,$DL$205^A75,IF(A75='Données projet'!$A$166,'Données projet'!$B$166,DO74+DN75-DW74)))</f>
        <v>291.49250000000029</v>
      </c>
      <c r="DP75" s="17">
        <f>DO75*VLOOKUP('Données projet'!$B$14,Paramètres!$A$1:$I$89,3,0)*VLOOKUP('Données projet'!$B$14,Paramètres!$A$1:$I$89,5,0)</f>
        <v>263.74241400000022</v>
      </c>
      <c r="DQ75" s="13">
        <f t="shared" si="97"/>
        <v>63.519444659628142</v>
      </c>
      <c r="DR75" s="20">
        <f t="shared" si="70"/>
        <v>569.98107049885277</v>
      </c>
      <c r="DS75" s="59">
        <f t="shared" si="71"/>
        <v>863.31440383218614</v>
      </c>
      <c r="DT75" s="59">
        <f ca="1">AVERAGE(OFFSET($DS$3,0,0,'Données projet'!$E$14+1,1))-AVERAGE(OFFSET($H$3,0,0,'Données projet'!$E$14+1,1))</f>
        <v>635.71275911100679</v>
      </c>
      <c r="DU75" s="59">
        <f t="shared" si="98"/>
        <v>281.7776857269169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7.175357885863443</v>
      </c>
      <c r="EB75" s="21">
        <f>EXP(-LN(2)/25)*EB74+(1-EXP(-LN(2)/25))/(LN(2)/25)*Calculateur!DW75*Calculateur!DY75*VLOOKUP('Données projet'!$B$14,Paramètres!$A$1:$I$89,3,0)*0.475*44/12</f>
        <v>28.635121548369614</v>
      </c>
      <c r="EC75" s="21">
        <f>EXP(-LN(2)/2)*EC74+(1-EXP(-LN(2)/2))/(LN(2)/2)*DW75*DZ75*VLOOKUP('Données projet'!$B$14,Paramètres!$A$1:$I$89,3,0)*0.475*44/12</f>
        <v>0.63994404277505157</v>
      </c>
      <c r="ED75" s="22">
        <f t="shared" si="72"/>
        <v>36.450423477008108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9.733749999999997</v>
      </c>
      <c r="EJ75" s="12">
        <f>IF('Données projet'!$A$192&gt;35,EJ74+EI75-ER74,IF(A75&lt;'Données projet'!$A$192,$EG$205^A75,IF(A75='Données projet'!$A$192,'Données projet'!$B$192,EJ74+EI75-ER74)))</f>
        <v>291.49250000000029</v>
      </c>
      <c r="EK75" s="17">
        <f>EJ75*VLOOKUP('Données projet'!$B$15,Paramètres!$A$1:$I$89,3,0)*VLOOKUP('Données projet'!$B$15,Paramètres!$A$1:$I$89,5,0)</f>
        <v>195.53316900000021</v>
      </c>
      <c r="EL75" s="13">
        <f t="shared" si="99"/>
        <v>48.761206709446725</v>
      </c>
      <c r="EM75" s="20">
        <f t="shared" si="73"/>
        <v>425.47937102728673</v>
      </c>
      <c r="EN75" s="59">
        <f t="shared" si="74"/>
        <v>718.81270436062005</v>
      </c>
      <c r="EO75" s="59">
        <f ca="1">AVERAGE(OFFSET($EN$3,0,0,'Données projet'!$E$15+1,1))-AVERAGE(OFFSET($H$3,0,0,'Données projet'!$E$15+1,1))</f>
        <v>482.99915419700773</v>
      </c>
      <c r="EP75" s="59">
        <f t="shared" si="100"/>
        <v>219.74157899604279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6.5567925508752163</v>
      </c>
      <c r="EW75" s="21">
        <f>EXP(-LN(2)/25)*EW74+(1-EXP(-LN(2)/25))/(LN(2)/25)*Calculateur!ER75*Calculateur!ET75*VLOOKUP('Données projet'!$B$15,Paramètres!$A$1:$I$89,3,0)*0.475*44/12</f>
        <v>26.166576587303272</v>
      </c>
      <c r="EX75" s="21">
        <f>EXP(-LN(2)/2)*EX74+(1-EXP(-LN(2)/2))/(LN(2)/2)*ER75*EU75*VLOOKUP('Données projet'!$B$15,Paramètres!$A$1:$I$89,3,0)*0.475*44/12</f>
        <v>0.47444127309184864</v>
      </c>
      <c r="EY75" s="22">
        <f t="shared" si="75"/>
        <v>33.197810411270339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9.733749999999997</v>
      </c>
      <c r="FE75" s="12">
        <f>IF('Données projet'!$A$218&gt;35,FE74+FD75-FM74,IF(A75&lt;'Données projet'!$A$218,$FB$205^A75,IF(A75='Données projet'!$A$218,'Données projet'!$B$218,FE74+FD75-FM74)))</f>
        <v>291.49250000000029</v>
      </c>
      <c r="FF75" s="17">
        <f>FE75*VLOOKUP('Données projet'!$B$16,Paramètres!$A$1:$I$89,3,0)*VLOOKUP('Données projet'!$B$16,Paramètres!$A$1:$I$89,5,0)</f>
        <v>277.38426300000032</v>
      </c>
      <c r="FG75" s="13">
        <f t="shared" si="101"/>
        <v>66.413926862937842</v>
      </c>
      <c r="FH75" s="20">
        <f t="shared" si="76"/>
        <v>598.78184734461729</v>
      </c>
      <c r="FI75" s="59">
        <f t="shared" si="77"/>
        <v>892.11518067795055</v>
      </c>
      <c r="FJ75" s="59">
        <f ca="1">AVERAGE(OFFSET($FI$3,0,0,'Données projet'!$E$16+1,1))-AVERAGE(OFFSET($H$3,0,0,'Données projet'!$E$16+1,1))</f>
        <v>666.1523645983184</v>
      </c>
      <c r="FK75" s="59">
        <f t="shared" si="102"/>
        <v>294.13851344047526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7.5464970868563803</v>
      </c>
      <c r="FR75" s="21">
        <f>EXP(-LN(2)/25)*FR74+(1-EXP(-LN(2)/25))/(LN(2)/25)*Calculateur!FM75*Calculateur!FO75*VLOOKUP('Données projet'!$B$16,Paramètres!$A$1:$I$89,3,0)*0.475*44/12</f>
        <v>30.116248525009414</v>
      </c>
      <c r="FS75" s="21">
        <f>EXP(-LN(2)/2)*FS74+(1-EXP(-LN(2)/2))/(LN(2)/2)*FM75*FP75*VLOOKUP('Données projet'!$B$16,Paramètres!$A$1:$I$89,3,0)*0.475*44/12</f>
        <v>0.67304459671169214</v>
      </c>
      <c r="FT75" s="22">
        <f t="shared" si="78"/>
        <v>38.335790208577485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4.2</v>
      </c>
      <c r="N76" s="13">
        <f>IF('Données projet'!$A$36&gt;35,N75+M76-V75,IF(A76&lt;'Données projet'!$A$36,$K$205^A76,IF(A76='Données projet'!$A$36,'Données projet'!$B$36,N75+M76-V75)))</f>
        <v>315.59999999999991</v>
      </c>
      <c r="O76" s="13">
        <f>N76*VLOOKUP('Données projet'!$B$9,Paramètres!$A$1:$I$89,3,0)*VLOOKUP('Données projet'!$B$9,Paramètres!$A$1:$I$89,5,0)</f>
        <v>231.39791999999991</v>
      </c>
      <c r="P76" s="13">
        <f t="shared" si="87"/>
        <v>56.584837838715806</v>
      </c>
      <c r="Q76" s="20">
        <f t="shared" si="54"/>
        <v>501.56996990242982</v>
      </c>
      <c r="R76" s="59">
        <f t="shared" si="55"/>
        <v>794.90330323576313</v>
      </c>
      <c r="S76" s="59">
        <f ca="1">AVERAGE(OFFSET($R$3,0,0,'Données projet'!$E$9+1,1))-AVERAGE(OFFSET($H$3,0,0,'Données projet'!$E$9+1,1))</f>
        <v>328.55631138162721</v>
      </c>
      <c r="T76" s="59">
        <f t="shared" si="88"/>
        <v>321.81422611044985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10.528712659817687</v>
      </c>
      <c r="AA76" s="21">
        <f>EXP(-LN(2)/25)*AA75+(1-EXP(-LN(2)/25))/(LN(2)/25)*Calculateur!V76*Calculateur!X76*VLOOKUP('Données projet'!$B$9,Paramètres!$A$1:$I$89,3,0)*0.475*44/12</f>
        <v>10.717840616476057</v>
      </c>
      <c r="AB76" s="21">
        <f>EXP(-LN(2)/2)*AB75+(1-EXP(-LN(2)/2))/(LN(2)/2)*V76*Y76*VLOOKUP('Données projet'!$B$9,Paramètres!$A$1:$I$89,3,0)*0.475*44/12</f>
        <v>0.96904891205662869</v>
      </c>
      <c r="AC76" s="22">
        <f t="shared" si="57"/>
        <v>22.215602188350374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4.2</v>
      </c>
      <c r="AI76" s="13">
        <f>IF('Données projet'!$A$62&gt;35,AI75+AH76-AQ75,IF(A76&lt;'Données projet'!$A$62,$AF$205^A76,IF(A76='Données projet'!$A$62,'Données projet'!$B$62,AI75+AH76-AQ75)))</f>
        <v>315.59999999999991</v>
      </c>
      <c r="AJ76" s="13">
        <f>AI76*VLOOKUP('Données projet'!$B$10,Paramètres!$A$1:$I$89,3,0)*VLOOKUP('Données projet'!$B$10,Paramètres!$A$1:$I$89,5,0)</f>
        <v>251.09135999999995</v>
      </c>
      <c r="AK76" s="13">
        <f t="shared" si="89"/>
        <v>60.81957989149403</v>
      </c>
      <c r="AL76" s="20">
        <f t="shared" si="58"/>
        <v>543.24488697768527</v>
      </c>
      <c r="AM76" s="59">
        <f t="shared" si="59"/>
        <v>836.57822031101864</v>
      </c>
      <c r="AN76" s="59">
        <f ca="1">AVERAGE(OFFSET($AM$3,0,0,'Données projet'!$E$10+1,1))-AVERAGE(OFFSET($H$3,0,0,'Données projet'!$E$10+1,1))</f>
        <v>353.37479213497227</v>
      </c>
      <c r="AO76" s="59">
        <f t="shared" si="90"/>
        <v>345.4750813433123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14.081697337697781</v>
      </c>
      <c r="AV76" s="21">
        <f>EXP(-LN(2)/25)*AV75+(1-EXP(-LN(2)/25))/(LN(2)/25)*Calculateur!AQ76*Calculateur!AS76*VLOOKUP('Données projet'!$B$10,Paramètres!$A$1:$I$89,3,0)*0.475*44/12</f>
        <v>14.33464779135813</v>
      </c>
      <c r="AW76" s="21">
        <f>EXP(-LN(2)/2)*AW75+(1-EXP(-LN(2)/2))/(LN(2)/2)*AQ76*AT76*VLOOKUP('Données projet'!$B$10,Paramètres!$A$1:$I$89,3,0)*0.475*44/12</f>
        <v>1.0515211598912355</v>
      </c>
      <c r="AX76" s="21">
        <f t="shared" si="60"/>
        <v>29.46786628894715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4.2</v>
      </c>
      <c r="BD76" s="12">
        <f>IF('Données projet'!$A$88&gt;35,BD75+BC76-BL75,IF(A76&lt;'Données projet'!$A$88,$BA$205^A76,IF(A76='Données projet'!$A$88,'Données projet'!$B$88,BD75+BC76-BL75)))</f>
        <v>315.59999999999991</v>
      </c>
      <c r="BE76" s="13">
        <f>BD76*VLOOKUP('Données projet'!$B$11,Paramètres!$A$1:$I$89,3,0)*VLOOKUP('Données projet'!$B$11,Paramètres!$A$1:$I$89,5,0)</f>
        <v>256.01471999999995</v>
      </c>
      <c r="BF76" s="13">
        <f t="shared" si="91"/>
        <v>61.872115120174627</v>
      </c>
      <c r="BG76" s="20">
        <f t="shared" si="61"/>
        <v>553.65290450097075</v>
      </c>
      <c r="BH76" s="59">
        <f t="shared" si="62"/>
        <v>846.98623783430412</v>
      </c>
      <c r="BI76" s="59">
        <f ca="1">AVERAGE(OFFSET($BH$3,0,0,'Données projet'!$E$11+1,1))-AVERAGE(OFFSET($H$3,0,0,'Données projet'!$E$11+1,1))</f>
        <v>359.57284550600366</v>
      </c>
      <c r="BJ76" s="59">
        <f t="shared" si="92"/>
        <v>351.38386928091433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14.357809050201663</v>
      </c>
      <c r="BQ76" s="21">
        <f>EXP(-LN(2)/25)*BQ75+(1-EXP(-LN(2)/25))/(LN(2)/25)*Calculateur!BL76*Calculateur!BN76*VLOOKUP('Données projet'!$B$11,Paramètres!$A$1:$I$89,3,0)*0.475*44/12</f>
        <v>14.615719316678884</v>
      </c>
      <c r="BR76" s="21">
        <f>EXP(-LN(2)/2)*BR75+(1-EXP(-LN(2)/2))/(LN(2)/2)*BL76*BO76*VLOOKUP('Données projet'!$B$11,Paramètres!$A$1:$I$89,3,0)*0.475*44/12</f>
        <v>1.0721392218498866</v>
      </c>
      <c r="BS76" s="22">
        <f t="shared" si="63"/>
        <v>30.045667588730435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2.3076923076923093</v>
      </c>
      <c r="BY76" s="12">
        <f>IF('Données projet'!$A$114&gt;35,BY75+BX76-CG75,IF(A76&lt;'Données projet'!$A$114,$BV$205^A76,IF(A76='Données projet'!$A$114,'Données projet'!$B$114,BY75+BX76-CG75)))</f>
        <v>113.97435897435892</v>
      </c>
      <c r="BZ76" s="13">
        <f>BY76*VLOOKUP('Données projet'!$B$12,Paramètres!$A$1:$I$89,3,0)*VLOOKUP('Données projet'!$B$12,Paramètres!$A$1:$I$89,5,0)</f>
        <v>92.455999999999975</v>
      </c>
      <c r="CA76" s="13">
        <f t="shared" si="93"/>
        <v>25.156621727947371</v>
      </c>
      <c r="CB76" s="20">
        <f t="shared" si="64"/>
        <v>204.84198284284162</v>
      </c>
      <c r="CC76" s="59">
        <f t="shared" si="65"/>
        <v>498.17531617617493</v>
      </c>
      <c r="CD76" s="59">
        <f ca="1">AVERAGE(OFFSET($CC$3,0,0,'Données projet'!$E$12+1,1))-AVERAGE(OFFSET($H$3,0,0,'Données projet'!$E$12+1,1))</f>
        <v>159.4660488566085</v>
      </c>
      <c r="CE76" s="59">
        <f t="shared" si="94"/>
        <v>135.33030558297088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3.6048968286119658</v>
      </c>
      <c r="CM76" s="21">
        <f>EXP(-LN(2)/2)*CM75+(1-EXP(-LN(2)/2))/(LN(2)/2)*CG76*CJ76*VLOOKUP('Données projet'!$B$12,Paramètres!$A$1:$I$89,3,0)*0.475*44/12</f>
        <v>0.5794639610965493</v>
      </c>
      <c r="CN76" s="22">
        <f t="shared" si="66"/>
        <v>4.1843607897085153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4.2</v>
      </c>
      <c r="CT76" s="12">
        <f>IF('Données projet'!$A$140&gt;35,CT75+CS76-DB75,IF(A76&lt;'Données projet'!$A$140,$CQ$205^A76,IF(A76='Données projet'!$A$140,'Données projet'!$B$140,CT75+CS76-DB75)))</f>
        <v>315.59999999999991</v>
      </c>
      <c r="CU76" s="17">
        <f>CT76*VLOOKUP('Données projet'!$B$13,Paramètres!$A$1:$I$89,3,0)*VLOOKUP('Données projet'!$B$13,Paramètres!$A$1:$I$89,5,0)</f>
        <v>251.09135999999995</v>
      </c>
      <c r="CV76" s="13">
        <f t="shared" si="95"/>
        <v>60.81957989149403</v>
      </c>
      <c r="CW76" s="20">
        <f t="shared" si="67"/>
        <v>543.24488697768527</v>
      </c>
      <c r="CX76" s="59">
        <f t="shared" si="68"/>
        <v>836.57822031101864</v>
      </c>
      <c r="CY76" s="59">
        <f ca="1">AVERAGE(OFFSET($CX$3,0,0,'Données projet'!$E$13+1,1))-AVERAGE(OFFSET($H$3,0,0,'Données projet'!$E$13+1,1))</f>
        <v>353.37479213497227</v>
      </c>
      <c r="CZ76" s="59">
        <f t="shared" si="96"/>
        <v>345.4750813433123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14.081697337697781</v>
      </c>
      <c r="DG76" s="21">
        <f>EXP(-LN(2)/25)*DG75+(1-EXP(-LN(2)/25))/(LN(2)/25)*Calculateur!DB76*Calculateur!DD76*VLOOKUP('Données projet'!$B$13,Paramètres!$A$1:$I$89,3,0)*0.475*44/12</f>
        <v>14.33464779135813</v>
      </c>
      <c r="DH76" s="21">
        <f>EXP(-LN(2)/2)*DH75+(1-EXP(-LN(2)/2))/(LN(2)/2)*DB76*DE76*VLOOKUP('Données projet'!$B$13,Paramètres!$A$1:$I$89,3,0)*0.475*44/12</f>
        <v>1.0515211598912355</v>
      </c>
      <c r="DI76" s="22">
        <f t="shared" si="69"/>
        <v>29.46786628894715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9.733749999999997</v>
      </c>
      <c r="DO76" s="12">
        <f>IF('Données projet'!$A$166&gt;35,DO75+DN76-DW75,IF(A76&lt;'Données projet'!$A$166,$DL$205^A76,IF(A76='Données projet'!$A$166,'Données projet'!$B$166,DO75+DN76-DW75)))</f>
        <v>301.22625000000028</v>
      </c>
      <c r="DP76" s="17">
        <f>DO76*VLOOKUP('Données projet'!$B$14,Paramètres!$A$1:$I$89,3,0)*VLOOKUP('Données projet'!$B$14,Paramètres!$A$1:$I$89,5,0)</f>
        <v>272.54951100000028</v>
      </c>
      <c r="DQ76" s="13">
        <f t="shared" si="97"/>
        <v>65.390043555628168</v>
      </c>
      <c r="DR76" s="20">
        <f t="shared" si="70"/>
        <v>588.57805751771946</v>
      </c>
      <c r="DS76" s="59">
        <f t="shared" si="71"/>
        <v>881.91139085105283</v>
      </c>
      <c r="DT76" s="59">
        <f ca="1">AVERAGE(OFFSET($DS$3,0,0,'Données projet'!$E$14+1,1))-AVERAGE(OFFSET($H$3,0,0,'Données projet'!$E$14+1,1))</f>
        <v>635.71275911100679</v>
      </c>
      <c r="DU76" s="59">
        <f t="shared" si="98"/>
        <v>281.7776857269169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7.0346534942578245</v>
      </c>
      <c r="EB76" s="21">
        <f>EXP(-LN(2)/25)*EB75+(1-EXP(-LN(2)/25))/(LN(2)/25)*Calculateur!DW76*Calculateur!DY76*VLOOKUP('Données projet'!$B$14,Paramètres!$A$1:$I$89,3,0)*0.475*44/12</f>
        <v>27.852092643773851</v>
      </c>
      <c r="EC76" s="21">
        <f>EXP(-LN(2)/2)*EC75+(1-EXP(-LN(2)/2))/(LN(2)/2)*DW76*DZ76*VLOOKUP('Données projet'!$B$14,Paramètres!$A$1:$I$89,3,0)*0.475*44/12</f>
        <v>0.45250877222617303</v>
      </c>
      <c r="ED76" s="22">
        <f t="shared" si="72"/>
        <v>35.33925491025785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9.733749999999997</v>
      </c>
      <c r="EJ76" s="12">
        <f>IF('Données projet'!$A$192&gt;35,EJ75+EI76-ER75,IF(A76&lt;'Données projet'!$A$192,$EG$205^A76,IF(A76='Données projet'!$A$192,'Données projet'!$B$192,EJ75+EI76-ER75)))</f>
        <v>301.22625000000028</v>
      </c>
      <c r="EK76" s="17">
        <f>EJ76*VLOOKUP('Données projet'!$B$15,Paramètres!$A$1:$I$89,3,0)*VLOOKUP('Données projet'!$B$15,Paramètres!$A$1:$I$89,5,0)</f>
        <v>202.0625685000002</v>
      </c>
      <c r="EL76" s="13">
        <f t="shared" si="99"/>
        <v>50.197186824308993</v>
      </c>
      <c r="EM76" s="20">
        <f t="shared" si="73"/>
        <v>439.35240718983852</v>
      </c>
      <c r="EN76" s="59">
        <f t="shared" si="74"/>
        <v>732.68574052317183</v>
      </c>
      <c r="EO76" s="59">
        <f ca="1">AVERAGE(OFFSET($EN$3,0,0,'Données projet'!$E$15+1,1))-AVERAGE(OFFSET($H$3,0,0,'Données projet'!$E$15+1,1))</f>
        <v>482.99915419700773</v>
      </c>
      <c r="EP76" s="59">
        <f t="shared" si="100"/>
        <v>219.74157899604279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6.4282178482011165</v>
      </c>
      <c r="EW76" s="21">
        <f>EXP(-LN(2)/25)*EW75+(1-EXP(-LN(2)/25))/(LN(2)/25)*Calculateur!ER76*Calculateur!ET76*VLOOKUP('Données projet'!$B$15,Paramètres!$A$1:$I$89,3,0)*0.475*44/12</f>
        <v>25.451050174483004</v>
      </c>
      <c r="EX76" s="21">
        <f>EXP(-LN(2)/2)*EX75+(1-EXP(-LN(2)/2))/(LN(2)/2)*ER76*EU76*VLOOKUP('Données projet'!$B$15,Paramètres!$A$1:$I$89,3,0)*0.475*44/12</f>
        <v>0.33548064147802487</v>
      </c>
      <c r="EY76" s="22">
        <f t="shared" si="75"/>
        <v>32.214748664162144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9.733749999999997</v>
      </c>
      <c r="FE76" s="12">
        <f>IF('Données projet'!$A$218&gt;35,FE75+FD76-FM75,IF(A76&lt;'Données projet'!$A$218,$FB$205^A76,IF(A76='Données projet'!$A$218,'Données projet'!$B$218,FE75+FD76-FM75)))</f>
        <v>301.22625000000028</v>
      </c>
      <c r="FF76" s="17">
        <f>FE76*VLOOKUP('Données projet'!$B$16,Paramètres!$A$1:$I$89,3,0)*VLOOKUP('Données projet'!$B$16,Paramètres!$A$1:$I$89,5,0)</f>
        <v>286.64689950000025</v>
      </c>
      <c r="FG76" s="13">
        <f t="shared" si="101"/>
        <v>68.369766038399021</v>
      </c>
      <c r="FH76" s="20">
        <f t="shared" si="76"/>
        <v>618.32069247937864</v>
      </c>
      <c r="FI76" s="59">
        <f t="shared" si="77"/>
        <v>911.65402581271201</v>
      </c>
      <c r="FJ76" s="59">
        <f ca="1">AVERAGE(OFFSET($FI$3,0,0,'Données projet'!$E$16+1,1))-AVERAGE(OFFSET($H$3,0,0,'Données projet'!$E$16+1,1))</f>
        <v>666.1523645983184</v>
      </c>
      <c r="FK76" s="59">
        <f t="shared" si="102"/>
        <v>294.13851344047526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7.3985148818918498</v>
      </c>
      <c r="FR76" s="21">
        <f>EXP(-LN(2)/25)*FR75+(1-EXP(-LN(2)/25))/(LN(2)/25)*Calculateur!FM76*Calculateur!FO76*VLOOKUP('Données projet'!$B$16,Paramètres!$A$1:$I$89,3,0)*0.475*44/12</f>
        <v>29.292718125348355</v>
      </c>
      <c r="FS76" s="21">
        <f>EXP(-LN(2)/2)*FS75+(1-EXP(-LN(2)/2))/(LN(2)/2)*FM76*FP76*VLOOKUP('Données projet'!$B$16,Paramètres!$A$1:$I$89,3,0)*0.475*44/12</f>
        <v>0.47591439837580263</v>
      </c>
      <c r="FT76" s="22">
        <f t="shared" si="78"/>
        <v>37.167147405616006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4.2</v>
      </c>
      <c r="N77" s="13">
        <f>IF('Données projet'!$A$36&gt;35,N76+M77-V76,IF(A77&lt;'Données projet'!$A$36,$K$205^A77,IF(A77='Données projet'!$A$36,'Données projet'!$B$36,N76+M77-V76)))</f>
        <v>319.7999999999999</v>
      </c>
      <c r="O77" s="13">
        <f>N77*VLOOKUP('Données projet'!$B$9,Paramètres!$A$1:$I$89,3,0)*VLOOKUP('Données projet'!$B$9,Paramètres!$A$1:$I$89,5,0)</f>
        <v>234.47735999999995</v>
      </c>
      <c r="P77" s="13">
        <f t="shared" si="87"/>
        <v>57.249702472380292</v>
      </c>
      <c r="Q77" s="20">
        <f t="shared" si="54"/>
        <v>508.09130047272885</v>
      </c>
      <c r="R77" s="59">
        <f t="shared" si="55"/>
        <v>801.42463380606216</v>
      </c>
      <c r="S77" s="59">
        <f ca="1">AVERAGE(OFFSET($R$3,0,0,'Données projet'!$E$9+1,1))-AVERAGE(OFFSET($H$3,0,0,'Données projet'!$E$9+1,1))</f>
        <v>328.55631138162721</v>
      </c>
      <c r="T77" s="59">
        <f t="shared" si="88"/>
        <v>321.81422611044985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10.322251026439277</v>
      </c>
      <c r="AA77" s="21">
        <f>EXP(-LN(2)/25)*AA76+(1-EXP(-LN(2)/25))/(LN(2)/25)*Calculateur!V77*Calculateur!X77*VLOOKUP('Données projet'!$B$9,Paramètres!$A$1:$I$89,3,0)*0.475*44/12</f>
        <v>10.424760701191778</v>
      </c>
      <c r="AB77" s="21">
        <f>EXP(-LN(2)/2)*AB76+(1-EXP(-LN(2)/2))/(LN(2)/2)*V77*Y77*VLOOKUP('Données projet'!$B$9,Paramètres!$A$1:$I$89,3,0)*0.475*44/12</f>
        <v>0.68522105701668856</v>
      </c>
      <c r="AC77" s="22">
        <f t="shared" si="57"/>
        <v>21.432232784647745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4.2</v>
      </c>
      <c r="AI77" s="13">
        <f>IF('Données projet'!$A$62&gt;35,AI76+AH77-AQ76,IF(A77&lt;'Données projet'!$A$62,$AF$205^A77,IF(A77='Données projet'!$A$62,'Données projet'!$B$62,AI76+AH77-AQ76)))</f>
        <v>319.7999999999999</v>
      </c>
      <c r="AJ77" s="13">
        <f>AI77*VLOOKUP('Données projet'!$B$10,Paramètres!$A$1:$I$89,3,0)*VLOOKUP('Données projet'!$B$10,Paramètres!$A$1:$I$89,5,0)</f>
        <v>254.43287999999995</v>
      </c>
      <c r="AK77" s="13">
        <f t="shared" si="89"/>
        <v>61.534202204620392</v>
      </c>
      <c r="AL77" s="20">
        <f t="shared" si="58"/>
        <v>550.30933483971376</v>
      </c>
      <c r="AM77" s="59">
        <f t="shared" si="59"/>
        <v>843.64266817304701</v>
      </c>
      <c r="AN77" s="59">
        <f ca="1">AVERAGE(OFFSET($AM$3,0,0,'Données projet'!$E$10+1,1))-AVERAGE(OFFSET($H$3,0,0,'Données projet'!$E$10+1,1))</f>
        <v>353.37479213497227</v>
      </c>
      <c r="AO77" s="59">
        <f t="shared" si="90"/>
        <v>345.4750813433123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13.805563841892811</v>
      </c>
      <c r="AV77" s="21">
        <f>EXP(-LN(2)/25)*AV76+(1-EXP(-LN(2)/25))/(LN(2)/25)*Calculateur!AQ77*Calculateur!AS77*VLOOKUP('Données projet'!$B$10,Paramètres!$A$1:$I$89,3,0)*0.475*44/12</f>
        <v>13.942666093677076</v>
      </c>
      <c r="AW77" s="21">
        <f>EXP(-LN(2)/2)*AW76+(1-EXP(-LN(2)/2))/(LN(2)/2)*AQ77*AT77*VLOOKUP('Données projet'!$B$10,Paramètres!$A$1:$I$89,3,0)*0.475*44/12</f>
        <v>0.74353774272023654</v>
      </c>
      <c r="AX77" s="21">
        <f t="shared" si="60"/>
        <v>28.491767678290124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4.2</v>
      </c>
      <c r="BD77" s="12">
        <f>IF('Données projet'!$A$88&gt;35,BD76+BC77-BL76,IF(A77&lt;'Données projet'!$A$88,$BA$205^A77,IF(A77='Données projet'!$A$88,'Données projet'!$B$88,BD76+BC77-BL76)))</f>
        <v>319.7999999999999</v>
      </c>
      <c r="BE77" s="13">
        <f>BD77*VLOOKUP('Données projet'!$B$11,Paramètres!$A$1:$I$89,3,0)*VLOOKUP('Données projet'!$B$11,Paramètres!$A$1:$I$89,5,0)</f>
        <v>259.42175999999995</v>
      </c>
      <c r="BF77" s="13">
        <f t="shared" si="91"/>
        <v>62.599104588107195</v>
      </c>
      <c r="BG77" s="20">
        <f t="shared" si="61"/>
        <v>560.85300582428658</v>
      </c>
      <c r="BH77" s="59">
        <f t="shared" si="62"/>
        <v>854.18633915761984</v>
      </c>
      <c r="BI77" s="59">
        <f ca="1">AVERAGE(OFFSET($BH$3,0,0,'Données projet'!$E$11+1,1))-AVERAGE(OFFSET($H$3,0,0,'Données projet'!$E$11+1,1))</f>
        <v>359.57284550600366</v>
      </c>
      <c r="BJ77" s="59">
        <f t="shared" si="92"/>
        <v>351.38386928091433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14.076261172126008</v>
      </c>
      <c r="BQ77" s="21">
        <f>EXP(-LN(2)/25)*BQ76+(1-EXP(-LN(2)/25))/(LN(2)/25)*Calculateur!BL77*Calculateur!BN77*VLOOKUP('Données projet'!$B$11,Paramètres!$A$1:$I$89,3,0)*0.475*44/12</f>
        <v>14.216051703357026</v>
      </c>
      <c r="BR77" s="21">
        <f>EXP(-LN(2)/2)*BR76+(1-EXP(-LN(2)/2))/(LN(2)/2)*BL77*BO77*VLOOKUP('Données projet'!$B$11,Paramètres!$A$1:$I$89,3,0)*0.475*44/12</f>
        <v>0.75811691414612314</v>
      </c>
      <c r="BS77" s="22">
        <f t="shared" si="63"/>
        <v>29.050429789629156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2.3076923076923093</v>
      </c>
      <c r="BY77" s="12">
        <f>IF('Données projet'!$A$114&gt;35,BY76+BX77-CG76,IF(A77&lt;'Données projet'!$A$114,$BV$205^A77,IF(A77='Données projet'!$A$114,'Données projet'!$B$114,BY76+BX77-CG76)))</f>
        <v>116.28205128205123</v>
      </c>
      <c r="BZ77" s="13">
        <f>BY77*VLOOKUP('Données projet'!$B$12,Paramètres!$A$1:$I$89,3,0)*VLOOKUP('Données projet'!$B$12,Paramètres!$A$1:$I$89,5,0)</f>
        <v>94.32799999999996</v>
      </c>
      <c r="CA77" s="13">
        <f t="shared" si="93"/>
        <v>25.606163978031738</v>
      </c>
      <c r="CB77" s="20">
        <f t="shared" si="64"/>
        <v>208.88533559507187</v>
      </c>
      <c r="CC77" s="59">
        <f t="shared" si="65"/>
        <v>502.21866892840518</v>
      </c>
      <c r="CD77" s="59">
        <f ca="1">AVERAGE(OFFSET($CC$3,0,0,'Données projet'!$E$12+1,1))-AVERAGE(OFFSET($H$3,0,0,'Données projet'!$E$12+1,1))</f>
        <v>159.4660488566085</v>
      </c>
      <c r="CE77" s="59">
        <f t="shared" si="94"/>
        <v>135.33030558297088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3.5063207352602865</v>
      </c>
      <c r="CM77" s="21">
        <f>EXP(-LN(2)/2)*CM76+(1-EXP(-LN(2)/2))/(LN(2)/2)*CG77*CJ77*VLOOKUP('Données projet'!$B$12,Paramètres!$A$1:$I$89,3,0)*0.475*44/12</f>
        <v>0.40974289634458783</v>
      </c>
      <c r="CN77" s="22">
        <f t="shared" si="66"/>
        <v>3.9160636316048745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4.2</v>
      </c>
      <c r="CT77" s="12">
        <f>IF('Données projet'!$A$140&gt;35,CT76+CS77-DB76,IF(A77&lt;'Données projet'!$A$140,$CQ$205^A77,IF(A77='Données projet'!$A$140,'Données projet'!$B$140,CT76+CS77-DB76)))</f>
        <v>319.7999999999999</v>
      </c>
      <c r="CU77" s="17">
        <f>CT77*VLOOKUP('Données projet'!$B$13,Paramètres!$A$1:$I$89,3,0)*VLOOKUP('Données projet'!$B$13,Paramètres!$A$1:$I$89,5,0)</f>
        <v>254.43287999999995</v>
      </c>
      <c r="CV77" s="13">
        <f t="shared" si="95"/>
        <v>61.534202204620392</v>
      </c>
      <c r="CW77" s="20">
        <f t="shared" si="67"/>
        <v>550.30933483971376</v>
      </c>
      <c r="CX77" s="59">
        <f t="shared" si="68"/>
        <v>843.64266817304701</v>
      </c>
      <c r="CY77" s="59">
        <f ca="1">AVERAGE(OFFSET($CX$3,0,0,'Données projet'!$E$13+1,1))-AVERAGE(OFFSET($H$3,0,0,'Données projet'!$E$13+1,1))</f>
        <v>353.37479213497227</v>
      </c>
      <c r="CZ77" s="59">
        <f t="shared" si="96"/>
        <v>345.4750813433123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13.805563841892811</v>
      </c>
      <c r="DG77" s="21">
        <f>EXP(-LN(2)/25)*DG76+(1-EXP(-LN(2)/25))/(LN(2)/25)*Calculateur!DB77*Calculateur!DD77*VLOOKUP('Données projet'!$B$13,Paramètres!$A$1:$I$89,3,0)*0.475*44/12</f>
        <v>13.942666093677076</v>
      </c>
      <c r="DH77" s="21">
        <f>EXP(-LN(2)/2)*DH76+(1-EXP(-LN(2)/2))/(LN(2)/2)*DB77*DE77*VLOOKUP('Données projet'!$B$13,Paramètres!$A$1:$I$89,3,0)*0.475*44/12</f>
        <v>0.74353774272023654</v>
      </c>
      <c r="DI77" s="22">
        <f t="shared" si="69"/>
        <v>28.491767678290124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>
        <f>VLOOKUP(A77,'Données projet'!$A$165:$I$185,2,0)</f>
        <v>310.95999999999998</v>
      </c>
      <c r="DM77" s="12">
        <f>VLOOKUP(A77,'Données projet'!$A$165:$I$185,9,0)</f>
        <v>9.733749999999997</v>
      </c>
      <c r="DN77" s="12">
        <f t="array" ref="DN77">INDEX(DM:DM,MIN(IF(ISNUMBER(DM77:DM273),ROW(DM77:DM273),"")))</f>
        <v>9.733749999999997</v>
      </c>
      <c r="DO77" s="12">
        <f>IF('Données projet'!$A$166&gt;35,DO76+DN77-DW76,IF(A77&lt;'Données projet'!$A$166,$DL$205^A77,IF(A77='Données projet'!$A$166,'Données projet'!$B$166,DO76+DN77-DW76)))</f>
        <v>310.96000000000026</v>
      </c>
      <c r="DP77" s="17">
        <f>DO77*VLOOKUP('Données projet'!$B$14,Paramètres!$A$1:$I$89,3,0)*VLOOKUP('Données projet'!$B$14,Paramètres!$A$1:$I$89,5,0)</f>
        <v>281.35660800000022</v>
      </c>
      <c r="DQ77" s="13">
        <f t="shared" si="97"/>
        <v>67.253618453644265</v>
      </c>
      <c r="DR77" s="20">
        <f t="shared" si="70"/>
        <v>607.16281107343082</v>
      </c>
      <c r="DS77" s="59">
        <f t="shared" si="71"/>
        <v>900.49614440676419</v>
      </c>
      <c r="DT77" s="59">
        <f ca="1">AVERAGE(OFFSET($DS$3,0,0,'Données projet'!$E$14+1,1))-AVERAGE(OFFSET($H$3,0,0,'Données projet'!$E$14+1,1))</f>
        <v>635.71275911100679</v>
      </c>
      <c r="DU77" s="59">
        <f t="shared" si="98"/>
        <v>281.7776857269169</v>
      </c>
      <c r="DV77" s="15">
        <f>IF(ISNA(VLOOKUP(A77,'Données projet'!$A$165:$I$185,3,0)),0,VLOOKUP(A77,'Données projet'!$A$165:$I$185,3,0))</f>
        <v>5</v>
      </c>
      <c r="DW77" s="15">
        <f>IF(ISNA(VLOOKUP(A77,'Données projet'!$A$165:$I$185,4,0)),0,VLOOKUP(A77,'Données projet'!$A$165:$I$185,4,0))</f>
        <v>51.339999999999975</v>
      </c>
      <c r="DX77" s="16">
        <f>IF(ISNA(VLOOKUP(A77,'Données projet'!$A$165:$I$185,5,0)),0%,VLOOKUP(A77,'Données projet'!$A$165:$I$185,5,0)*VLOOKUP('Données projet'!$B$14,Paramètres!$A$1:$I$89,7,0))</f>
        <v>0.15049999999999999</v>
      </c>
      <c r="DY77" s="16">
        <f>IF(ISNA(VLOOKUP(A77,'Données projet'!$A$165:$I$185,6,0)),0%,VLOOKUP(A77,'Données projet'!$A$165:$I$185,6,0)*VLOOKUP('Données projet'!$B$14,Paramètres!$A$1:$I$89,7,0))</f>
        <v>8.6000000000000007E-2</v>
      </c>
      <c r="DZ77" s="16">
        <f>IF(ISNA(VLOOKUP(A77,'Données projet'!$A$165:$I$185,7,0)),0%,VLOOKUP(A77,'Données projet'!$A$165:$I$185,7,0))</f>
        <v>0.1</v>
      </c>
      <c r="EA77" s="21">
        <f>EXP(-LN(2)/35)*EA76+(1-EXP(-LN(2)/35))/(LN(2)/35)*DW77*DX77*VLOOKUP('Données projet'!$B$14,Paramètres!$A$1:$I$89,3,0)*0.475*44/12</f>
        <v>14.625152268757301</v>
      </c>
      <c r="EB77" s="21">
        <f>EXP(-LN(2)/25)*EB76+(1-EXP(-LN(2)/25))/(LN(2)/25)*Calculateur!DW77*Calculateur!DY77*VLOOKUP('Données projet'!$B$14,Paramètres!$A$1:$I$89,3,0)*0.475*44/12</f>
        <v>31.489340968528012</v>
      </c>
      <c r="EC77" s="21">
        <f>EXP(-LN(2)/2)*EC76+(1-EXP(-LN(2)/2))/(LN(2)/2)*DW77*DZ77*VLOOKUP('Données projet'!$B$14,Paramètres!$A$1:$I$89,3,0)*0.475*44/12</f>
        <v>4.7028840054751821</v>
      </c>
      <c r="ED77" s="22">
        <f t="shared" si="72"/>
        <v>50.8173772427605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>
        <f>VLOOKUP(A77,'Données projet'!$A$191:$I$211,2,0)</f>
        <v>310.95999999999998</v>
      </c>
      <c r="EH77" s="12">
        <f>VLOOKUP(A77,'Données projet'!$A$191:$I$211,9,0)</f>
        <v>9.733749999999997</v>
      </c>
      <c r="EI77" s="12">
        <f t="array" ref="EI77">INDEX(EH:EH,MIN(IF(ISNUMBER(EH77:EH273),ROW(EH77:EH273),"")))</f>
        <v>9.733749999999997</v>
      </c>
      <c r="EJ77" s="12">
        <f>IF('Données projet'!$A$192&gt;35,EJ76+EI77-ER76,IF(A77&lt;'Données projet'!$A$192,$EG$205^A77,IF(A77='Données projet'!$A$192,'Données projet'!$B$192,EJ76+EI77-ER76)))</f>
        <v>310.96000000000026</v>
      </c>
      <c r="EK77" s="17">
        <f>EJ77*VLOOKUP('Données projet'!$B$15,Paramètres!$A$1:$I$89,3,0)*VLOOKUP('Données projet'!$B$15,Paramètres!$A$1:$I$89,5,0)</f>
        <v>208.59196800000015</v>
      </c>
      <c r="EL77" s="13">
        <f t="shared" si="99"/>
        <v>51.627774911273974</v>
      </c>
      <c r="EM77" s="20">
        <f t="shared" si="73"/>
        <v>453.21605223713573</v>
      </c>
      <c r="EN77" s="59">
        <f t="shared" si="74"/>
        <v>746.54938557046898</v>
      </c>
      <c r="EO77" s="59">
        <f ca="1">AVERAGE(OFFSET($EN$3,0,0,'Données projet'!$E$15+1,1))-AVERAGE(OFFSET($H$3,0,0,'Données projet'!$E$15+1,1))</f>
        <v>482.99915419700773</v>
      </c>
      <c r="EP77" s="59">
        <f t="shared" si="100"/>
        <v>219.74157899604279</v>
      </c>
      <c r="EQ77" s="15">
        <f>IF(ISNA(VLOOKUP(A77,'Données projet'!$A$191:$I$211,3,0)),0,VLOOKUP(A77,'Données projet'!$A$191:$I$211,3,0))</f>
        <v>5</v>
      </c>
      <c r="ER77" s="15">
        <f>IF(ISNA(VLOOKUP(A77,'Données projet'!$A$191:$I$211,4,0)),0,VLOOKUP(A77,'Données projet'!$A$191:$I$211,4,0))</f>
        <v>51.339999999999975</v>
      </c>
      <c r="ES77" s="16">
        <f>IF(ISNA(VLOOKUP(A77,'Données projet'!$A$191:$I$211,5,0)),0%,VLOOKUP(A77,'Données projet'!$A$191:$I$211,5,0)*VLOOKUP('Données projet'!$B$15,Paramètres!$A$1:$I$89,7,0))</f>
        <v>0.1855</v>
      </c>
      <c r="ET77" s="16">
        <f>IF(ISNA(VLOOKUP(A77,'Données projet'!$A$191:$I$211,6,0)),0%,VLOOKUP(A77,'Données projet'!$A$191:$I$211,6,0)*VLOOKUP('Données projet'!$B$15,Paramètres!$A$1:$I$89,7,0))</f>
        <v>0.10600000000000001</v>
      </c>
      <c r="EU77" s="16">
        <f>IF(ISNA(VLOOKUP(A77,'Données projet'!$A$191:$I$211,7,0)),0%,VLOOKUP(A77,'Données projet'!$A$191:$I$211,7,0))</f>
        <v>0.1</v>
      </c>
      <c r="EV77" s="21">
        <f>EXP(-LN(2)/35)*EV76+(1-EXP(-LN(2)/35))/(LN(2)/35)*ER77*ES77*VLOOKUP('Données projet'!$B$15,Paramètres!$A$1:$I$89,3,0)*0.475*44/12</f>
        <v>13.364363280071327</v>
      </c>
      <c r="EW77" s="21">
        <f>EXP(-LN(2)/25)*EW76+(1-EXP(-LN(2)/25))/(LN(2)/25)*Calculateur!ER77*Calculateur!ET77*VLOOKUP('Données projet'!$B$15,Paramètres!$A$1:$I$89,3,0)*0.475*44/12</f>
        <v>28.774742609172151</v>
      </c>
      <c r="EX77" s="21">
        <f>EXP(-LN(2)/2)*EX76+(1-EXP(-LN(2)/2))/(LN(2)/2)*ER77*EU77*VLOOKUP('Données projet'!$B$15,Paramètres!$A$1:$I$89,3,0)*0.475*44/12</f>
        <v>3.4866209006109119</v>
      </c>
      <c r="EY77" s="22">
        <f t="shared" si="75"/>
        <v>45.62572678985439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>
        <f>VLOOKUP(A77,'Données projet'!$A$217:$I$237,2,0)</f>
        <v>310.95999999999998</v>
      </c>
      <c r="FC77" s="12">
        <f>VLOOKUP(A77,'Données projet'!$A$217:$I$237,9,0)</f>
        <v>9.733749999999997</v>
      </c>
      <c r="FD77" s="12">
        <f t="array" ref="FD77">INDEX(FC:FC,MIN(IF(ISNUMBER(FC77:FC273),ROW(FC77:FC273),"")))</f>
        <v>9.733749999999997</v>
      </c>
      <c r="FE77" s="12">
        <f>IF('Données projet'!$A$218&gt;35,FE76+FD77-FM76,IF(A77&lt;'Données projet'!$A$218,$FB$205^A77,IF(A77='Données projet'!$A$218,'Données projet'!$B$218,FE76+FD77-FM76)))</f>
        <v>310.96000000000026</v>
      </c>
      <c r="FF77" s="17">
        <f>FE77*VLOOKUP('Données projet'!$B$16,Paramètres!$A$1:$I$89,3,0)*VLOOKUP('Données projet'!$B$16,Paramètres!$A$1:$I$89,5,0)</f>
        <v>295.90953600000029</v>
      </c>
      <c r="FG77" s="13">
        <f t="shared" si="101"/>
        <v>70.318261143223381</v>
      </c>
      <c r="FH77" s="20">
        <f t="shared" si="76"/>
        <v>637.8467466911145</v>
      </c>
      <c r="FI77" s="59">
        <f t="shared" si="77"/>
        <v>931.18008002444776</v>
      </c>
      <c r="FJ77" s="59">
        <f ca="1">AVERAGE(OFFSET($FI$3,0,0,'Données projet'!$E$16+1,1))-AVERAGE(OFFSET($H$3,0,0,'Données projet'!$E$16+1,1))</f>
        <v>666.1523645983184</v>
      </c>
      <c r="FK77" s="59">
        <f t="shared" si="102"/>
        <v>294.13851344047526</v>
      </c>
      <c r="FL77" s="15">
        <f>IF(ISNA(VLOOKUP(A77,'Données projet'!$A$217:$I$237,3,0)),0,VLOOKUP(A77,'Données projet'!$A$217:$I$237,3,0))</f>
        <v>5</v>
      </c>
      <c r="FM77" s="15">
        <f>IF(ISNA(VLOOKUP(A77,'Données projet'!$A$217:$I$237,4,0)),0,VLOOKUP(A77,'Données projet'!$A$217:$I$237,4,0))</f>
        <v>51.339999999999975</v>
      </c>
      <c r="FN77" s="16">
        <f>IF(ISNA(VLOOKUP(A77,'Données projet'!$A$217:$I$237,5,0)),0%,VLOOKUP(A77,'Données projet'!$A$217:$I$237,5,0)*VLOOKUP('Données projet'!$B$16,Paramètres!$A$1:$I$89,7,0))</f>
        <v>0.15049999999999999</v>
      </c>
      <c r="FO77" s="16">
        <f>IF(ISNA(VLOOKUP(A77,'Données projet'!$A$217:$I$237,6,0)),0%,VLOOKUP(A77,'Données projet'!$A$217:$I$237,6,0)*VLOOKUP('Données projet'!$B$16,Paramètres!$A$1:$I$89,7,0))</f>
        <v>8.6000000000000007E-2</v>
      </c>
      <c r="FP77" s="16">
        <f>IF(ISNA(VLOOKUP(A77,'Données projet'!$A$217:$I$237,7,0)),0%,VLOOKUP(A77,'Données projet'!$A$217:$I$237,7,0))</f>
        <v>0.1</v>
      </c>
      <c r="FQ77" s="21">
        <f>EXP(-LN(2)/35)*FQ76+(1-EXP(-LN(2)/35))/(LN(2)/35)*FM77*FN77*VLOOKUP('Données projet'!$B$16,Paramètres!$A$1:$I$89,3,0)*0.475*44/12</f>
        <v>15.381625661968885</v>
      </c>
      <c r="FR77" s="21">
        <f>EXP(-LN(2)/25)*FR76+(1-EXP(-LN(2)/25))/(LN(2)/25)*Calculateur!FM77*Calculateur!FO77*VLOOKUP('Données projet'!$B$16,Paramètres!$A$1:$I$89,3,0)*0.475*44/12</f>
        <v>33.118099984141523</v>
      </c>
      <c r="FS77" s="21">
        <f>EXP(-LN(2)/2)*FS76+(1-EXP(-LN(2)/2))/(LN(2)/2)*FM77*FP77*VLOOKUP('Données projet'!$B$16,Paramètres!$A$1:$I$89,3,0)*0.475*44/12</f>
        <v>4.9461366264480375</v>
      </c>
      <c r="FT77" s="22">
        <f t="shared" si="78"/>
        <v>53.445862272558443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324</v>
      </c>
      <c r="L78" s="12">
        <f>VLOOKUP(A78,'Données projet'!$A$35:$I$55,9,0)</f>
        <v>4.2</v>
      </c>
      <c r="M78" s="12">
        <f t="array" ref="M78">INDEX(L:L,MIN(IF(ISNUMBER(L78:L274),ROW(L78:L274),"")))</f>
        <v>4.2</v>
      </c>
      <c r="N78" s="13">
        <f>IF('Données projet'!$A$36&gt;35,N77+M78-V77,IF(A78&lt;'Données projet'!$A$36,$K$205^A78,IF(A78='Données projet'!$A$36,'Données projet'!$B$36,N77+M78-V77)))</f>
        <v>323.99999999999989</v>
      </c>
      <c r="O78" s="13">
        <f>N78*VLOOKUP('Données projet'!$B$9,Paramètres!$A$1:$I$89,3,0)*VLOOKUP('Données projet'!$B$9,Paramètres!$A$1:$I$89,5,0)</f>
        <v>237.55679999999992</v>
      </c>
      <c r="P78" s="13">
        <f t="shared" si="87"/>
        <v>57.913551469467308</v>
      </c>
      <c r="Q78" s="20">
        <f t="shared" si="54"/>
        <v>514.61086214265538</v>
      </c>
      <c r="R78" s="59">
        <f t="shared" si="55"/>
        <v>807.94419547598864</v>
      </c>
      <c r="S78" s="59">
        <f ca="1">AVERAGE(OFFSET($R$3,0,0,'Données projet'!$E$9+1,1))-AVERAGE(OFFSET($H$3,0,0,'Données projet'!$E$9+1,1))</f>
        <v>328.55631138162721</v>
      </c>
      <c r="T78" s="59">
        <f t="shared" si="88"/>
        <v>321.81422611044985</v>
      </c>
      <c r="U78" s="15">
        <f>IF(ISNA(VLOOKUP(A78,'Données projet'!$A$35:$I$55,3,0)),0,VLOOKUP(A78,'Données projet'!$A$35:$I$55,3,0))</f>
        <v>13</v>
      </c>
      <c r="V78" s="15">
        <f>IF(ISNA(VLOOKUP(A78,'Données projet'!$A$35:$I$55,4,0)),0,VLOOKUP(A78,'Données projet'!$A$35:$I$55,4,0))</f>
        <v>12</v>
      </c>
      <c r="W78" s="16">
        <f>IF(ISNA(VLOOKUP(A78,'Données projet'!$A$35:$I$55,5,0)),0%,VLOOKUP(A78,'Données projet'!$A$35:$I$55,5,0)*VLOOKUP('Données projet'!$B$9,Paramètres!$A$1:$I$89,7,0))</f>
        <v>0.1075</v>
      </c>
      <c r="X78" s="16">
        <f>IF(ISNA(VLOOKUP(A78,'Données projet'!$A$35:$I$55,6,0)),0%,VLOOKUP(A78,'Données projet'!$A$35:$I$55,6,0)*VLOOKUP('Données projet'!$B$9,Paramètres!$A$1:$I$89,7,0))</f>
        <v>0.1075</v>
      </c>
      <c r="Y78" s="16">
        <f>IF(ISNA(VLOOKUP(A78,'Données projet'!$A$35:$I$55,7,0)),0%,VLOOKUP(A78,'Données projet'!$A$35:$I$55,7,0))</f>
        <v>0.25</v>
      </c>
      <c r="Z78" s="21">
        <f>EXP(-LN(2)/35)*Z77+(1-EXP(-LN(2)/35))/(LN(2)/35)*V78*W78*VLOOKUP('Données projet'!$B$9,Paramètres!$A$1:$I$89,3,0)*0.475*44/12</f>
        <v>11.165422817895147</v>
      </c>
      <c r="AA78" s="21">
        <f>EXP(-LN(2)/25)*AA77+(1-EXP(-LN(2)/25))/(LN(2)/25)*Calculateur!V78*Calculateur!X78*VLOOKUP('Données projet'!$B$9,Paramètres!$A$1:$I$89,3,0)*0.475*44/12</f>
        <v>11.181163043829454</v>
      </c>
      <c r="AB78" s="21">
        <f>EXP(-LN(2)/2)*AB77+(1-EXP(-LN(2)/2))/(LN(2)/2)*V78*Y78*VLOOKUP('Données projet'!$B$9,Paramètres!$A$1:$I$89,3,0)*0.475*44/12</f>
        <v>2.5599062573943261</v>
      </c>
      <c r="AC78" s="22">
        <f t="shared" si="57"/>
        <v>24.906492119118923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324</v>
      </c>
      <c r="AG78" s="12">
        <f>VLOOKUP(A78,'Données projet'!$A$61:$I$81,9,0)</f>
        <v>4.2</v>
      </c>
      <c r="AH78" s="12">
        <f t="array" ref="AH78">INDEX(AG:AG,MIN(IF(ISNUMBER(AG78:AG274),ROW(AG78:AG274),"")))</f>
        <v>4.2</v>
      </c>
      <c r="AI78" s="13">
        <f>IF('Données projet'!$A$62&gt;35,AI77+AH78-AQ77,IF(A78&lt;'Données projet'!$A$62,$AF$205^A78,IF(A78='Données projet'!$A$62,'Données projet'!$B$62,AI77+AH78-AQ77)))</f>
        <v>323.99999999999989</v>
      </c>
      <c r="AJ78" s="13">
        <f>AI78*VLOOKUP('Données projet'!$B$10,Paramètres!$A$1:$I$89,3,0)*VLOOKUP('Données projet'!$B$10,Paramètres!$A$1:$I$89,5,0)</f>
        <v>257.77439999999996</v>
      </c>
      <c r="AK78" s="13">
        <f t="shared" si="89"/>
        <v>62.247732872134293</v>
      </c>
      <c r="AL78" s="20">
        <f t="shared" si="58"/>
        <v>557.37188141896718</v>
      </c>
      <c r="AM78" s="59">
        <f t="shared" si="59"/>
        <v>850.70521475230044</v>
      </c>
      <c r="AN78" s="59">
        <f ca="1">AVERAGE(OFFSET($AM$3,0,0,'Données projet'!$E$10+1,1))-AVERAGE(OFFSET($H$3,0,0,'Données projet'!$E$10+1,1))</f>
        <v>353.37479213497227</v>
      </c>
      <c r="AO78" s="59">
        <f t="shared" si="90"/>
        <v>345.4750813433123</v>
      </c>
      <c r="AP78" s="15">
        <f>IF(ISNA(VLOOKUP(A78,'Données projet'!$A$61:$I$81,3,0)),0,VLOOKUP(A78,'Données projet'!$A$61:$I$81,3,0))</f>
        <v>13</v>
      </c>
      <c r="AQ78" s="15">
        <f>IF(ISNA(VLOOKUP(A78,'Données projet'!$A$61:$I$81,4,0)),0,VLOOKUP(A78,'Données projet'!$A$61:$I$81,4,0))</f>
        <v>12</v>
      </c>
      <c r="AR78" s="16">
        <f>IF(ISNA(VLOOKUP(A78,'Données projet'!$A$61:$I$81,5,0)),0%,VLOOKUP(A78,'Données projet'!$A$61:$I$81,5,0)*VLOOKUP('Données projet'!$B$10,Paramètres!$A$1:$I$89,7,0))</f>
        <v>0.13250000000000001</v>
      </c>
      <c r="AS78" s="16">
        <f>IF(ISNA(VLOOKUP(A78,'Données projet'!$A$61:$I$81,6,0)),0%,VLOOKUP(A78,'Données projet'!$A$61:$I$81,6,0)*VLOOKUP('Données projet'!$B$10,Paramètres!$A$1:$I$89,7,0))</f>
        <v>0.13250000000000001</v>
      </c>
      <c r="AT78" s="16">
        <f>IF(ISNA(VLOOKUP(A78,'Données projet'!$A$61:$I$81,7,0)),0%,VLOOKUP(A78,'Données projet'!$A$61:$I$81,7,0))</f>
        <v>0.25</v>
      </c>
      <c r="AU78" s="21">
        <f>EXP(-LN(2)/35)*AU77+(1-EXP(-LN(2)/35))/(LN(2)/35)*AQ78*AR78*VLOOKUP('Données projet'!$B$10,Paramètres!$A$1:$I$89,3,0)*0.475*44/12</f>
        <v>14.933269607506475</v>
      </c>
      <c r="AV78" s="21">
        <f>EXP(-LN(2)/25)*AV77+(1-EXP(-LN(2)/25))/(LN(2)/25)*Calculateur!AQ78*Calculateur!AS78*VLOOKUP('Données projet'!$B$10,Paramètres!$A$1:$I$89,3,0)*0.475*44/12</f>
        <v>14.954321478214256</v>
      </c>
      <c r="AW78" s="21">
        <f>EXP(-LN(2)/2)*AW77+(1-EXP(-LN(2)/2))/(LN(2)/2)*AQ78*AT78*VLOOKUP('Données projet'!$B$10,Paramètres!$A$1:$I$89,3,0)*0.475*44/12</f>
        <v>2.7777706197257581</v>
      </c>
      <c r="AX78" s="21">
        <f t="shared" si="60"/>
        <v>32.665361705446486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324</v>
      </c>
      <c r="BB78" s="12">
        <f>VLOOKUP(A78,'Données projet'!$A$87:$I$107,9,0)</f>
        <v>4.2</v>
      </c>
      <c r="BC78" s="12">
        <f t="array" ref="BC78">INDEX(BB:BB,MIN(IF(ISNUMBER(BB78:BB274),ROW(BB78:BB274),"")))</f>
        <v>4.2</v>
      </c>
      <c r="BD78" s="12">
        <f>IF('Données projet'!$A$88&gt;35,BD77+BC78-BL77,IF(A78&lt;'Données projet'!$A$88,$BA$205^A78,IF(A78='Données projet'!$A$88,'Données projet'!$B$88,BD77+BC78-BL77)))</f>
        <v>323.99999999999989</v>
      </c>
      <c r="BE78" s="13">
        <f>BD78*VLOOKUP('Données projet'!$B$11,Paramètres!$A$1:$I$89,3,0)*VLOOKUP('Données projet'!$B$11,Paramètres!$A$1:$I$89,5,0)</f>
        <v>262.82879999999989</v>
      </c>
      <c r="BF78" s="13">
        <f t="shared" si="91"/>
        <v>63.324983518559428</v>
      </c>
      <c r="BG78" s="20">
        <f t="shared" si="61"/>
        <v>568.05117296149081</v>
      </c>
      <c r="BH78" s="59">
        <f t="shared" si="62"/>
        <v>861.38450629482418</v>
      </c>
      <c r="BI78" s="59">
        <f ca="1">AVERAGE(OFFSET($BH$3,0,0,'Données projet'!$E$11+1,1))-AVERAGE(OFFSET($H$3,0,0,'Données projet'!$E$11+1,1))</f>
        <v>359.57284550600366</v>
      </c>
      <c r="BJ78" s="59">
        <f t="shared" si="92"/>
        <v>351.38386928091433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12</v>
      </c>
      <c r="BM78" s="16">
        <f>IF(ISNA(VLOOKUP(A78,'Données projet'!$A$87:$I$107,5,0)),0%,VLOOKUP(A78,'Données projet'!$A$87:$I$107,5,0)*VLOOKUP('Données projet'!$B$11,Paramètres!$A$1:$I$89,7,0))</f>
        <v>0.13250000000000001</v>
      </c>
      <c r="BN78" s="16">
        <f>IF(ISNA(VLOOKUP(A78,'Données projet'!$A$87:$I$107,6,0)),0%,VLOOKUP(A78,'Données projet'!$A$87:$I$107,6,0)*VLOOKUP('Données projet'!$B$11,Paramètres!$A$1:$I$89,7,0))</f>
        <v>0.13250000000000001</v>
      </c>
      <c r="BO78" s="16">
        <f>IF(ISNA(VLOOKUP(A78,'Données projet'!$A$87:$I$107,7,0)),0%,VLOOKUP(A78,'Données projet'!$A$87:$I$107,7,0))</f>
        <v>0.25</v>
      </c>
      <c r="BP78" s="21">
        <f>EXP(-LN(2)/35)*BP77+(1-EXP(-LN(2)/35))/(LN(2)/35)*BL78*BM78*VLOOKUP('Données projet'!$B$11,Paramètres!$A$1:$I$89,3,0)*0.475*44/12</f>
        <v>15.226078815496804</v>
      </c>
      <c r="BQ78" s="21">
        <f>EXP(-LN(2)/25)*BQ77+(1-EXP(-LN(2)/25))/(LN(2)/25)*Calculateur!BL78*Calculateur!BN78*VLOOKUP('Données projet'!$B$11,Paramètres!$A$1:$I$89,3,0)*0.475*44/12</f>
        <v>15.247543467983171</v>
      </c>
      <c r="BR78" s="21">
        <f>EXP(-LN(2)/2)*BR77+(1-EXP(-LN(2)/2))/(LN(2)/2)*BL78*BO78*VLOOKUP('Données projet'!$B$11,Paramètres!$A$1:$I$89,3,0)*0.475*44/12</f>
        <v>2.8322367103086163</v>
      </c>
      <c r="BS78" s="22">
        <f t="shared" si="63"/>
        <v>33.30585899378859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118.58974358974359</v>
      </c>
      <c r="BW78" s="12">
        <f>VLOOKUP(A78,'Données projet'!$A$113:$I$133,9,0)</f>
        <v>2.3076923076923093</v>
      </c>
      <c r="BX78" s="12">
        <f t="array" ref="BX78">INDEX(BW:BW,MIN(IF(ISNUMBER(BW78:BW274),ROW(BW78:BW274),"")))</f>
        <v>2.3076923076923093</v>
      </c>
      <c r="BY78" s="12">
        <f>IF('Données projet'!$A$114&gt;35,BY77+BX78-CG77,IF(A78&lt;'Données projet'!$A$114,$BV$205^A78,IF(A78='Données projet'!$A$114,'Données projet'!$B$114,BY77+BX78-CG77)))</f>
        <v>118.58974358974353</v>
      </c>
      <c r="BZ78" s="13">
        <f>BY78*VLOOKUP('Données projet'!$B$12,Paramètres!$A$1:$I$89,3,0)*VLOOKUP('Données projet'!$B$12,Paramètres!$A$1:$I$89,5,0)</f>
        <v>96.19999999999996</v>
      </c>
      <c r="CA78" s="13">
        <f t="shared" si="93"/>
        <v>26.054668897183113</v>
      </c>
      <c r="CB78" s="20">
        <f t="shared" si="64"/>
        <v>212.92688166259384</v>
      </c>
      <c r="CC78" s="59">
        <f t="shared" si="65"/>
        <v>506.26021499592719</v>
      </c>
      <c r="CD78" s="59">
        <f ca="1">AVERAGE(OFFSET($CC$3,0,0,'Données projet'!$E$12+1,1))-AVERAGE(OFFSET($H$3,0,0,'Données projet'!$E$12+1,1))</f>
        <v>159.4660488566085</v>
      </c>
      <c r="CE78" s="59">
        <f t="shared" si="94"/>
        <v>135.33030558297088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7.0512820512820511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0.1075</v>
      </c>
      <c r="CJ78" s="16">
        <f>IF(ISNA(VLOOKUP(A78,'Données projet'!$A$113:$I$133,7,0)),0%,VLOOKUP(A78,'Données projet'!$A$113:$I$133,7,0))</f>
        <v>0.25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4.0875174972734243</v>
      </c>
      <c r="CM78" s="21">
        <f>EXP(-LN(2)/2)*CM77+(1-EXP(-LN(2)/2))/(LN(2)/2)*CG78*CJ78*VLOOKUP('Données projet'!$B$12,Paramètres!$A$1:$I$89,3,0)*0.475*44/12</f>
        <v>1.6389754684339801</v>
      </c>
      <c r="CN78" s="22">
        <f t="shared" si="66"/>
        <v>5.7264929657074042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324</v>
      </c>
      <c r="CR78" s="12">
        <f>VLOOKUP(A78,'Données projet'!$A$139:$I$159,9,0)</f>
        <v>4.2</v>
      </c>
      <c r="CS78" s="12">
        <f t="array" ref="CS78">INDEX(CR:CR,MIN(IF(ISNUMBER(CR78:CR274),ROW(CR78:CR274),"")))</f>
        <v>4.2</v>
      </c>
      <c r="CT78" s="12">
        <f>IF('Données projet'!$A$140&gt;35,CT77+CS78-DB77,IF(A78&lt;'Données projet'!$A$140,$CQ$205^A78,IF(A78='Données projet'!$A$140,'Données projet'!$B$140,CT77+CS78-DB77)))</f>
        <v>323.99999999999989</v>
      </c>
      <c r="CU78" s="17">
        <f>CT78*VLOOKUP('Données projet'!$B$13,Paramètres!$A$1:$I$89,3,0)*VLOOKUP('Données projet'!$B$13,Paramètres!$A$1:$I$89,5,0)</f>
        <v>257.77439999999996</v>
      </c>
      <c r="CV78" s="13">
        <f t="shared" si="95"/>
        <v>62.247732872134293</v>
      </c>
      <c r="CW78" s="20">
        <f t="shared" si="67"/>
        <v>557.37188141896718</v>
      </c>
      <c r="CX78" s="59">
        <f t="shared" si="68"/>
        <v>850.70521475230044</v>
      </c>
      <c r="CY78" s="59">
        <f ca="1">AVERAGE(OFFSET($CX$3,0,0,'Données projet'!$E$13+1,1))-AVERAGE(OFFSET($H$3,0,0,'Données projet'!$E$13+1,1))</f>
        <v>353.37479213497227</v>
      </c>
      <c r="CZ78" s="59">
        <f t="shared" si="96"/>
        <v>345.4750813433123</v>
      </c>
      <c r="DA78" s="15">
        <f>IF(ISNA(VLOOKUP(A78,'Données projet'!$A$139:$I$159,3,0)),0,VLOOKUP(A78,'Données projet'!$A$139:$I$159,3,0))</f>
        <v>13</v>
      </c>
      <c r="DB78" s="15">
        <f>IF(ISNA(VLOOKUP(A78,'Données projet'!$A$139:$I$159,4,0)),0,VLOOKUP(A78,'Données projet'!$A$139:$I$159,4,0))</f>
        <v>12</v>
      </c>
      <c r="DC78" s="16">
        <f>IF(ISNA(VLOOKUP(A78,'Données projet'!$A$139:$I$159,5,0)),0%,VLOOKUP(A78,'Données projet'!$A$139:$I$159,5,0)*VLOOKUP('Données projet'!$B$13,Paramètres!$A$1:$I$89,7,0))</f>
        <v>0.13250000000000001</v>
      </c>
      <c r="DD78" s="16">
        <f>IF(ISNA(VLOOKUP(A78,'Données projet'!$A$139:$I$159,6,0)),0%,VLOOKUP(A78,'Données projet'!$A$139:$I$159,6,0)*VLOOKUP('Données projet'!$B$13,Paramètres!$A$1:$I$89,7,0))</f>
        <v>0.13250000000000001</v>
      </c>
      <c r="DE78" s="16">
        <f>IF(ISNA(VLOOKUP(A78,'Données projet'!$A$139:$I$159,7,0)),0%,VLOOKUP(A78,'Données projet'!$A$139:$I$159,7,0))</f>
        <v>0.25</v>
      </c>
      <c r="DF78" s="21">
        <f>EXP(-LN(2)/35)*DF77+(1-EXP(-LN(2)/35))/(LN(2)/35)*DB78*DC78*VLOOKUP('Données projet'!$B$13,Paramètres!$A$1:$I$89,3,0)*0.475*44/12</f>
        <v>14.933269607506475</v>
      </c>
      <c r="DG78" s="21">
        <f>EXP(-LN(2)/25)*DG77+(1-EXP(-LN(2)/25))/(LN(2)/25)*Calculateur!DB78*Calculateur!DD78*VLOOKUP('Données projet'!$B$13,Paramètres!$A$1:$I$89,3,0)*0.475*44/12</f>
        <v>14.954321478214256</v>
      </c>
      <c r="DH78" s="21">
        <f>EXP(-LN(2)/2)*DH77+(1-EXP(-LN(2)/2))/(LN(2)/2)*DB78*DE78*VLOOKUP('Données projet'!$B$13,Paramètres!$A$1:$I$89,3,0)*0.475*44/12</f>
        <v>2.7777706197257581</v>
      </c>
      <c r="DI78" s="22">
        <f t="shared" si="69"/>
        <v>32.665361705446486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9.546999999999997</v>
      </c>
      <c r="DO78" s="12">
        <f>IF('Données projet'!$A$166&gt;35,DO77+DN78-DW77,IF(A78&lt;'Données projet'!$A$166,$DL$205^A78,IF(A78='Données projet'!$A$166,'Données projet'!$B$166,DO77+DN78-DW77)))</f>
        <v>269.16700000000031</v>
      </c>
      <c r="DP78" s="17">
        <f>DO78*VLOOKUP('Données projet'!$B$14,Paramètres!$A$1:$I$89,3,0)*VLOOKUP('Données projet'!$B$14,Paramètres!$A$1:$I$89,5,0)</f>
        <v>243.54230160000029</v>
      </c>
      <c r="DQ78" s="13">
        <f t="shared" si="97"/>
        <v>59.201022808040776</v>
      </c>
      <c r="DR78" s="20">
        <f t="shared" si="70"/>
        <v>527.27795667733812</v>
      </c>
      <c r="DS78" s="59">
        <f t="shared" si="71"/>
        <v>820.61129001067138</v>
      </c>
      <c r="DT78" s="59">
        <f ca="1">AVERAGE(OFFSET($DS$3,0,0,'Données projet'!$E$14+1,1))-AVERAGE(OFFSET($H$3,0,0,'Données projet'!$E$14+1,1))</f>
        <v>635.71275911100679</v>
      </c>
      <c r="DU78" s="59">
        <f t="shared" si="98"/>
        <v>281.7776857269169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14.338361953229031</v>
      </c>
      <c r="EB78" s="21">
        <f>EXP(-LN(2)/25)*EB77+(1-EXP(-LN(2)/25))/(LN(2)/25)*Calculateur!DW78*Calculateur!DY78*VLOOKUP('Données projet'!$B$14,Paramètres!$A$1:$I$89,3,0)*0.475*44/12</f>
        <v>30.628263283791142</v>
      </c>
      <c r="EC78" s="21">
        <f>EXP(-LN(2)/2)*EC77+(1-EXP(-LN(2)/2))/(LN(2)/2)*DW78*DZ78*VLOOKUP('Données projet'!$B$14,Paramètres!$A$1:$I$89,3,0)*0.475*44/12</f>
        <v>3.3254411714052541</v>
      </c>
      <c r="ED78" s="22">
        <f t="shared" si="72"/>
        <v>48.292066408425427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9.546999999999997</v>
      </c>
      <c r="EJ78" s="12">
        <f>IF('Données projet'!$A$192&gt;35,EJ77+EI78-ER77,IF(A78&lt;'Données projet'!$A$192,$EG$205^A78,IF(A78='Données projet'!$A$192,'Données projet'!$B$192,EJ77+EI78-ER77)))</f>
        <v>269.16700000000031</v>
      </c>
      <c r="EK78" s="17">
        <f>EJ78*VLOOKUP('Données projet'!$B$15,Paramètres!$A$1:$I$89,3,0)*VLOOKUP('Données projet'!$B$15,Paramètres!$A$1:$I$89,5,0)</f>
        <v>180.55722360000021</v>
      </c>
      <c r="EL78" s="13">
        <f t="shared" si="99"/>
        <v>45.44613584111341</v>
      </c>
      <c r="EM78" s="20">
        <f t="shared" si="73"/>
        <v>393.62251769327281</v>
      </c>
      <c r="EN78" s="59">
        <f t="shared" si="74"/>
        <v>686.95585102660607</v>
      </c>
      <c r="EO78" s="59">
        <f ca="1">AVERAGE(OFFSET($EN$3,0,0,'Données projet'!$E$15+1,1))-AVERAGE(OFFSET($H$3,0,0,'Données projet'!$E$15+1,1))</f>
        <v>482.99915419700773</v>
      </c>
      <c r="EP78" s="59">
        <f t="shared" si="100"/>
        <v>219.74157899604279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13.102296267605839</v>
      </c>
      <c r="EW78" s="21">
        <f>EXP(-LN(2)/25)*EW77+(1-EXP(-LN(2)/25))/(LN(2)/25)*Calculateur!ER78*Calculateur!ET78*VLOOKUP('Données projet'!$B$15,Paramètres!$A$1:$I$89,3,0)*0.475*44/12</f>
        <v>27.987895759326388</v>
      </c>
      <c r="EX78" s="21">
        <f>EXP(-LN(2)/2)*EX77+(1-EXP(-LN(2)/2))/(LN(2)/2)*ER78*EU78*VLOOKUP('Données projet'!$B$15,Paramètres!$A$1:$I$89,3,0)*0.475*44/12</f>
        <v>2.4654132822487234</v>
      </c>
      <c r="EY78" s="22">
        <f t="shared" si="75"/>
        <v>43.555605309180955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9.546999999999997</v>
      </c>
      <c r="FE78" s="12">
        <f>IF('Données projet'!$A$218&gt;35,FE77+FD78-FM77,IF(A78&lt;'Données projet'!$A$218,$FB$205^A78,IF(A78='Données projet'!$A$218,'Données projet'!$B$218,FE77+FD78-FM77)))</f>
        <v>269.16700000000031</v>
      </c>
      <c r="FF78" s="17">
        <f>FE78*VLOOKUP('Données projet'!$B$16,Paramètres!$A$1:$I$89,3,0)*VLOOKUP('Données projet'!$B$16,Paramètres!$A$1:$I$89,5,0)</f>
        <v>256.13931720000033</v>
      </c>
      <c r="FG78" s="13">
        <f t="shared" si="101"/>
        <v>61.898721250680353</v>
      </c>
      <c r="FH78" s="20">
        <f t="shared" si="76"/>
        <v>553.91625030160219</v>
      </c>
      <c r="FI78" s="59">
        <f t="shared" si="77"/>
        <v>847.24958363493556</v>
      </c>
      <c r="FJ78" s="59">
        <f ca="1">AVERAGE(OFFSET($FI$3,0,0,'Données projet'!$E$16+1,1))-AVERAGE(OFFSET($H$3,0,0,'Données projet'!$E$16+1,1))</f>
        <v>666.1523645983184</v>
      </c>
      <c r="FK78" s="59">
        <f t="shared" si="102"/>
        <v>294.13851344047526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15.080001364602946</v>
      </c>
      <c r="FR78" s="21">
        <f>EXP(-LN(2)/25)*FR77+(1-EXP(-LN(2)/25))/(LN(2)/25)*Calculateur!FM78*Calculateur!FO78*VLOOKUP('Données projet'!$B$16,Paramètres!$A$1:$I$89,3,0)*0.475*44/12</f>
        <v>32.212483798469989</v>
      </c>
      <c r="FS78" s="21">
        <f>EXP(-LN(2)/2)*FS77+(1-EXP(-LN(2)/2))/(LN(2)/2)*FM78*FP78*VLOOKUP('Données projet'!$B$16,Paramètres!$A$1:$I$89,3,0)*0.475*44/12</f>
        <v>3.4974467492365608</v>
      </c>
      <c r="FT78" s="22">
        <f t="shared" si="78"/>
        <v>50.789931912309498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3.6</v>
      </c>
      <c r="N79" s="13">
        <f>IF('Données projet'!$A$36&gt;35,N78+M79-V78,IF(A79&lt;'Données projet'!$A$36,$K$205^A79,IF(A79='Données projet'!$A$36,'Données projet'!$B$36,N78+M79-V78)))</f>
        <v>315.59999999999991</v>
      </c>
      <c r="O79" s="13">
        <f>N79*VLOOKUP('Données projet'!$B$9,Paramètres!$A$1:$I$89,3,0)*VLOOKUP('Données projet'!$B$9,Paramètres!$A$1:$I$89,5,0)</f>
        <v>231.39791999999991</v>
      </c>
      <c r="P79" s="13">
        <f t="shared" si="87"/>
        <v>56.584837838715806</v>
      </c>
      <c r="Q79" s="20">
        <f t="shared" si="54"/>
        <v>501.56996990242982</v>
      </c>
      <c r="R79" s="59">
        <f t="shared" si="55"/>
        <v>794.90330323576313</v>
      </c>
      <c r="S79" s="59">
        <f ca="1">AVERAGE(OFFSET($R$3,0,0,'Données projet'!$E$9+1,1))-AVERAGE(OFFSET($H$3,0,0,'Données projet'!$E$9+1,1))</f>
        <v>328.55631138162721</v>
      </c>
      <c r="T79" s="59">
        <f t="shared" si="88"/>
        <v>321.81422611044985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10.946475686671686</v>
      </c>
      <c r="AA79" s="21">
        <f>EXP(-LN(2)/25)*AA78+(1-EXP(-LN(2)/25))/(LN(2)/25)*Calculateur!V79*Calculateur!X79*VLOOKUP('Données projet'!$B$9,Paramètres!$A$1:$I$89,3,0)*0.475*44/12</f>
        <v>10.875413552404128</v>
      </c>
      <c r="AB79" s="21">
        <f>EXP(-LN(2)/2)*AB78+(1-EXP(-LN(2)/2))/(LN(2)/2)*V79*Y79*VLOOKUP('Données projet'!$B$9,Paramètres!$A$1:$I$89,3,0)*0.475*44/12</f>
        <v>1.8101270738054036</v>
      </c>
      <c r="AC79" s="22">
        <f t="shared" si="57"/>
        <v>23.63201631288122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3.6</v>
      </c>
      <c r="AI79" s="13">
        <f>IF('Données projet'!$A$62&gt;35,AI78+AH79-AQ78,IF(A79&lt;'Données projet'!$A$62,$AF$205^A79,IF(A79='Données projet'!$A$62,'Données projet'!$B$62,AI78+AH79-AQ78)))</f>
        <v>315.59999999999991</v>
      </c>
      <c r="AJ79" s="13">
        <f>AI79*VLOOKUP('Données projet'!$B$10,Paramètres!$A$1:$I$89,3,0)*VLOOKUP('Données projet'!$B$10,Paramètres!$A$1:$I$89,5,0)</f>
        <v>251.09135999999995</v>
      </c>
      <c r="AK79" s="13">
        <f t="shared" si="89"/>
        <v>60.81957989149403</v>
      </c>
      <c r="AL79" s="20">
        <f t="shared" si="58"/>
        <v>543.24488697768527</v>
      </c>
      <c r="AM79" s="59">
        <f t="shared" si="59"/>
        <v>836.57822031101864</v>
      </c>
      <c r="AN79" s="59">
        <f ca="1">AVERAGE(OFFSET($AM$3,0,0,'Données projet'!$E$10+1,1))-AVERAGE(OFFSET($H$3,0,0,'Données projet'!$E$10+1,1))</f>
        <v>353.37479213497227</v>
      </c>
      <c r="AO79" s="59">
        <f t="shared" si="90"/>
        <v>345.4750813433123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14.640437298898354</v>
      </c>
      <c r="AV79" s="21">
        <f>EXP(-LN(2)/25)*AV78+(1-EXP(-LN(2)/25))/(LN(2)/25)*Calculateur!AQ79*Calculateur!AS79*VLOOKUP('Données projet'!$B$10,Paramètres!$A$1:$I$89,3,0)*0.475*44/12</f>
        <v>14.545394770978898</v>
      </c>
      <c r="AW79" s="21">
        <f>EXP(-LN(2)/2)*AW78+(1-EXP(-LN(2)/2))/(LN(2)/2)*AQ79*AT79*VLOOKUP('Données projet'!$B$10,Paramètres!$A$1:$I$89,3,0)*0.475*44/12</f>
        <v>1.9641804417888422</v>
      </c>
      <c r="AX79" s="21">
        <f t="shared" si="60"/>
        <v>31.150012511666091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3.6</v>
      </c>
      <c r="BD79" s="12">
        <f>IF('Données projet'!$A$88&gt;35,BD78+BC79-BL78,IF(A79&lt;'Données projet'!$A$88,$BA$205^A79,IF(A79='Données projet'!$A$88,'Données projet'!$B$88,BD78+BC79-BL78)))</f>
        <v>315.59999999999991</v>
      </c>
      <c r="BE79" s="13">
        <f>BD79*VLOOKUP('Données projet'!$B$11,Paramètres!$A$1:$I$89,3,0)*VLOOKUP('Données projet'!$B$11,Paramètres!$A$1:$I$89,5,0)</f>
        <v>256.01471999999995</v>
      </c>
      <c r="BF79" s="13">
        <f t="shared" si="91"/>
        <v>61.872115120174627</v>
      </c>
      <c r="BG79" s="20">
        <f t="shared" si="61"/>
        <v>553.65290450097075</v>
      </c>
      <c r="BH79" s="59">
        <f t="shared" si="62"/>
        <v>846.98623783430412</v>
      </c>
      <c r="BI79" s="59">
        <f ca="1">AVERAGE(OFFSET($BH$3,0,0,'Données projet'!$E$11+1,1))-AVERAGE(OFFSET($H$3,0,0,'Données projet'!$E$11+1,1))</f>
        <v>359.57284550600366</v>
      </c>
      <c r="BJ79" s="59">
        <f t="shared" si="92"/>
        <v>351.38386928091433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14.927504696915975</v>
      </c>
      <c r="BQ79" s="21">
        <f>EXP(-LN(2)/25)*BQ78+(1-EXP(-LN(2)/25))/(LN(2)/25)*Calculateur!BL79*Calculateur!BN79*VLOOKUP('Données projet'!$B$11,Paramètres!$A$1:$I$89,3,0)*0.475*44/12</f>
        <v>14.83059859001771</v>
      </c>
      <c r="BR79" s="21">
        <f>EXP(-LN(2)/2)*BR78+(1-EXP(-LN(2)/2))/(LN(2)/2)*BL79*BO79*VLOOKUP('Données projet'!$B$11,Paramètres!$A$1:$I$89,3,0)*0.475*44/12</f>
        <v>2.0026937837847023</v>
      </c>
      <c r="BS79" s="22">
        <f t="shared" si="63"/>
        <v>31.760797070718386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2.3076923076923039</v>
      </c>
      <c r="BY79" s="12">
        <f>IF('Données projet'!$A$114&gt;35,BY78+BX79-CG78,IF(A79&lt;'Données projet'!$A$114,$BV$205^A79,IF(A79='Données projet'!$A$114,'Données projet'!$B$114,BY78+BX79-CG78)))</f>
        <v>113.84615384615378</v>
      </c>
      <c r="BZ79" s="13">
        <f>BY79*VLOOKUP('Données projet'!$B$12,Paramètres!$A$1:$I$89,3,0)*VLOOKUP('Données projet'!$B$12,Paramètres!$A$1:$I$89,5,0)</f>
        <v>92.351999999999947</v>
      </c>
      <c r="CA79" s="13">
        <f t="shared" si="93"/>
        <v>25.131616275989728</v>
      </c>
      <c r="CB79" s="20">
        <f t="shared" si="64"/>
        <v>204.61729834734868</v>
      </c>
      <c r="CC79" s="59">
        <f t="shared" si="65"/>
        <v>497.95063168068202</v>
      </c>
      <c r="CD79" s="59">
        <f ca="1">AVERAGE(OFFSET($CC$3,0,0,'Données projet'!$E$12+1,1))-AVERAGE(OFFSET($H$3,0,0,'Données projet'!$E$12+1,1))</f>
        <v>159.4660488566085</v>
      </c>
      <c r="CE79" s="59">
        <f t="shared" si="94"/>
        <v>135.33030558297088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3.9757441163572795</v>
      </c>
      <c r="CM79" s="21">
        <f>EXP(-LN(2)/2)*CM78+(1-EXP(-LN(2)/2))/(LN(2)/2)*CG79*CJ79*VLOOKUP('Données projet'!$B$12,Paramètres!$A$1:$I$89,3,0)*0.475*44/12</f>
        <v>1.1589306679280658</v>
      </c>
      <c r="CN79" s="22">
        <f t="shared" si="66"/>
        <v>5.1346747842853455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3.6</v>
      </c>
      <c r="CT79" s="12">
        <f>IF('Données projet'!$A$140&gt;35,CT78+CS79-DB78,IF(A79&lt;'Données projet'!$A$140,$CQ$205^A79,IF(A79='Données projet'!$A$140,'Données projet'!$B$140,CT78+CS79-DB78)))</f>
        <v>315.59999999999991</v>
      </c>
      <c r="CU79" s="17">
        <f>CT79*VLOOKUP('Données projet'!$B$13,Paramètres!$A$1:$I$89,3,0)*VLOOKUP('Données projet'!$B$13,Paramètres!$A$1:$I$89,5,0)</f>
        <v>251.09135999999995</v>
      </c>
      <c r="CV79" s="13">
        <f t="shared" si="95"/>
        <v>60.81957989149403</v>
      </c>
      <c r="CW79" s="20">
        <f t="shared" si="67"/>
        <v>543.24488697768527</v>
      </c>
      <c r="CX79" s="59">
        <f t="shared" si="68"/>
        <v>836.57822031101864</v>
      </c>
      <c r="CY79" s="59">
        <f ca="1">AVERAGE(OFFSET($CX$3,0,0,'Données projet'!$E$13+1,1))-AVERAGE(OFFSET($H$3,0,0,'Données projet'!$E$13+1,1))</f>
        <v>353.37479213497227</v>
      </c>
      <c r="CZ79" s="59">
        <f t="shared" si="96"/>
        <v>345.4750813433123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14.640437298898354</v>
      </c>
      <c r="DG79" s="21">
        <f>EXP(-LN(2)/25)*DG78+(1-EXP(-LN(2)/25))/(LN(2)/25)*Calculateur!DB79*Calculateur!DD79*VLOOKUP('Données projet'!$B$13,Paramètres!$A$1:$I$89,3,0)*0.475*44/12</f>
        <v>14.545394770978898</v>
      </c>
      <c r="DH79" s="21">
        <f>EXP(-LN(2)/2)*DH78+(1-EXP(-LN(2)/2))/(LN(2)/2)*DB79*DE79*VLOOKUP('Données projet'!$B$13,Paramètres!$A$1:$I$89,3,0)*0.475*44/12</f>
        <v>1.9641804417888422</v>
      </c>
      <c r="DI79" s="22">
        <f t="shared" si="69"/>
        <v>31.150012511666091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9.546999999999997</v>
      </c>
      <c r="DO79" s="12">
        <f>IF('Données projet'!$A$166&gt;35,DO78+DN79-DW78,IF(A79&lt;'Données projet'!$A$166,$DL$205^A79,IF(A79='Données projet'!$A$166,'Données projet'!$B$166,DO78+DN79-DW78)))</f>
        <v>278.71400000000028</v>
      </c>
      <c r="DP79" s="17">
        <f>DO79*VLOOKUP('Données projet'!$B$14,Paramètres!$A$1:$I$89,3,0)*VLOOKUP('Données projet'!$B$14,Paramètres!$A$1:$I$89,5,0)</f>
        <v>252.18042720000025</v>
      </c>
      <c r="DQ79" s="13">
        <f t="shared" si="97"/>
        <v>61.052610283141384</v>
      </c>
      <c r="DR79" s="20">
        <f t="shared" si="70"/>
        <v>545.54754028313835</v>
      </c>
      <c r="DS79" s="59">
        <f t="shared" si="71"/>
        <v>838.88087361647172</v>
      </c>
      <c r="DT79" s="59">
        <f ca="1">AVERAGE(OFFSET($DS$3,0,0,'Données projet'!$E$14+1,1))-AVERAGE(OFFSET($H$3,0,0,'Données projet'!$E$14+1,1))</f>
        <v>635.71275911100679</v>
      </c>
      <c r="DU79" s="59">
        <f t="shared" si="98"/>
        <v>281.7776857269169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14.057195420863451</v>
      </c>
      <c r="EB79" s="21">
        <f>EXP(-LN(2)/25)*EB78+(1-EXP(-LN(2)/25))/(LN(2)/25)*Calculateur!DW79*Calculateur!DY79*VLOOKUP('Données projet'!$B$14,Paramètres!$A$1:$I$89,3,0)*0.475*44/12</f>
        <v>29.790731813625509</v>
      </c>
      <c r="EC79" s="21">
        <f>EXP(-LN(2)/2)*EC78+(1-EXP(-LN(2)/2))/(LN(2)/2)*DW79*DZ79*VLOOKUP('Données projet'!$B$14,Paramètres!$A$1:$I$89,3,0)*0.475*44/12</f>
        <v>2.3514420027375915</v>
      </c>
      <c r="ED79" s="22">
        <f t="shared" si="72"/>
        <v>46.199369237226556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9.546999999999997</v>
      </c>
      <c r="EJ79" s="12">
        <f>IF('Données projet'!$A$192&gt;35,EJ78+EI79-ER78,IF(A79&lt;'Données projet'!$A$192,$EG$205^A79,IF(A79='Données projet'!$A$192,'Données projet'!$B$192,EJ78+EI79-ER78)))</f>
        <v>278.71400000000028</v>
      </c>
      <c r="EK79" s="17">
        <f>EJ79*VLOOKUP('Données projet'!$B$15,Paramètres!$A$1:$I$89,3,0)*VLOOKUP('Données projet'!$B$15,Paramètres!$A$1:$I$89,5,0)</f>
        <v>186.96135120000019</v>
      </c>
      <c r="EL79" s="13">
        <f t="shared" si="99"/>
        <v>46.86752168757036</v>
      </c>
      <c r="EM79" s="20">
        <f t="shared" si="73"/>
        <v>407.25195361251866</v>
      </c>
      <c r="EN79" s="59">
        <f t="shared" si="74"/>
        <v>700.58528694585198</v>
      </c>
      <c r="EO79" s="59">
        <f ca="1">AVERAGE(OFFSET($EN$3,0,0,'Données projet'!$E$15+1,1))-AVERAGE(OFFSET($H$3,0,0,'Données projet'!$E$15+1,1))</f>
        <v>482.99915419700773</v>
      </c>
      <c r="EP79" s="59">
        <f t="shared" si="100"/>
        <v>219.74157899604279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12.845368229409706</v>
      </c>
      <c r="EW79" s="21">
        <f>EXP(-LN(2)/25)*EW78+(1-EXP(-LN(2)/25))/(LN(2)/25)*Calculateur!ER79*Calculateur!ET79*VLOOKUP('Données projet'!$B$15,Paramètres!$A$1:$I$89,3,0)*0.475*44/12</f>
        <v>27.222565277968137</v>
      </c>
      <c r="EX79" s="21">
        <f>EXP(-LN(2)/2)*EX78+(1-EXP(-LN(2)/2))/(LN(2)/2)*ER79*EU79*VLOOKUP('Données projet'!$B$15,Paramètres!$A$1:$I$89,3,0)*0.475*44/12</f>
        <v>1.7433104503054562</v>
      </c>
      <c r="EY79" s="22">
        <f t="shared" si="75"/>
        <v>41.811243957683303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9.546999999999997</v>
      </c>
      <c r="FE79" s="12">
        <f>IF('Données projet'!$A$218&gt;35,FE78+FD79-FM78,IF(A79&lt;'Données projet'!$A$218,$FB$205^A79,IF(A79='Données projet'!$A$218,'Données projet'!$B$218,FE78+FD79-FM78)))</f>
        <v>278.71400000000028</v>
      </c>
      <c r="FF79" s="17">
        <f>FE79*VLOOKUP('Données projet'!$B$16,Paramètres!$A$1:$I$89,3,0)*VLOOKUP('Données projet'!$B$16,Paramètres!$A$1:$I$89,5,0)</f>
        <v>265.22424240000026</v>
      </c>
      <c r="FG79" s="13">
        <f t="shared" si="101"/>
        <v>63.834682684389406</v>
      </c>
      <c r="FH79" s="20">
        <f t="shared" si="76"/>
        <v>573.11096118864532</v>
      </c>
      <c r="FI79" s="59">
        <f t="shared" si="77"/>
        <v>866.44429452197869</v>
      </c>
      <c r="FJ79" s="59">
        <f ca="1">AVERAGE(OFFSET($FI$3,0,0,'Données projet'!$E$16+1,1))-AVERAGE(OFFSET($H$3,0,0,'Données projet'!$E$16+1,1))</f>
        <v>666.1523645983184</v>
      </c>
      <c r="FK79" s="59">
        <f t="shared" si="102"/>
        <v>294.13851344047526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14.784291735735698</v>
      </c>
      <c r="FR79" s="21">
        <f>EXP(-LN(2)/25)*FR78+(1-EXP(-LN(2)/25))/(LN(2)/25)*Calculateur!FM79*Calculateur!FO79*VLOOKUP('Données projet'!$B$16,Paramètres!$A$1:$I$89,3,0)*0.475*44/12</f>
        <v>31.331631735019926</v>
      </c>
      <c r="FS79" s="21">
        <f>EXP(-LN(2)/2)*FS78+(1-EXP(-LN(2)/2))/(LN(2)/2)*FM79*FP79*VLOOKUP('Données projet'!$B$16,Paramètres!$A$1:$I$89,3,0)*0.475*44/12</f>
        <v>2.4730683132240188</v>
      </c>
      <c r="FT79" s="22">
        <f t="shared" si="78"/>
        <v>48.588991783979644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3.6</v>
      </c>
      <c r="N80" s="13">
        <f>IF('Données projet'!$A$36&gt;35,N79+M80-V79,IF(A80&lt;'Données projet'!$A$36,$K$205^A80,IF(A80='Données projet'!$A$36,'Données projet'!$B$36,N79+M80-V79)))</f>
        <v>319.19999999999993</v>
      </c>
      <c r="O80" s="13">
        <f>N80*VLOOKUP('Données projet'!$B$9,Paramètres!$A$1:$I$89,3,0)*VLOOKUP('Données projet'!$B$9,Paramètres!$A$1:$I$89,5,0)</f>
        <v>234.03743999999998</v>
      </c>
      <c r="P80" s="13">
        <f t="shared" si="87"/>
        <v>57.154784339928739</v>
      </c>
      <c r="Q80" s="20">
        <f t="shared" si="54"/>
        <v>507.15979072537579</v>
      </c>
      <c r="R80" s="59">
        <f t="shared" si="55"/>
        <v>800.4931240587091</v>
      </c>
      <c r="S80" s="59">
        <f ca="1">AVERAGE(OFFSET($R$3,0,0,'Données projet'!$E$9+1,1))-AVERAGE(OFFSET($H$3,0,0,'Données projet'!$E$9+1,1))</f>
        <v>328.55631138162721</v>
      </c>
      <c r="T80" s="59">
        <f t="shared" si="88"/>
        <v>321.81422611044985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10.731821975146955</v>
      </c>
      <c r="AA80" s="21">
        <f>EXP(-LN(2)/25)*AA79+(1-EXP(-LN(2)/25))/(LN(2)/25)*Calculateur!V80*Calculateur!X80*VLOOKUP('Données projet'!$B$9,Paramètres!$A$1:$I$89,3,0)*0.475*44/12</f>
        <v>10.578024796900495</v>
      </c>
      <c r="AB80" s="21">
        <f>EXP(-LN(2)/2)*AB79+(1-EXP(-LN(2)/2))/(LN(2)/2)*V80*Y80*VLOOKUP('Données projet'!$B$9,Paramètres!$A$1:$I$89,3,0)*0.475*44/12</f>
        <v>1.2799531286971633</v>
      </c>
      <c r="AC80" s="22">
        <f t="shared" si="57"/>
        <v>22.589799900744612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3.6</v>
      </c>
      <c r="AI80" s="13">
        <f>IF('Données projet'!$A$62&gt;35,AI79+AH80-AQ79,IF(A80&lt;'Données projet'!$A$62,$AF$205^A80,IF(A80='Données projet'!$A$62,'Données projet'!$B$62,AI79+AH80-AQ79)))</f>
        <v>319.19999999999993</v>
      </c>
      <c r="AJ80" s="13">
        <f>AI80*VLOOKUP('Données projet'!$B$10,Paramètres!$A$1:$I$89,3,0)*VLOOKUP('Données projet'!$B$10,Paramètres!$A$1:$I$89,5,0)</f>
        <v>253.95551999999998</v>
      </c>
      <c r="AK80" s="13">
        <f t="shared" si="89"/>
        <v>61.432180511879253</v>
      </c>
      <c r="AL80" s="20">
        <f t="shared" si="58"/>
        <v>549.30024505818972</v>
      </c>
      <c r="AM80" s="59">
        <f t="shared" si="59"/>
        <v>842.63357839152309</v>
      </c>
      <c r="AN80" s="59">
        <f ca="1">AVERAGE(OFFSET($AM$3,0,0,'Données projet'!$E$10+1,1))-AVERAGE(OFFSET($H$3,0,0,'Données projet'!$E$10+1,1))</f>
        <v>353.37479213497227</v>
      </c>
      <c r="AO80" s="59">
        <f t="shared" si="90"/>
        <v>345.4750813433123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14.353347253251966</v>
      </c>
      <c r="AV80" s="21">
        <f>EXP(-LN(2)/25)*AV79+(1-EXP(-LN(2)/25))/(LN(2)/25)*Calculateur!AQ80*Calculateur!AS80*VLOOKUP('Données projet'!$B$10,Paramètres!$A$1:$I$89,3,0)*0.475*44/12</f>
        <v>14.147650186057414</v>
      </c>
      <c r="AW80" s="21">
        <f>EXP(-LN(2)/2)*AW79+(1-EXP(-LN(2)/2))/(LN(2)/2)*AQ80*AT80*VLOOKUP('Données projet'!$B$10,Paramètres!$A$1:$I$89,3,0)*0.475*44/12</f>
        <v>1.3888853098628793</v>
      </c>
      <c r="AX80" s="21">
        <f t="shared" si="60"/>
        <v>29.889882749172259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3.6</v>
      </c>
      <c r="BD80" s="12">
        <f>IF('Données projet'!$A$88&gt;35,BD79+BC80-BL79,IF(A80&lt;'Données projet'!$A$88,$BA$205^A80,IF(A80='Données projet'!$A$88,'Données projet'!$B$88,BD79+BC80-BL79)))</f>
        <v>319.19999999999993</v>
      </c>
      <c r="BE80" s="13">
        <f>BD80*VLOOKUP('Données projet'!$B$11,Paramètres!$A$1:$I$89,3,0)*VLOOKUP('Données projet'!$B$11,Paramètres!$A$1:$I$89,5,0)</f>
        <v>258.93503999999996</v>
      </c>
      <c r="BF80" s="13">
        <f t="shared" si="91"/>
        <v>62.495317322077135</v>
      </c>
      <c r="BG80" s="20">
        <f t="shared" si="61"/>
        <v>559.8245390026176</v>
      </c>
      <c r="BH80" s="59">
        <f t="shared" si="62"/>
        <v>853.15787233595097</v>
      </c>
      <c r="BI80" s="59">
        <f ca="1">AVERAGE(OFFSET($BH$3,0,0,'Données projet'!$E$11+1,1))-AVERAGE(OFFSET($H$3,0,0,'Données projet'!$E$11+1,1))</f>
        <v>359.57284550600366</v>
      </c>
      <c r="BJ80" s="59">
        <f t="shared" si="92"/>
        <v>351.38386928091433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14.634785434688286</v>
      </c>
      <c r="BQ80" s="21">
        <f>EXP(-LN(2)/25)*BQ79+(1-EXP(-LN(2)/25))/(LN(2)/25)*Calculateur!BL80*Calculateur!BN80*VLOOKUP('Données projet'!$B$11,Paramètres!$A$1:$I$89,3,0)*0.475*44/12</f>
        <v>14.42505509166639</v>
      </c>
      <c r="BR80" s="21">
        <f>EXP(-LN(2)/2)*BR79+(1-EXP(-LN(2)/2))/(LN(2)/2)*BL80*BO80*VLOOKUP('Données projet'!$B$11,Paramètres!$A$1:$I$89,3,0)*0.475*44/12</f>
        <v>1.4161183551543086</v>
      </c>
      <c r="BS80" s="22">
        <f t="shared" si="63"/>
        <v>30.475958881508987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2.3076923076923039</v>
      </c>
      <c r="BY80" s="12">
        <f>IF('Données projet'!$A$114&gt;35,BY79+BX80-CG79,IF(A80&lt;'Données projet'!$A$114,$BV$205^A80,IF(A80='Données projet'!$A$114,'Données projet'!$B$114,BY79+BX80-CG79)))</f>
        <v>116.15384615384609</v>
      </c>
      <c r="BZ80" s="13">
        <f>BY80*VLOOKUP('Données projet'!$B$12,Paramètres!$A$1:$I$89,3,0)*VLOOKUP('Données projet'!$B$12,Paramètres!$A$1:$I$89,5,0)</f>
        <v>94.223999999999961</v>
      </c>
      <c r="CA80" s="13">
        <f t="shared" si="93"/>
        <v>25.581216834792983</v>
      </c>
      <c r="CB80" s="20">
        <f t="shared" si="64"/>
        <v>208.66075265393101</v>
      </c>
      <c r="CC80" s="59">
        <f t="shared" si="65"/>
        <v>501.99408598726433</v>
      </c>
      <c r="CD80" s="59">
        <f ca="1">AVERAGE(OFFSET($CC$3,0,0,'Données projet'!$E$12+1,1))-AVERAGE(OFFSET($H$3,0,0,'Données projet'!$E$12+1,1))</f>
        <v>159.4660488566085</v>
      </c>
      <c r="CE80" s="59">
        <f t="shared" si="94"/>
        <v>135.33030558297088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3.8670271844201936</v>
      </c>
      <c r="CM80" s="21">
        <f>EXP(-LN(2)/2)*CM79+(1-EXP(-LN(2)/2))/(LN(2)/2)*CG80*CJ80*VLOOKUP('Données projet'!$B$12,Paramètres!$A$1:$I$89,3,0)*0.475*44/12</f>
        <v>0.81948773421699017</v>
      </c>
      <c r="CN80" s="22">
        <f t="shared" si="66"/>
        <v>4.6865149186371839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3.6</v>
      </c>
      <c r="CT80" s="12">
        <f>IF('Données projet'!$A$140&gt;35,CT79+CS80-DB79,IF(A80&lt;'Données projet'!$A$140,$CQ$205^A80,IF(A80='Données projet'!$A$140,'Données projet'!$B$140,CT79+CS80-DB79)))</f>
        <v>319.19999999999993</v>
      </c>
      <c r="CU80" s="17">
        <f>CT80*VLOOKUP('Données projet'!$B$13,Paramètres!$A$1:$I$89,3,0)*VLOOKUP('Données projet'!$B$13,Paramètres!$A$1:$I$89,5,0)</f>
        <v>253.95551999999998</v>
      </c>
      <c r="CV80" s="13">
        <f t="shared" si="95"/>
        <v>61.432180511879253</v>
      </c>
      <c r="CW80" s="20">
        <f t="shared" si="67"/>
        <v>549.30024505818972</v>
      </c>
      <c r="CX80" s="59">
        <f t="shared" si="68"/>
        <v>842.63357839152309</v>
      </c>
      <c r="CY80" s="59">
        <f ca="1">AVERAGE(OFFSET($CX$3,0,0,'Données projet'!$E$13+1,1))-AVERAGE(OFFSET($H$3,0,0,'Données projet'!$E$13+1,1))</f>
        <v>353.37479213497227</v>
      </c>
      <c r="CZ80" s="59">
        <f t="shared" si="96"/>
        <v>345.4750813433123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14.353347253251966</v>
      </c>
      <c r="DG80" s="21">
        <f>EXP(-LN(2)/25)*DG79+(1-EXP(-LN(2)/25))/(LN(2)/25)*Calculateur!DB80*Calculateur!DD80*VLOOKUP('Données projet'!$B$13,Paramètres!$A$1:$I$89,3,0)*0.475*44/12</f>
        <v>14.147650186057414</v>
      </c>
      <c r="DH80" s="21">
        <f>EXP(-LN(2)/2)*DH79+(1-EXP(-LN(2)/2))/(LN(2)/2)*DB80*DE80*VLOOKUP('Données projet'!$B$13,Paramètres!$A$1:$I$89,3,0)*0.475*44/12</f>
        <v>1.3888853098628793</v>
      </c>
      <c r="DI80" s="22">
        <f t="shared" si="69"/>
        <v>29.889882749172259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9.546999999999997</v>
      </c>
      <c r="DO80" s="12">
        <f>IF('Données projet'!$A$166&gt;35,DO79+DN80-DW79,IF(A80&lt;'Données projet'!$A$166,$DL$205^A80,IF(A80='Données projet'!$A$166,'Données projet'!$B$166,DO79+DN80-DW79)))</f>
        <v>288.26100000000031</v>
      </c>
      <c r="DP80" s="17">
        <f>DO80*VLOOKUP('Données projet'!$B$14,Paramètres!$A$1:$I$89,3,0)*VLOOKUP('Données projet'!$B$14,Paramètres!$A$1:$I$89,5,0)</f>
        <v>260.8185528000003</v>
      </c>
      <c r="DQ80" s="13">
        <f t="shared" si="97"/>
        <v>62.896828401660521</v>
      </c>
      <c r="DR80" s="20">
        <f t="shared" si="70"/>
        <v>563.80428892622592</v>
      </c>
      <c r="DS80" s="59">
        <f t="shared" si="71"/>
        <v>857.13762225955929</v>
      </c>
      <c r="DT80" s="59">
        <f ca="1">AVERAGE(OFFSET($DS$3,0,0,'Données projet'!$E$14+1,1))-AVERAGE(OFFSET($H$3,0,0,'Données projet'!$E$14+1,1))</f>
        <v>635.71275911100679</v>
      </c>
      <c r="DU80" s="59">
        <f t="shared" si="98"/>
        <v>281.7776857269169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13.781542392702908</v>
      </c>
      <c r="EB80" s="21">
        <f>EXP(-LN(2)/25)*EB79+(1-EXP(-LN(2)/25))/(LN(2)/25)*Calculateur!DW80*Calculateur!DY80*VLOOKUP('Données projet'!$B$14,Paramètres!$A$1:$I$89,3,0)*0.475*44/12</f>
        <v>28.976102685555421</v>
      </c>
      <c r="EC80" s="21">
        <f>EXP(-LN(2)/2)*EC79+(1-EXP(-LN(2)/2))/(LN(2)/2)*DW80*DZ80*VLOOKUP('Données projet'!$B$14,Paramètres!$A$1:$I$89,3,0)*0.475*44/12</f>
        <v>1.6627205857026273</v>
      </c>
      <c r="ED80" s="22">
        <f t="shared" si="72"/>
        <v>44.420365663960958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9.546999999999997</v>
      </c>
      <c r="EJ80" s="12">
        <f>IF('Données projet'!$A$192&gt;35,EJ79+EI80-ER79,IF(A80&lt;'Données projet'!$A$192,$EG$205^A80,IF(A80='Données projet'!$A$192,'Données projet'!$B$192,EJ79+EI80-ER79)))</f>
        <v>288.26100000000031</v>
      </c>
      <c r="EK80" s="17">
        <f>EJ80*VLOOKUP('Données projet'!$B$15,Paramètres!$A$1:$I$89,3,0)*VLOOKUP('Données projet'!$B$15,Paramètres!$A$1:$I$89,5,0)</f>
        <v>193.3654788000002</v>
      </c>
      <c r="EL80" s="13">
        <f t="shared" si="99"/>
        <v>48.283250388856992</v>
      </c>
      <c r="EM80" s="20">
        <f t="shared" si="73"/>
        <v>420.87153667059289</v>
      </c>
      <c r="EN80" s="59">
        <f t="shared" si="74"/>
        <v>714.2048700039262</v>
      </c>
      <c r="EO80" s="59">
        <f ca="1">AVERAGE(OFFSET($EN$3,0,0,'Données projet'!$E$15+1,1))-AVERAGE(OFFSET($H$3,0,0,'Données projet'!$E$15+1,1))</f>
        <v>482.99915419700773</v>
      </c>
      <c r="EP80" s="59">
        <f t="shared" si="100"/>
        <v>219.74157899604279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12.593478393331969</v>
      </c>
      <c r="EW80" s="21">
        <f>EXP(-LN(2)/25)*EW79+(1-EXP(-LN(2)/25))/(LN(2)/25)*Calculateur!ER80*Calculateur!ET80*VLOOKUP('Données projet'!$B$15,Paramètres!$A$1:$I$89,3,0)*0.475*44/12</f>
        <v>26.478162798869608</v>
      </c>
      <c r="EX80" s="21">
        <f>EXP(-LN(2)/2)*EX79+(1-EXP(-LN(2)/2))/(LN(2)/2)*ER80*EU80*VLOOKUP('Données projet'!$B$15,Paramètres!$A$1:$I$89,3,0)*0.475*44/12</f>
        <v>1.2327066411243619</v>
      </c>
      <c r="EY80" s="22">
        <f t="shared" si="75"/>
        <v>40.304347833325934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9.546999999999997</v>
      </c>
      <c r="FE80" s="12">
        <f>IF('Données projet'!$A$218&gt;35,FE79+FD80-FM79,IF(A80&lt;'Données projet'!$A$218,$FB$205^A80,IF(A80='Données projet'!$A$218,'Données projet'!$B$218,FE79+FD80-FM79)))</f>
        <v>288.26100000000031</v>
      </c>
      <c r="FF80" s="17">
        <f>FE80*VLOOKUP('Données projet'!$B$16,Paramètres!$A$1:$I$89,3,0)*VLOOKUP('Données projet'!$B$16,Paramètres!$A$1:$I$89,5,0)</f>
        <v>274.30916760000031</v>
      </c>
      <c r="FG80" s="13">
        <f t="shared" si="101"/>
        <v>65.762938951410732</v>
      </c>
      <c r="FH80" s="20">
        <f t="shared" si="76"/>
        <v>592.29225224370759</v>
      </c>
      <c r="FI80" s="59">
        <f t="shared" si="77"/>
        <v>885.62558557704097</v>
      </c>
      <c r="FJ80" s="59">
        <f ca="1">AVERAGE(OFFSET($FI$3,0,0,'Données projet'!$E$16+1,1))-AVERAGE(OFFSET($H$3,0,0,'Données projet'!$E$16+1,1))</f>
        <v>666.1523645983184</v>
      </c>
      <c r="FK80" s="59">
        <f t="shared" si="102"/>
        <v>294.13851344047526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14.494380792325472</v>
      </c>
      <c r="FR80" s="21">
        <f>EXP(-LN(2)/25)*FR79+(1-EXP(-LN(2)/25))/(LN(2)/25)*Calculateur!FM80*Calculateur!FO80*VLOOKUP('Données projet'!$B$16,Paramètres!$A$1:$I$89,3,0)*0.475*44/12</f>
        <v>30.474866617566903</v>
      </c>
      <c r="FS80" s="21">
        <f>EXP(-LN(2)/2)*FS79+(1-EXP(-LN(2)/2))/(LN(2)/2)*FM80*FP80*VLOOKUP('Données projet'!$B$16,Paramètres!$A$1:$I$89,3,0)*0.475*44/12</f>
        <v>1.7487233746182804</v>
      </c>
      <c r="FT80" s="22">
        <f t="shared" si="78"/>
        <v>46.717970784510655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3.6</v>
      </c>
      <c r="N81" s="13">
        <f>IF('Données projet'!$A$36&gt;35,N80+M81-V80,IF(A81&lt;'Données projet'!$A$36,$K$205^A81,IF(A81='Données projet'!$A$36,'Données projet'!$B$36,N80+M81-V80)))</f>
        <v>322.79999999999995</v>
      </c>
      <c r="O81" s="13">
        <f>N81*VLOOKUP('Données projet'!$B$9,Paramètres!$A$1:$I$89,3,0)*VLOOKUP('Données projet'!$B$9,Paramètres!$A$1:$I$89,5,0)</f>
        <v>236.67695999999998</v>
      </c>
      <c r="P81" s="13">
        <f t="shared" si="87"/>
        <v>57.723983099802702</v>
      </c>
      <c r="Q81" s="20">
        <f t="shared" si="54"/>
        <v>512.74830923215643</v>
      </c>
      <c r="R81" s="59">
        <f t="shared" si="55"/>
        <v>806.0816425654898</v>
      </c>
      <c r="S81" s="59">
        <f ca="1">AVERAGE(OFFSET($R$3,0,0,'Données projet'!$E$9+1,1))-AVERAGE(OFFSET($H$3,0,0,'Données projet'!$E$9+1,1))</f>
        <v>328.55631138162721</v>
      </c>
      <c r="T81" s="59">
        <f t="shared" si="88"/>
        <v>321.81422611044985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10.521377491979388</v>
      </c>
      <c r="AA81" s="21">
        <f>EXP(-LN(2)/25)*AA80+(1-EXP(-LN(2)/25))/(LN(2)/25)*Calculateur!V81*Calculateur!X81*VLOOKUP('Données projet'!$B$9,Paramètres!$A$1:$I$89,3,0)*0.475*44/12</f>
        <v>10.288768152555104</v>
      </c>
      <c r="AB81" s="21">
        <f>EXP(-LN(2)/2)*AB80+(1-EXP(-LN(2)/2))/(LN(2)/2)*V81*Y81*VLOOKUP('Données projet'!$B$9,Paramètres!$A$1:$I$89,3,0)*0.475*44/12</f>
        <v>0.90506353690270203</v>
      </c>
      <c r="AC81" s="22">
        <f t="shared" si="57"/>
        <v>21.715209181437196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3.6</v>
      </c>
      <c r="AI81" s="13">
        <f>IF('Données projet'!$A$62&gt;35,AI80+AH81-AQ80,IF(A81&lt;'Données projet'!$A$62,$AF$205^A81,IF(A81='Données projet'!$A$62,'Données projet'!$B$62,AI80+AH81-AQ80)))</f>
        <v>322.79999999999995</v>
      </c>
      <c r="AJ81" s="13">
        <f>AI81*VLOOKUP('Données projet'!$B$10,Paramètres!$A$1:$I$89,3,0)*VLOOKUP('Données projet'!$B$10,Paramètres!$A$1:$I$89,5,0)</f>
        <v>256.81968000000001</v>
      </c>
      <c r="AK81" s="13">
        <f t="shared" si="89"/>
        <v>62.043977430851903</v>
      </c>
      <c r="AL81" s="20">
        <f t="shared" si="58"/>
        <v>555.35420335873368</v>
      </c>
      <c r="AM81" s="59">
        <f t="shared" si="59"/>
        <v>848.68753669206694</v>
      </c>
      <c r="AN81" s="59">
        <f ca="1">AVERAGE(OFFSET($AM$3,0,0,'Données projet'!$E$10+1,1))-AVERAGE(OFFSET($H$3,0,0,'Données projet'!$E$10+1,1))</f>
        <v>353.37479213497227</v>
      </c>
      <c r="AO81" s="59">
        <f t="shared" si="90"/>
        <v>345.4750813433123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14.071886868293067</v>
      </c>
      <c r="AV81" s="21">
        <f>EXP(-LN(2)/25)*AV80+(1-EXP(-LN(2)/25))/(LN(2)/25)*Calculateur!AQ81*Calculateur!AS81*VLOOKUP('Données projet'!$B$10,Paramètres!$A$1:$I$89,3,0)*0.475*44/12</f>
        <v>13.760781947727086</v>
      </c>
      <c r="AW81" s="21">
        <f>EXP(-LN(2)/2)*AW80+(1-EXP(-LN(2)/2))/(LN(2)/2)*AQ81*AT81*VLOOKUP('Données projet'!$B$10,Paramètres!$A$1:$I$89,3,0)*0.475*44/12</f>
        <v>0.98209022089442133</v>
      </c>
      <c r="AX81" s="21">
        <f t="shared" si="60"/>
        <v>28.814759036914573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3.6</v>
      </c>
      <c r="BD81" s="12">
        <f>IF('Données projet'!$A$88&gt;35,BD80+BC81-BL80,IF(A81&lt;'Données projet'!$A$88,$BA$205^A81,IF(A81='Données projet'!$A$88,'Données projet'!$B$88,BD80+BC81-BL80)))</f>
        <v>322.79999999999995</v>
      </c>
      <c r="BE81" s="13">
        <f>BD81*VLOOKUP('Données projet'!$B$11,Paramètres!$A$1:$I$89,3,0)*VLOOKUP('Données projet'!$B$11,Paramètres!$A$1:$I$89,5,0)</f>
        <v>261.85536000000002</v>
      </c>
      <c r="BF81" s="13">
        <f t="shared" si="91"/>
        <v>63.117701913821712</v>
      </c>
      <c r="BG81" s="20">
        <f t="shared" si="61"/>
        <v>565.99474949990611</v>
      </c>
      <c r="BH81" s="59">
        <f t="shared" si="62"/>
        <v>859.32808283323948</v>
      </c>
      <c r="BI81" s="59">
        <f ca="1">AVERAGE(OFFSET($BH$3,0,0,'Données projet'!$E$11+1,1))-AVERAGE(OFFSET($H$3,0,0,'Données projet'!$E$11+1,1))</f>
        <v>359.57284550600366</v>
      </c>
      <c r="BJ81" s="59">
        <f t="shared" si="92"/>
        <v>351.38386928091433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14.347806218651762</v>
      </c>
      <c r="BQ81" s="21">
        <f>EXP(-LN(2)/25)*BQ80+(1-EXP(-LN(2)/25))/(LN(2)/25)*Calculateur!BL81*Calculateur!BN81*VLOOKUP('Données projet'!$B$11,Paramètres!$A$1:$I$89,3,0)*0.475*44/12</f>
        <v>14.030601201604094</v>
      </c>
      <c r="BR81" s="21">
        <f>EXP(-LN(2)/2)*BR80+(1-EXP(-LN(2)/2))/(LN(2)/2)*BL81*BO81*VLOOKUP('Données projet'!$B$11,Paramètres!$A$1:$I$89,3,0)*0.475*44/12</f>
        <v>1.0013468918923514</v>
      </c>
      <c r="BS81" s="22">
        <f t="shared" si="63"/>
        <v>29.379754312148204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2.3076923076923039</v>
      </c>
      <c r="BY81" s="12">
        <f>IF('Données projet'!$A$114&gt;35,BY80+BX81-CG80,IF(A81&lt;'Données projet'!$A$114,$BV$205^A81,IF(A81='Données projet'!$A$114,'Données projet'!$B$114,BY80+BX81-CG80)))</f>
        <v>118.4615384615384</v>
      </c>
      <c r="BZ81" s="13">
        <f>BY81*VLOOKUP('Données projet'!$B$12,Paramètres!$A$1:$I$89,3,0)*VLOOKUP('Données projet'!$B$12,Paramètres!$A$1:$I$89,5,0)</f>
        <v>96.095999999999947</v>
      </c>
      <c r="CA81" s="13">
        <f t="shared" si="93"/>
        <v>26.029778784173327</v>
      </c>
      <c r="CB81" s="20">
        <f t="shared" si="64"/>
        <v>212.70239804910179</v>
      </c>
      <c r="CC81" s="59">
        <f t="shared" si="65"/>
        <v>506.03573138243507</v>
      </c>
      <c r="CD81" s="59">
        <f ca="1">AVERAGE(OFFSET($CC$3,0,0,'Données projet'!$E$12+1,1))-AVERAGE(OFFSET($H$3,0,0,'Données projet'!$E$12+1,1))</f>
        <v>159.4660488566085</v>
      </c>
      <c r="CE81" s="59">
        <f t="shared" si="94"/>
        <v>135.33030558297088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3.7612831227041021</v>
      </c>
      <c r="CM81" s="21">
        <f>EXP(-LN(2)/2)*CM80+(1-EXP(-LN(2)/2))/(LN(2)/2)*CG81*CJ81*VLOOKUP('Données projet'!$B$12,Paramètres!$A$1:$I$89,3,0)*0.475*44/12</f>
        <v>0.57946533396403288</v>
      </c>
      <c r="CN81" s="22">
        <f t="shared" si="66"/>
        <v>4.3407484566681349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3.6</v>
      </c>
      <c r="CT81" s="12">
        <f>IF('Données projet'!$A$140&gt;35,CT80+CS81-DB80,IF(A81&lt;'Données projet'!$A$140,$CQ$205^A81,IF(A81='Données projet'!$A$140,'Données projet'!$B$140,CT80+CS81-DB80)))</f>
        <v>322.79999999999995</v>
      </c>
      <c r="CU81" s="17">
        <f>CT81*VLOOKUP('Données projet'!$B$13,Paramètres!$A$1:$I$89,3,0)*VLOOKUP('Données projet'!$B$13,Paramètres!$A$1:$I$89,5,0)</f>
        <v>256.81968000000001</v>
      </c>
      <c r="CV81" s="13">
        <f t="shared" si="95"/>
        <v>62.043977430851903</v>
      </c>
      <c r="CW81" s="20">
        <f t="shared" si="67"/>
        <v>555.35420335873368</v>
      </c>
      <c r="CX81" s="59">
        <f t="shared" si="68"/>
        <v>848.68753669206694</v>
      </c>
      <c r="CY81" s="59">
        <f ca="1">AVERAGE(OFFSET($CX$3,0,0,'Données projet'!$E$13+1,1))-AVERAGE(OFFSET($H$3,0,0,'Données projet'!$E$13+1,1))</f>
        <v>353.37479213497227</v>
      </c>
      <c r="CZ81" s="59">
        <f t="shared" si="96"/>
        <v>345.4750813433123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14.071886868293067</v>
      </c>
      <c r="DG81" s="21">
        <f>EXP(-LN(2)/25)*DG80+(1-EXP(-LN(2)/25))/(LN(2)/25)*Calculateur!DB81*Calculateur!DD81*VLOOKUP('Données projet'!$B$13,Paramètres!$A$1:$I$89,3,0)*0.475*44/12</f>
        <v>13.760781947727086</v>
      </c>
      <c r="DH81" s="21">
        <f>EXP(-LN(2)/2)*DH80+(1-EXP(-LN(2)/2))/(LN(2)/2)*DB81*DE81*VLOOKUP('Données projet'!$B$13,Paramètres!$A$1:$I$89,3,0)*0.475*44/12</f>
        <v>0.98209022089442133</v>
      </c>
      <c r="DI81" s="22">
        <f t="shared" si="69"/>
        <v>28.814759036914573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9.546999999999997</v>
      </c>
      <c r="DO81" s="12">
        <f>IF('Données projet'!$A$166&gt;35,DO80+DN81-DW80,IF(A81&lt;'Données projet'!$A$166,$DL$205^A81,IF(A81='Données projet'!$A$166,'Données projet'!$B$166,DO80+DN81-DW80)))</f>
        <v>297.80800000000033</v>
      </c>
      <c r="DP81" s="17">
        <f>DO81*VLOOKUP('Données projet'!$B$14,Paramètres!$A$1:$I$89,3,0)*VLOOKUP('Données projet'!$B$14,Paramètres!$A$1:$I$89,5,0)</f>
        <v>269.45667840000027</v>
      </c>
      <c r="DQ81" s="13">
        <f t="shared" si="97"/>
        <v>64.733949217436958</v>
      </c>
      <c r="DR81" s="20">
        <f t="shared" si="70"/>
        <v>582.04867643370324</v>
      </c>
      <c r="DS81" s="59">
        <f t="shared" si="71"/>
        <v>875.38200976703661</v>
      </c>
      <c r="DT81" s="59">
        <f ca="1">AVERAGE(OFFSET($DS$3,0,0,'Données projet'!$E$14+1,1))-AVERAGE(OFFSET($H$3,0,0,'Données projet'!$E$14+1,1))</f>
        <v>635.71275911100679</v>
      </c>
      <c r="DU81" s="59">
        <f t="shared" si="98"/>
        <v>281.7776857269169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13.51129475229285</v>
      </c>
      <c r="EB81" s="21">
        <f>EXP(-LN(2)/25)*EB80+(1-EXP(-LN(2)/25))/(LN(2)/25)*Calculateur!DW81*Calculateur!DY81*VLOOKUP('Données projet'!$B$14,Paramètres!$A$1:$I$89,3,0)*0.475*44/12</f>
        <v>28.183749633831894</v>
      </c>
      <c r="EC81" s="21">
        <f>EXP(-LN(2)/2)*EC80+(1-EXP(-LN(2)/2))/(LN(2)/2)*DW81*DZ81*VLOOKUP('Données projet'!$B$14,Paramètres!$A$1:$I$89,3,0)*0.475*44/12</f>
        <v>1.175721001368796</v>
      </c>
      <c r="ED81" s="22">
        <f t="shared" si="72"/>
        <v>42.870765387493535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9.546999999999997</v>
      </c>
      <c r="EJ81" s="12">
        <f>IF('Données projet'!$A$192&gt;35,EJ80+EI81-ER80,IF(A81&lt;'Données projet'!$A$192,$EG$205^A81,IF(A81='Données projet'!$A$192,'Données projet'!$B$192,EJ80+EI81-ER80)))</f>
        <v>297.80800000000033</v>
      </c>
      <c r="EK81" s="17">
        <f>EJ81*VLOOKUP('Données projet'!$B$15,Paramètres!$A$1:$I$89,3,0)*VLOOKUP('Données projet'!$B$15,Paramètres!$A$1:$I$89,5,0)</f>
        <v>199.76960640000021</v>
      </c>
      <c r="EL81" s="13">
        <f t="shared" si="99"/>
        <v>49.693530789265445</v>
      </c>
      <c r="EM81" s="20">
        <f t="shared" si="73"/>
        <v>434.4816306046377</v>
      </c>
      <c r="EN81" s="59">
        <f t="shared" si="74"/>
        <v>727.81496393797102</v>
      </c>
      <c r="EO81" s="59">
        <f ca="1">AVERAGE(OFFSET($EN$3,0,0,'Données projet'!$E$15+1,1))-AVERAGE(OFFSET($H$3,0,0,'Données projet'!$E$15+1,1))</f>
        <v>482.99915419700773</v>
      </c>
      <c r="EP81" s="59">
        <f t="shared" si="100"/>
        <v>219.74157899604279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12.346527963302087</v>
      </c>
      <c r="EW81" s="21">
        <f>EXP(-LN(2)/25)*EW80+(1-EXP(-LN(2)/25))/(LN(2)/25)*Calculateur!ER81*Calculateur!ET81*VLOOKUP('Données projet'!$B$15,Paramètres!$A$1:$I$89,3,0)*0.475*44/12</f>
        <v>25.754116044708454</v>
      </c>
      <c r="EX81" s="21">
        <f>EXP(-LN(2)/2)*EX80+(1-EXP(-LN(2)/2))/(LN(2)/2)*ER81*EU81*VLOOKUP('Données projet'!$B$15,Paramètres!$A$1:$I$89,3,0)*0.475*44/12</f>
        <v>0.8716552251527282</v>
      </c>
      <c r="EY81" s="22">
        <f t="shared" si="75"/>
        <v>38.97229923316327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9.546999999999997</v>
      </c>
      <c r="FE81" s="12">
        <f>IF('Données projet'!$A$218&gt;35,FE80+FD81-FM80,IF(A81&lt;'Données projet'!$A$218,$FB$205^A81,IF(A81='Données projet'!$A$218,'Données projet'!$B$218,FE80+FD81-FM80)))</f>
        <v>297.80800000000033</v>
      </c>
      <c r="FF81" s="17">
        <f>FE81*VLOOKUP('Données projet'!$B$16,Paramètres!$A$1:$I$89,3,0)*VLOOKUP('Données projet'!$B$16,Paramètres!$A$1:$I$89,5,0)</f>
        <v>283.39409280000029</v>
      </c>
      <c r="FG81" s="13">
        <f t="shared" si="101"/>
        <v>67.683774502652653</v>
      </c>
      <c r="FH81" s="20">
        <f t="shared" si="76"/>
        <v>611.46061888545398</v>
      </c>
      <c r="FI81" s="59">
        <f t="shared" si="77"/>
        <v>904.79395221878735</v>
      </c>
      <c r="FJ81" s="59">
        <f ca="1">AVERAGE(OFFSET($FI$3,0,0,'Données projet'!$E$16+1,1))-AVERAGE(OFFSET($H$3,0,0,'Données projet'!$E$16+1,1))</f>
        <v>666.1523645983184</v>
      </c>
      <c r="FK81" s="59">
        <f t="shared" si="102"/>
        <v>294.13851344047526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14.210154825687306</v>
      </c>
      <c r="FR81" s="21">
        <f>EXP(-LN(2)/25)*FR80+(1-EXP(-LN(2)/25))/(LN(2)/25)*Calculateur!FM81*Calculateur!FO81*VLOOKUP('Données projet'!$B$16,Paramètres!$A$1:$I$89,3,0)*0.475*44/12</f>
        <v>29.641529787305952</v>
      </c>
      <c r="FS81" s="21">
        <f>EXP(-LN(2)/2)*FS80+(1-EXP(-LN(2)/2))/(LN(2)/2)*FM81*FP81*VLOOKUP('Données projet'!$B$16,Paramètres!$A$1:$I$89,3,0)*0.475*44/12</f>
        <v>1.2365341566120094</v>
      </c>
      <c r="FT81" s="22">
        <f t="shared" si="78"/>
        <v>45.08821876960527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3.6</v>
      </c>
      <c r="N82" s="13">
        <f>IF('Données projet'!$A$36&gt;35,N81+M82-V81,IF(A82&lt;'Données projet'!$A$36,$K$205^A82,IF(A82='Données projet'!$A$36,'Données projet'!$B$36,N81+M82-V81)))</f>
        <v>326.39999999999998</v>
      </c>
      <c r="O82" s="13">
        <f>N82*VLOOKUP('Données projet'!$B$9,Paramètres!$A$1:$I$89,3,0)*VLOOKUP('Données projet'!$B$9,Paramètres!$A$1:$I$89,5,0)</f>
        <v>239.31647999999998</v>
      </c>
      <c r="P82" s="13">
        <f t="shared" si="87"/>
        <v>58.292443422481945</v>
      </c>
      <c r="Q82" s="20">
        <f t="shared" si="54"/>
        <v>518.33554162748942</v>
      </c>
      <c r="R82" s="59">
        <f t="shared" si="55"/>
        <v>811.66887496082268</v>
      </c>
      <c r="S82" s="59">
        <f ca="1">AVERAGE(OFFSET($R$3,0,0,'Données projet'!$E$9+1,1))-AVERAGE(OFFSET($H$3,0,0,'Données projet'!$E$9+1,1))</f>
        <v>328.55631138162721</v>
      </c>
      <c r="T82" s="59">
        <f t="shared" si="88"/>
        <v>321.81422611044985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10.315059696768277</v>
      </c>
      <c r="AA82" s="21">
        <f>EXP(-LN(2)/25)*AA81+(1-EXP(-LN(2)/25))/(LN(2)/25)*Calculateur!V82*Calculateur!X82*VLOOKUP('Données projet'!$B$9,Paramètres!$A$1:$I$89,3,0)*0.475*44/12</f>
        <v>10.007421246360682</v>
      </c>
      <c r="AB82" s="21">
        <f>EXP(-LN(2)/2)*AB81+(1-EXP(-LN(2)/2))/(LN(2)/2)*V82*Y82*VLOOKUP('Données projet'!$B$9,Paramètres!$A$1:$I$89,3,0)*0.475*44/12</f>
        <v>0.63997656434858174</v>
      </c>
      <c r="AC82" s="22">
        <f t="shared" si="57"/>
        <v>20.962457507477541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3.6</v>
      </c>
      <c r="AI82" s="13">
        <f>IF('Données projet'!$A$62&gt;35,AI81+AH82-AQ81,IF(A82&lt;'Données projet'!$A$62,$AF$205^A82,IF(A82='Données projet'!$A$62,'Données projet'!$B$62,AI81+AH82-AQ81)))</f>
        <v>326.39999999999998</v>
      </c>
      <c r="AJ82" s="13">
        <f>AI82*VLOOKUP('Données projet'!$B$10,Paramètres!$A$1:$I$89,3,0)*VLOOKUP('Données projet'!$B$10,Paramètres!$A$1:$I$89,5,0)</f>
        <v>259.68384000000003</v>
      </c>
      <c r="AK82" s="13">
        <f t="shared" si="89"/>
        <v>62.654980648867358</v>
      </c>
      <c r="AL82" s="20">
        <f t="shared" si="58"/>
        <v>561.40677929677736</v>
      </c>
      <c r="AM82" s="59">
        <f t="shared" si="59"/>
        <v>854.74011263011062</v>
      </c>
      <c r="AN82" s="59">
        <f ca="1">AVERAGE(OFFSET($AM$3,0,0,'Données projet'!$E$10+1,1))-AVERAGE(OFFSET($H$3,0,0,'Données projet'!$E$10+1,1))</f>
        <v>353.37479213497227</v>
      </c>
      <c r="AO82" s="59">
        <f t="shared" si="90"/>
        <v>345.4750813433123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13.795945749809329</v>
      </c>
      <c r="AV82" s="21">
        <f>EXP(-LN(2)/25)*AV81+(1-EXP(-LN(2)/25))/(LN(2)/25)*Calculateur!AQ82*Calculateur!AS82*VLOOKUP('Données projet'!$B$10,Paramètres!$A$1:$I$89,3,0)*0.475*44/12</f>
        <v>13.384492641718417</v>
      </c>
      <c r="AW82" s="21">
        <f>EXP(-LN(2)/2)*AW81+(1-EXP(-LN(2)/2))/(LN(2)/2)*AQ82*AT82*VLOOKUP('Données projet'!$B$10,Paramètres!$A$1:$I$89,3,0)*0.475*44/12</f>
        <v>0.69444265493143975</v>
      </c>
      <c r="AX82" s="21">
        <f t="shared" si="60"/>
        <v>27.874881046459183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3.6</v>
      </c>
      <c r="BD82" s="12">
        <f>IF('Données projet'!$A$88&gt;35,BD81+BC82-BL81,IF(A82&lt;'Données projet'!$A$88,$BA$205^A82,IF(A82='Données projet'!$A$88,'Données projet'!$B$88,BD81+BC82-BL81)))</f>
        <v>326.39999999999998</v>
      </c>
      <c r="BE82" s="13">
        <f>BD82*VLOOKUP('Données projet'!$B$11,Paramètres!$A$1:$I$89,3,0)*VLOOKUP('Données projet'!$B$11,Paramètres!$A$1:$I$89,5,0)</f>
        <v>264.77567999999997</v>
      </c>
      <c r="BF82" s="13">
        <f t="shared" si="91"/>
        <v>63.739279068930159</v>
      </c>
      <c r="BG82" s="20">
        <f t="shared" si="61"/>
        <v>572.16355371171983</v>
      </c>
      <c r="BH82" s="59">
        <f t="shared" si="62"/>
        <v>865.4968870450532</v>
      </c>
      <c r="BI82" s="59">
        <f ca="1">AVERAGE(OFFSET($BH$3,0,0,'Données projet'!$E$11+1,1))-AVERAGE(OFFSET($H$3,0,0,'Données projet'!$E$11+1,1))</f>
        <v>359.57284550600366</v>
      </c>
      <c r="BJ82" s="59">
        <f t="shared" si="92"/>
        <v>351.38386928091433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14.066454490001675</v>
      </c>
      <c r="BQ82" s="21">
        <f>EXP(-LN(2)/25)*BQ81+(1-EXP(-LN(2)/25))/(LN(2)/25)*Calculateur!BL82*Calculateur!BN82*VLOOKUP('Données projet'!$B$11,Paramètres!$A$1:$I$89,3,0)*0.475*44/12</f>
        <v>13.646933673908981</v>
      </c>
      <c r="BR82" s="21">
        <f>EXP(-LN(2)/2)*BR81+(1-EXP(-LN(2)/2))/(LN(2)/2)*BL82*BO82*VLOOKUP('Données projet'!$B$11,Paramètres!$A$1:$I$89,3,0)*0.475*44/12</f>
        <v>0.70805917757715442</v>
      </c>
      <c r="BS82" s="22">
        <f t="shared" si="63"/>
        <v>28.421447341487813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2.3076923076923039</v>
      </c>
      <c r="BY82" s="12">
        <f>IF('Données projet'!$A$114&gt;35,BY81+BX82-CG81,IF(A82&lt;'Données projet'!$A$114,$BV$205^A82,IF(A82='Données projet'!$A$114,'Données projet'!$B$114,BY81+BX82-CG81)))</f>
        <v>120.7692307692307</v>
      </c>
      <c r="BZ82" s="13">
        <f>BY82*VLOOKUP('Données projet'!$B$12,Paramètres!$A$1:$I$89,3,0)*VLOOKUP('Données projet'!$B$12,Paramètres!$A$1:$I$89,5,0)</f>
        <v>97.967999999999961</v>
      </c>
      <c r="CA82" s="13">
        <f t="shared" si="93"/>
        <v>26.477324689152407</v>
      </c>
      <c r="CB82" s="20">
        <f t="shared" si="64"/>
        <v>216.74227383360707</v>
      </c>
      <c r="CC82" s="59">
        <f t="shared" si="65"/>
        <v>510.07560716694036</v>
      </c>
      <c r="CD82" s="59">
        <f ca="1">AVERAGE(OFFSET($CC$3,0,0,'Données projet'!$E$12+1,1))-AVERAGE(OFFSET($H$3,0,0,'Données projet'!$E$12+1,1))</f>
        <v>159.4660488566085</v>
      </c>
      <c r="CE82" s="59">
        <f t="shared" si="94"/>
        <v>135.33030558297088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3.6584306379164757</v>
      </c>
      <c r="CM82" s="21">
        <f>EXP(-LN(2)/2)*CM81+(1-EXP(-LN(2)/2))/(LN(2)/2)*CG82*CJ82*VLOOKUP('Données projet'!$B$12,Paramètres!$A$1:$I$89,3,0)*0.475*44/12</f>
        <v>0.40974386710849509</v>
      </c>
      <c r="CN82" s="22">
        <f t="shared" si="66"/>
        <v>4.0681745050249711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3.6</v>
      </c>
      <c r="CT82" s="12">
        <f>IF('Données projet'!$A$140&gt;35,CT81+CS82-DB81,IF(A82&lt;'Données projet'!$A$140,$CQ$205^A82,IF(A82='Données projet'!$A$140,'Données projet'!$B$140,CT81+CS82-DB81)))</f>
        <v>326.39999999999998</v>
      </c>
      <c r="CU82" s="17">
        <f>CT82*VLOOKUP('Données projet'!$B$13,Paramètres!$A$1:$I$89,3,0)*VLOOKUP('Données projet'!$B$13,Paramètres!$A$1:$I$89,5,0)</f>
        <v>259.68384000000003</v>
      </c>
      <c r="CV82" s="13">
        <f t="shared" si="95"/>
        <v>62.654980648867358</v>
      </c>
      <c r="CW82" s="20">
        <f t="shared" si="67"/>
        <v>561.40677929677736</v>
      </c>
      <c r="CX82" s="59">
        <f t="shared" si="68"/>
        <v>854.74011263011062</v>
      </c>
      <c r="CY82" s="59">
        <f ca="1">AVERAGE(OFFSET($CX$3,0,0,'Données projet'!$E$13+1,1))-AVERAGE(OFFSET($H$3,0,0,'Données projet'!$E$13+1,1))</f>
        <v>353.37479213497227</v>
      </c>
      <c r="CZ82" s="59">
        <f t="shared" si="96"/>
        <v>345.4750813433123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13.795945749809329</v>
      </c>
      <c r="DG82" s="21">
        <f>EXP(-LN(2)/25)*DG81+(1-EXP(-LN(2)/25))/(LN(2)/25)*Calculateur!DB82*Calculateur!DD82*VLOOKUP('Données projet'!$B$13,Paramètres!$A$1:$I$89,3,0)*0.475*44/12</f>
        <v>13.384492641718417</v>
      </c>
      <c r="DH82" s="21">
        <f>EXP(-LN(2)/2)*DH81+(1-EXP(-LN(2)/2))/(LN(2)/2)*DB82*DE82*VLOOKUP('Données projet'!$B$13,Paramètres!$A$1:$I$89,3,0)*0.475*44/12</f>
        <v>0.69444265493143975</v>
      </c>
      <c r="DI82" s="22">
        <f t="shared" si="69"/>
        <v>27.874881046459183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9.546999999999997</v>
      </c>
      <c r="DO82" s="12">
        <f>IF('Données projet'!$A$166&gt;35,DO81+DN82-DW81,IF(A82&lt;'Données projet'!$A$166,$DL$205^A82,IF(A82='Données projet'!$A$166,'Données projet'!$B$166,DO81+DN82-DW81)))</f>
        <v>307.35500000000036</v>
      </c>
      <c r="DP82" s="17">
        <f>DO82*VLOOKUP('Données projet'!$B$14,Paramètres!$A$1:$I$89,3,0)*VLOOKUP('Données projet'!$B$14,Paramètres!$A$1:$I$89,5,0)</f>
        <v>278.09480400000029</v>
      </c>
      <c r="DQ82" s="13">
        <f t="shared" si="97"/>
        <v>66.564226351179173</v>
      </c>
      <c r="DR82" s="20">
        <f t="shared" si="70"/>
        <v>600.28114452830425</v>
      </c>
      <c r="DS82" s="59">
        <f t="shared" si="71"/>
        <v>893.61447786163762</v>
      </c>
      <c r="DT82" s="59">
        <f ca="1">AVERAGE(OFFSET($DS$3,0,0,'Données projet'!$E$14+1,1))-AVERAGE(OFFSET($H$3,0,0,'Données projet'!$E$14+1,1))</f>
        <v>635.71275911100679</v>
      </c>
      <c r="DU82" s="59">
        <f t="shared" si="98"/>
        <v>281.7776857269169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13.246346503276447</v>
      </c>
      <c r="EB82" s="21">
        <f>EXP(-LN(2)/25)*EB81+(1-EXP(-LN(2)/25))/(LN(2)/25)*Calculateur!DW82*Calculateur!DY82*VLOOKUP('Données projet'!$B$14,Paramètres!$A$1:$I$89,3,0)*0.475*44/12</f>
        <v>27.413063517975782</v>
      </c>
      <c r="EC82" s="21">
        <f>EXP(-LN(2)/2)*EC81+(1-EXP(-LN(2)/2))/(LN(2)/2)*DW82*DZ82*VLOOKUP('Données projet'!$B$14,Paramètres!$A$1:$I$89,3,0)*0.475*44/12</f>
        <v>0.83136029285131385</v>
      </c>
      <c r="ED82" s="22">
        <f t="shared" si="72"/>
        <v>41.490770314103543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9.546999999999997</v>
      </c>
      <c r="EJ82" s="12">
        <f>IF('Données projet'!$A$192&gt;35,EJ81+EI82-ER81,IF(A82&lt;'Données projet'!$A$192,$EG$205^A82,IF(A82='Données projet'!$A$192,'Données projet'!$B$192,EJ81+EI82-ER81)))</f>
        <v>307.35500000000036</v>
      </c>
      <c r="EK82" s="17">
        <f>EJ82*VLOOKUP('Données projet'!$B$15,Paramètres!$A$1:$I$89,3,0)*VLOOKUP('Données projet'!$B$15,Paramètres!$A$1:$I$89,5,0)</f>
        <v>206.17373400000025</v>
      </c>
      <c r="EL82" s="13">
        <f t="shared" si="99"/>
        <v>51.098557582749017</v>
      </c>
      <c r="EM82" s="20">
        <f t="shared" si="73"/>
        <v>448.08257450662171</v>
      </c>
      <c r="EN82" s="59">
        <f t="shared" si="74"/>
        <v>741.41590783995503</v>
      </c>
      <c r="EO82" s="59">
        <f ca="1">AVERAGE(OFFSET($EN$3,0,0,'Données projet'!$E$15+1,1))-AVERAGE(OFFSET($H$3,0,0,'Données projet'!$E$15+1,1))</f>
        <v>482.99915419700773</v>
      </c>
      <c r="EP82" s="59">
        <f t="shared" si="100"/>
        <v>219.74157899604279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12.104420080580201</v>
      </c>
      <c r="EW82" s="21">
        <f>EXP(-LN(2)/25)*EW81+(1-EXP(-LN(2)/25))/(LN(2)/25)*Calculateur!ER82*Calculateur!ET82*VLOOKUP('Données projet'!$B$15,Paramètres!$A$1:$I$89,3,0)*0.475*44/12</f>
        <v>25.049868387115801</v>
      </c>
      <c r="EX82" s="21">
        <f>EXP(-LN(2)/2)*EX81+(1-EXP(-LN(2)/2))/(LN(2)/2)*ER82*EU82*VLOOKUP('Données projet'!$B$15,Paramètres!$A$1:$I$89,3,0)*0.475*44/12</f>
        <v>0.61635332056218106</v>
      </c>
      <c r="EY82" s="22">
        <f t="shared" si="75"/>
        <v>37.770641788258189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9.546999999999997</v>
      </c>
      <c r="FE82" s="12">
        <f>IF('Données projet'!$A$218&gt;35,FE81+FD82-FM81,IF(A82&lt;'Données projet'!$A$218,$FB$205^A82,IF(A82='Données projet'!$A$218,'Données projet'!$B$218,FE81+FD82-FM81)))</f>
        <v>307.35500000000036</v>
      </c>
      <c r="FF82" s="17">
        <f>FE82*VLOOKUP('Données projet'!$B$16,Paramètres!$A$1:$I$89,3,0)*VLOOKUP('Données projet'!$B$16,Paramètres!$A$1:$I$89,5,0)</f>
        <v>292.47901800000034</v>
      </c>
      <c r="FG82" s="13">
        <f t="shared" si="101"/>
        <v>69.597454515924511</v>
      </c>
      <c r="FH82" s="20">
        <f t="shared" si="76"/>
        <v>630.61652296523562</v>
      </c>
      <c r="FI82" s="59">
        <f t="shared" si="77"/>
        <v>923.94985629856887</v>
      </c>
      <c r="FJ82" s="59">
        <f ca="1">AVERAGE(OFFSET($FI$3,0,0,'Données projet'!$E$16+1,1))-AVERAGE(OFFSET($H$3,0,0,'Données projet'!$E$16+1,1))</f>
        <v>666.1523645983184</v>
      </c>
      <c r="FK82" s="59">
        <f t="shared" si="102"/>
        <v>294.13851344047526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13.931502356894192</v>
      </c>
      <c r="FR82" s="21">
        <f>EXP(-LN(2)/25)*FR81+(1-EXP(-LN(2)/25))/(LN(2)/25)*Calculateur!FM82*Calculateur!FO82*VLOOKUP('Données projet'!$B$16,Paramètres!$A$1:$I$89,3,0)*0.475*44/12</f>
        <v>28.830980596491766</v>
      </c>
      <c r="FS82" s="21">
        <f>EXP(-LN(2)/2)*FS81+(1-EXP(-LN(2)/2))/(LN(2)/2)*FM82*FP82*VLOOKUP('Données projet'!$B$16,Paramètres!$A$1:$I$89,3,0)*0.475*44/12</f>
        <v>0.87436168730914021</v>
      </c>
      <c r="FT82" s="22">
        <f t="shared" si="78"/>
        <v>43.636844640695095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330</v>
      </c>
      <c r="L83" s="12">
        <f>VLOOKUP(A83,'Données projet'!$A$35:$I$55,9,0)</f>
        <v>3.6</v>
      </c>
      <c r="M83" s="12">
        <f t="array" ref="M83">INDEX(L:L,MIN(IF(ISNUMBER(L83:L279),ROW(L83:L279),"")))</f>
        <v>3.6</v>
      </c>
      <c r="N83" s="13">
        <f>IF('Données projet'!$A$36&gt;35,N82+M83-V82,IF(A83&lt;'Données projet'!$A$36,$K$205^A83,IF(A83='Données projet'!$A$36,'Données projet'!$B$36,N82+M83-V82)))</f>
        <v>330</v>
      </c>
      <c r="O83" s="13">
        <f>N83*VLOOKUP('Données projet'!$B$9,Paramètres!$A$1:$I$89,3,0)*VLOOKUP('Données projet'!$B$9,Paramètres!$A$1:$I$89,5,0)</f>
        <v>241.95599999999999</v>
      </c>
      <c r="P83" s="13">
        <f t="shared" si="87"/>
        <v>58.860174395053612</v>
      </c>
      <c r="Q83" s="20">
        <f t="shared" si="54"/>
        <v>523.92150373805168</v>
      </c>
      <c r="R83" s="59">
        <f t="shared" si="55"/>
        <v>817.25483707138505</v>
      </c>
      <c r="S83" s="59">
        <f ca="1">AVERAGE(OFFSET($R$3,0,0,'Données projet'!$E$9+1,1))-AVERAGE(OFFSET($H$3,0,0,'Données projet'!$E$9+1,1))</f>
        <v>328.55631138162721</v>
      </c>
      <c r="T83" s="59">
        <f t="shared" si="88"/>
        <v>321.81422611044985</v>
      </c>
      <c r="U83" s="15">
        <f>IF(ISNA(VLOOKUP(A83,'Données projet'!$A$35:$I$55,3,0)),0,VLOOKUP(A83,'Données projet'!$A$35:$I$55,3,0))</f>
        <v>14</v>
      </c>
      <c r="V83" s="15">
        <f>IF(ISNA(VLOOKUP(A83,'Données projet'!$A$35:$I$55,4,0)),0,VLOOKUP(A83,'Données projet'!$A$35:$I$55,4,0))</f>
        <v>330</v>
      </c>
      <c r="W83" s="16">
        <f>IF(ISNA(VLOOKUP(A83,'Données projet'!$A$35:$I$55,5,0)),0%,VLOOKUP(A83,'Données projet'!$A$35:$I$55,5,0)*VLOOKUP('Données projet'!$B$9,Paramètres!$A$1:$I$89,7,0))</f>
        <v>0.1075</v>
      </c>
      <c r="X83" s="16">
        <f>IF(ISNA(VLOOKUP(A83,'Données projet'!$A$35:$I$55,6,0)),0%,VLOOKUP(A83,'Données projet'!$A$35:$I$55,6,0)*VLOOKUP('Données projet'!$B$9,Paramètres!$A$1:$I$89,7,0))</f>
        <v>0.1075</v>
      </c>
      <c r="Y83" s="16">
        <f>IF(ISNA(VLOOKUP(A83,'Données projet'!$A$35:$I$55,7,0)),0%,VLOOKUP(A83,'Données projet'!$A$35:$I$55,7,0))</f>
        <v>0.25</v>
      </c>
      <c r="Z83" s="21">
        <f>EXP(-LN(2)/35)*Z82+(1-EXP(-LN(2)/35))/(LN(2)/35)*V83*W83*VLOOKUP('Données projet'!$B$9,Paramètres!$A$1:$I$89,3,0)*0.475*44/12</f>
        <v>38.86637071633433</v>
      </c>
      <c r="AA83" s="21">
        <f>EXP(-LN(2)/25)*AA82+(1-EXP(-LN(2)/25))/(LN(2)/25)*Calculateur!V83*Calculateur!X83*VLOOKUP('Données projet'!$B$9,Paramètres!$A$1:$I$89,3,0)*0.475*44/12</f>
        <v>38.374137022329414</v>
      </c>
      <c r="AB83" s="21">
        <f>EXP(-LN(2)/2)*AB82+(1-EXP(-LN(2)/2))/(LN(2)/2)*V83*Y83*VLOOKUP('Données projet'!$B$9,Paramètres!$A$1:$I$89,3,0)*0.475*44/12</f>
        <v>57.525531306016681</v>
      </c>
      <c r="AC83" s="22">
        <f t="shared" si="57"/>
        <v>134.76603904468044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330</v>
      </c>
      <c r="AG83" s="12">
        <f>VLOOKUP(A83,'Données projet'!$A$61:$I$81,9,0)</f>
        <v>3.6</v>
      </c>
      <c r="AH83" s="12">
        <f t="array" ref="AH83">INDEX(AG:AG,MIN(IF(ISNUMBER(AG83:AG279),ROW(AG83:AG279),"")))</f>
        <v>3.6</v>
      </c>
      <c r="AI83" s="13">
        <f>IF('Données projet'!$A$62&gt;35,AI82+AH83-AQ82,IF(A83&lt;'Données projet'!$A$62,$AF$205^A83,IF(A83='Données projet'!$A$62,'Données projet'!$B$62,AI82+AH83-AQ82)))</f>
        <v>330</v>
      </c>
      <c r="AJ83" s="13">
        <f>AI83*VLOOKUP('Données projet'!$B$10,Paramètres!$A$1:$I$89,3,0)*VLOOKUP('Données projet'!$B$10,Paramètres!$A$1:$I$89,5,0)</f>
        <v>262.548</v>
      </c>
      <c r="AK83" s="13">
        <f t="shared" si="89"/>
        <v>63.265199933079444</v>
      </c>
      <c r="AL83" s="20">
        <f t="shared" si="58"/>
        <v>567.45798988344666</v>
      </c>
      <c r="AM83" s="59">
        <f t="shared" si="59"/>
        <v>860.79132321678003</v>
      </c>
      <c r="AN83" s="59">
        <f ca="1">AVERAGE(OFFSET($AM$3,0,0,'Données projet'!$E$10+1,1))-AVERAGE(OFFSET($H$3,0,0,'Données projet'!$E$10+1,1))</f>
        <v>353.37479213497227</v>
      </c>
      <c r="AO83" s="59">
        <f t="shared" si="90"/>
        <v>345.4750813433123</v>
      </c>
      <c r="AP83" s="15">
        <f>IF(ISNA(VLOOKUP(A83,'Données projet'!$A$61:$I$81,3,0)),0,VLOOKUP(A83,'Données projet'!$A$61:$I$81,3,0))</f>
        <v>14</v>
      </c>
      <c r="AQ83" s="15">
        <f>IF(ISNA(VLOOKUP(A83,'Données projet'!$A$61:$I$81,4,0)),0,VLOOKUP(A83,'Données projet'!$A$61:$I$81,4,0))</f>
        <v>330</v>
      </c>
      <c r="AR83" s="16">
        <f>IF(ISNA(VLOOKUP(A83,'Données projet'!$A$61:$I$81,5,0)),0%,VLOOKUP(A83,'Données projet'!$A$61:$I$81,5,0)*VLOOKUP('Données projet'!$B$10,Paramètres!$A$1:$I$89,7,0))</f>
        <v>0.13250000000000001</v>
      </c>
      <c r="AS83" s="16">
        <f>IF(ISNA(VLOOKUP(A83,'Données projet'!$A$61:$I$81,6,0)),0%,VLOOKUP(A83,'Données projet'!$A$61:$I$81,6,0)*VLOOKUP('Données projet'!$B$10,Paramètres!$A$1:$I$89,7,0))</f>
        <v>0.13250000000000001</v>
      </c>
      <c r="AT83" s="16">
        <f>IF(ISNA(VLOOKUP(A83,'Données projet'!$A$61:$I$81,7,0)),0%,VLOOKUP(A83,'Données projet'!$A$61:$I$81,7,0))</f>
        <v>0.25</v>
      </c>
      <c r="AU83" s="21">
        <f>EXP(-LN(2)/35)*AU82+(1-EXP(-LN(2)/35))/(LN(2)/35)*AQ83*AR83*VLOOKUP('Données projet'!$B$10,Paramètres!$A$1:$I$89,3,0)*0.475*44/12</f>
        <v>51.982088098095851</v>
      </c>
      <c r="AV83" s="21">
        <f>EXP(-LN(2)/25)*AV82+(1-EXP(-LN(2)/25))/(LN(2)/25)*Calculateur!AQ83*Calculateur!AS83*VLOOKUP('Données projet'!$B$10,Paramètres!$A$1:$I$89,3,0)*0.475*44/12</f>
        <v>51.323746843818121</v>
      </c>
      <c r="AW83" s="21">
        <f>EXP(-LN(2)/2)*AW82+(1-EXP(-LN(2)/2))/(LN(2)/2)*AQ83*AT83*VLOOKUP('Données projet'!$B$10,Paramètres!$A$1:$I$89,3,0)*0.475*44/12</f>
        <v>62.421321204401075</v>
      </c>
      <c r="AX83" s="21">
        <f t="shared" si="60"/>
        <v>165.72715614631505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330</v>
      </c>
      <c r="BB83" s="12">
        <f>VLOOKUP(A83,'Données projet'!$A$87:$I$107,9,0)</f>
        <v>3.6</v>
      </c>
      <c r="BC83" s="12">
        <f t="array" ref="BC83">INDEX(BB:BB,MIN(IF(ISNUMBER(BB83:BB279),ROW(BB83:BB279),"")))</f>
        <v>3.6</v>
      </c>
      <c r="BD83" s="12">
        <f>IF('Données projet'!$A$88&gt;35,BD82+BC83-BL82,IF(A83&lt;'Données projet'!$A$88,$BA$205^A83,IF(A83='Données projet'!$A$88,'Données projet'!$B$88,BD82+BC83-BL82)))</f>
        <v>330</v>
      </c>
      <c r="BE83" s="13">
        <f>BD83*VLOOKUP('Données projet'!$B$11,Paramètres!$A$1:$I$89,3,0)*VLOOKUP('Données projet'!$B$11,Paramètres!$A$1:$I$89,5,0)</f>
        <v>267.69600000000003</v>
      </c>
      <c r="BF83" s="13">
        <f t="shared" si="91"/>
        <v>64.360058723585496</v>
      </c>
      <c r="BG83" s="20">
        <f t="shared" si="61"/>
        <v>578.33096894357811</v>
      </c>
      <c r="BH83" s="59">
        <f t="shared" si="62"/>
        <v>871.66430227691149</v>
      </c>
      <c r="BI83" s="59">
        <f ca="1">AVERAGE(OFFSET($BH$3,0,0,'Données projet'!$E$11+1,1))-AVERAGE(OFFSET($H$3,0,0,'Données projet'!$E$11+1,1))</f>
        <v>359.57284550600366</v>
      </c>
      <c r="BJ83" s="59">
        <f t="shared" si="92"/>
        <v>351.38386928091433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330</v>
      </c>
      <c r="BM83" s="16">
        <f>IF(ISNA(VLOOKUP(A83,'Données projet'!$A$87:$I$107,5,0)),0%,VLOOKUP(A83,'Données projet'!$A$87:$I$107,5,0)*VLOOKUP('Données projet'!$B$11,Paramètres!$A$1:$I$89,7,0))</f>
        <v>0.13250000000000001</v>
      </c>
      <c r="BN83" s="16">
        <f>IF(ISNA(VLOOKUP(A83,'Données projet'!$A$87:$I$107,6,0)),0%,VLOOKUP(A83,'Données projet'!$A$87:$I$107,6,0)*VLOOKUP('Données projet'!$B$11,Paramètres!$A$1:$I$89,7,0))</f>
        <v>0.13250000000000001</v>
      </c>
      <c r="BO83" s="16">
        <f>IF(ISNA(VLOOKUP(A83,'Données projet'!$A$87:$I$107,7,0)),0%,VLOOKUP(A83,'Données projet'!$A$87:$I$107,7,0))</f>
        <v>0.25</v>
      </c>
      <c r="BP83" s="21">
        <f>EXP(-LN(2)/35)*BP82+(1-EXP(-LN(2)/35))/(LN(2)/35)*BL83*BM83*VLOOKUP('Données projet'!$B$11,Paramètres!$A$1:$I$89,3,0)*0.475*44/12</f>
        <v>53.001344727470297</v>
      </c>
      <c r="BQ83" s="21">
        <f>EXP(-LN(2)/25)*BQ82+(1-EXP(-LN(2)/25))/(LN(2)/25)*Calculateur!BL83*Calculateur!BN83*VLOOKUP('Données projet'!$B$11,Paramètres!$A$1:$I$89,3,0)*0.475*44/12</f>
        <v>52.330094821147895</v>
      </c>
      <c r="BR83" s="21">
        <f>EXP(-LN(2)/2)*BR82+(1-EXP(-LN(2)/2))/(LN(2)/2)*BL83*BO83*VLOOKUP('Données projet'!$B$11,Paramètres!$A$1:$I$89,3,0)*0.475*44/12</f>
        <v>63.645268678997184</v>
      </c>
      <c r="BS83" s="22">
        <f t="shared" si="63"/>
        <v>168.97670822761538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123.07692307692307</v>
      </c>
      <c r="BW83" s="12">
        <f>VLOOKUP(A83,'Données projet'!$A$113:$I$133,9,0)</f>
        <v>2.3076923076923039</v>
      </c>
      <c r="BX83" s="12">
        <f t="array" ref="BX83">INDEX(BW:BW,MIN(IF(ISNUMBER(BW83:BW279),ROW(BW83:BW279),"")))</f>
        <v>2.3076923076923039</v>
      </c>
      <c r="BY83" s="12">
        <f>IF('Données projet'!$A$114&gt;35,BY82+BX83-CG82,IF(A83&lt;'Données projet'!$A$114,$BV$205^A83,IF(A83='Données projet'!$A$114,'Données projet'!$B$114,BY82+BX83-CG82)))</f>
        <v>123.07692307692301</v>
      </c>
      <c r="BZ83" s="13">
        <f>BY83*VLOOKUP('Données projet'!$B$12,Paramètres!$A$1:$I$89,3,0)*VLOOKUP('Données projet'!$B$12,Paramètres!$A$1:$I$89,5,0)</f>
        <v>99.839999999999947</v>
      </c>
      <c r="CA83" s="13">
        <f t="shared" si="93"/>
        <v>26.923876203052842</v>
      </c>
      <c r="CB83" s="20">
        <f t="shared" si="64"/>
        <v>220.78041772031693</v>
      </c>
      <c r="CC83" s="59">
        <f t="shared" si="65"/>
        <v>514.11375105365028</v>
      </c>
      <c r="CD83" s="59">
        <f ca="1">AVERAGE(OFFSET($CC$3,0,0,'Données projet'!$E$12+1,1))-AVERAGE(OFFSET($H$3,0,0,'Données projet'!$E$12+1,1))</f>
        <v>159.4660488566085</v>
      </c>
      <c r="CE83" s="59">
        <f t="shared" si="94"/>
        <v>135.33030558297088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7.0512820512820511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0.1075</v>
      </c>
      <c r="CJ83" s="16">
        <f>IF(ISNA(VLOOKUP(A83,'Données projet'!$A$113:$I$133,7,0)),0%,VLOOKUP(A83,'Données projet'!$A$113:$I$133,7,0))</f>
        <v>0.25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4.2354679466423679</v>
      </c>
      <c r="CM83" s="21">
        <f>EXP(-LN(2)/2)*CM82+(1-EXP(-LN(2)/2))/(LN(2)/2)*CG83*CJ83*VLOOKUP('Données projet'!$B$12,Paramètres!$A$1:$I$89,3,0)*0.475*44/12</f>
        <v>1.6389761548677217</v>
      </c>
      <c r="CN83" s="22">
        <f t="shared" si="66"/>
        <v>5.8744441015100897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330</v>
      </c>
      <c r="CR83" s="12">
        <f>VLOOKUP(A83,'Données projet'!$A$139:$I$159,9,0)</f>
        <v>3.6</v>
      </c>
      <c r="CS83" s="12">
        <f t="array" ref="CS83">INDEX(CR:CR,MIN(IF(ISNUMBER(CR83:CR279),ROW(CR83:CR279),"")))</f>
        <v>3.6</v>
      </c>
      <c r="CT83" s="12">
        <f>IF('Données projet'!$A$140&gt;35,CT82+CS83-DB82,IF(A83&lt;'Données projet'!$A$140,$CQ$205^A83,IF(A83='Données projet'!$A$140,'Données projet'!$B$140,CT82+CS83-DB82)))</f>
        <v>330</v>
      </c>
      <c r="CU83" s="17">
        <f>CT83*VLOOKUP('Données projet'!$B$13,Paramètres!$A$1:$I$89,3,0)*VLOOKUP('Données projet'!$B$13,Paramètres!$A$1:$I$89,5,0)</f>
        <v>262.548</v>
      </c>
      <c r="CV83" s="13">
        <f t="shared" si="95"/>
        <v>63.265199933079444</v>
      </c>
      <c r="CW83" s="20">
        <f t="shared" si="67"/>
        <v>567.45798988344666</v>
      </c>
      <c r="CX83" s="59">
        <f t="shared" si="68"/>
        <v>860.79132321678003</v>
      </c>
      <c r="CY83" s="59">
        <f ca="1">AVERAGE(OFFSET($CX$3,0,0,'Données projet'!$E$13+1,1))-AVERAGE(OFFSET($H$3,0,0,'Données projet'!$E$13+1,1))</f>
        <v>353.37479213497227</v>
      </c>
      <c r="CZ83" s="59">
        <f t="shared" si="96"/>
        <v>345.4750813433123</v>
      </c>
      <c r="DA83" s="15">
        <f>IF(ISNA(VLOOKUP(A83,'Données projet'!$A$139:$I$159,3,0)),0,VLOOKUP(A83,'Données projet'!$A$139:$I$159,3,0))</f>
        <v>14</v>
      </c>
      <c r="DB83" s="15">
        <f>IF(ISNA(VLOOKUP(A83,'Données projet'!$A$139:$I$159,4,0)),0,VLOOKUP(A83,'Données projet'!$A$139:$I$159,4,0))</f>
        <v>330</v>
      </c>
      <c r="DC83" s="16">
        <f>IF(ISNA(VLOOKUP(A83,'Données projet'!$A$139:$I$159,5,0)),0%,VLOOKUP(A83,'Données projet'!$A$139:$I$159,5,0)*VLOOKUP('Données projet'!$B$13,Paramètres!$A$1:$I$89,7,0))</f>
        <v>0.13250000000000001</v>
      </c>
      <c r="DD83" s="16">
        <f>IF(ISNA(VLOOKUP(A83,'Données projet'!$A$139:$I$159,6,0)),0%,VLOOKUP(A83,'Données projet'!$A$139:$I$159,6,0)*VLOOKUP('Données projet'!$B$13,Paramètres!$A$1:$I$89,7,0))</f>
        <v>0.13250000000000001</v>
      </c>
      <c r="DE83" s="16">
        <f>IF(ISNA(VLOOKUP(A83,'Données projet'!$A$139:$I$159,7,0)),0%,VLOOKUP(A83,'Données projet'!$A$139:$I$159,7,0))</f>
        <v>0.25</v>
      </c>
      <c r="DF83" s="21">
        <f>EXP(-LN(2)/35)*DF82+(1-EXP(-LN(2)/35))/(LN(2)/35)*DB83*DC83*VLOOKUP('Données projet'!$B$13,Paramètres!$A$1:$I$89,3,0)*0.475*44/12</f>
        <v>51.982088098095851</v>
      </c>
      <c r="DG83" s="21">
        <f>EXP(-LN(2)/25)*DG82+(1-EXP(-LN(2)/25))/(LN(2)/25)*Calculateur!DB83*Calculateur!DD83*VLOOKUP('Données projet'!$B$13,Paramètres!$A$1:$I$89,3,0)*0.475*44/12</f>
        <v>51.323746843818121</v>
      </c>
      <c r="DH83" s="21">
        <f>EXP(-LN(2)/2)*DH82+(1-EXP(-LN(2)/2))/(LN(2)/2)*DB83*DE83*VLOOKUP('Données projet'!$B$13,Paramètres!$A$1:$I$89,3,0)*0.475*44/12</f>
        <v>62.421321204401075</v>
      </c>
      <c r="DI83" s="22">
        <f t="shared" si="69"/>
        <v>165.72715614631505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9.546999999999997</v>
      </c>
      <c r="DO83" s="12">
        <f>IF('Données projet'!$A$166&gt;35,DO82+DN83-DW82,IF(A83&lt;'Données projet'!$A$166,$DL$205^A83,IF(A83='Données projet'!$A$166,'Données projet'!$B$166,DO82+DN83-DW82)))</f>
        <v>316.90200000000038</v>
      </c>
      <c r="DP83" s="17">
        <f>DO83*VLOOKUP('Données projet'!$B$14,Paramètres!$A$1:$I$89,3,0)*VLOOKUP('Données projet'!$B$14,Paramètres!$A$1:$I$89,5,0)</f>
        <v>286.73292960000038</v>
      </c>
      <c r="DQ83" s="13">
        <f t="shared" si="97"/>
        <v>68.387896772756079</v>
      </c>
      <c r="DR83" s="20">
        <f t="shared" si="70"/>
        <v>618.50210593255088</v>
      </c>
      <c r="DS83" s="59">
        <f t="shared" si="71"/>
        <v>911.83543926588413</v>
      </c>
      <c r="DT83" s="59">
        <f ca="1">AVERAGE(OFFSET($DS$3,0,0,'Données projet'!$E$14+1,1))-AVERAGE(OFFSET($H$3,0,0,'Données projet'!$E$14+1,1))</f>
        <v>635.71275911100679</v>
      </c>
      <c r="DU83" s="59">
        <f t="shared" si="98"/>
        <v>281.7776857269169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12.986593727820781</v>
      </c>
      <c r="EB83" s="21">
        <f>EXP(-LN(2)/25)*EB82+(1-EXP(-LN(2)/25))/(LN(2)/25)*Calculateur!DW83*Calculateur!DY83*VLOOKUP('Données projet'!$B$14,Paramètres!$A$1:$I$89,3,0)*0.475*44/12</f>
        <v>26.663451854486379</v>
      </c>
      <c r="EC83" s="21">
        <f>EXP(-LN(2)/2)*EC82+(1-EXP(-LN(2)/2))/(LN(2)/2)*DW83*DZ83*VLOOKUP('Données projet'!$B$14,Paramètres!$A$1:$I$89,3,0)*0.475*44/12</f>
        <v>0.5878605006843981</v>
      </c>
      <c r="ED83" s="22">
        <f t="shared" si="72"/>
        <v>40.237906082991557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9.546999999999997</v>
      </c>
      <c r="EJ83" s="12">
        <f>IF('Données projet'!$A$192&gt;35,EJ82+EI83-ER82,IF(A83&lt;'Données projet'!$A$192,$EG$205^A83,IF(A83='Données projet'!$A$192,'Données projet'!$B$192,EJ82+EI83-ER82)))</f>
        <v>316.90200000000038</v>
      </c>
      <c r="EK83" s="17">
        <f>EJ83*VLOOKUP('Données projet'!$B$15,Paramètres!$A$1:$I$89,3,0)*VLOOKUP('Données projet'!$B$15,Paramètres!$A$1:$I$89,5,0)</f>
        <v>212.57786160000026</v>
      </c>
      <c r="EL83" s="13">
        <f t="shared" si="99"/>
        <v>52.498512681111691</v>
      </c>
      <c r="EM83" s="20">
        <f t="shared" si="73"/>
        <v>461.67468520627</v>
      </c>
      <c r="EN83" s="59">
        <f t="shared" si="74"/>
        <v>755.00801853960331</v>
      </c>
      <c r="EO83" s="59">
        <f ca="1">AVERAGE(OFFSET($EN$3,0,0,'Données projet'!$E$15+1,1))-AVERAGE(OFFSET($H$3,0,0,'Données projet'!$E$15+1,1))</f>
        <v>482.99915419700773</v>
      </c>
      <c r="EP83" s="59">
        <f t="shared" si="100"/>
        <v>219.74157899604279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11.867059785767266</v>
      </c>
      <c r="EW83" s="21">
        <f>EXP(-LN(2)/25)*EW82+(1-EXP(-LN(2)/25))/(LN(2)/25)*Calculateur!ER83*Calculateur!ET83*VLOOKUP('Données projet'!$B$15,Paramètres!$A$1:$I$89,3,0)*0.475*44/12</f>
        <v>24.364878418754792</v>
      </c>
      <c r="EX83" s="21">
        <f>EXP(-LN(2)/2)*EX82+(1-EXP(-LN(2)/2))/(LN(2)/2)*ER83*EU83*VLOOKUP('Données projet'!$B$15,Paramètres!$A$1:$I$89,3,0)*0.475*44/12</f>
        <v>0.43582761257636415</v>
      </c>
      <c r="EY83" s="22">
        <f t="shared" si="75"/>
        <v>36.66776581709842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9.546999999999997</v>
      </c>
      <c r="FE83" s="12">
        <f>IF('Données projet'!$A$218&gt;35,FE82+FD83-FM82,IF(A83&lt;'Données projet'!$A$218,$FB$205^A83,IF(A83='Données projet'!$A$218,'Données projet'!$B$218,FE82+FD83-FM82)))</f>
        <v>316.90200000000038</v>
      </c>
      <c r="FF83" s="17">
        <f>FE83*VLOOKUP('Données projet'!$B$16,Paramètres!$A$1:$I$89,3,0)*VLOOKUP('Données projet'!$B$16,Paramètres!$A$1:$I$89,5,0)</f>
        <v>301.56394320000038</v>
      </c>
      <c r="FG83" s="13">
        <f t="shared" si="101"/>
        <v>71.504226759443313</v>
      </c>
      <c r="FH83" s="20">
        <f t="shared" si="76"/>
        <v>649.76039601269781</v>
      </c>
      <c r="FI83" s="59">
        <f t="shared" si="77"/>
        <v>943.09372934603107</v>
      </c>
      <c r="FJ83" s="59">
        <f ca="1">AVERAGE(OFFSET($FI$3,0,0,'Données projet'!$E$16+1,1))-AVERAGE(OFFSET($H$3,0,0,'Données projet'!$E$16+1,1))</f>
        <v>666.1523645983184</v>
      </c>
      <c r="FK83" s="59">
        <f t="shared" si="102"/>
        <v>294.13851344047526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13.658314093052889</v>
      </c>
      <c r="FR83" s="21">
        <f>EXP(-LN(2)/25)*FR82+(1-EXP(-LN(2)/25))/(LN(2)/25)*Calculateur!FM83*Calculateur!FO83*VLOOKUP('Données projet'!$B$16,Paramètres!$A$1:$I$89,3,0)*0.475*44/12</f>
        <v>28.042595915925325</v>
      </c>
      <c r="FS83" s="21">
        <f>EXP(-LN(2)/2)*FS82+(1-EXP(-LN(2)/2))/(LN(2)/2)*FM83*FP83*VLOOKUP('Données projet'!$B$16,Paramètres!$A$1:$I$89,3,0)*0.475*44/12</f>
        <v>0.61826707830600469</v>
      </c>
      <c r="FT83" s="22">
        <f t="shared" si="78"/>
        <v>42.319177087284217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328.55631138162721</v>
      </c>
      <c r="T84" s="59">
        <f t="shared" si="88"/>
        <v>321.81422611044985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38.104224892732361</v>
      </c>
      <c r="AA84" s="21">
        <f>EXP(-LN(2)/25)*AA83+(1-EXP(-LN(2)/25))/(LN(2)/25)*Calculateur!V84*Calculateur!X84*VLOOKUP('Données projet'!$B$9,Paramètres!$A$1:$I$89,3,0)*0.475*44/12</f>
        <v>37.324794227445658</v>
      </c>
      <c r="AB84" s="21">
        <f>EXP(-LN(2)/2)*AB83+(1-EXP(-LN(2)/2))/(LN(2)/2)*V84*Y84*VLOOKUP('Données projet'!$B$9,Paramètres!$A$1:$I$89,3,0)*0.475*44/12</f>
        <v>40.676693277843427</v>
      </c>
      <c r="AC84" s="22">
        <f t="shared" si="57"/>
        <v>116.10571239802145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353.37479213497227</v>
      </c>
      <c r="AO84" s="59">
        <f t="shared" si="90"/>
        <v>345.4750813433123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50.962751056435231</v>
      </c>
      <c r="AV84" s="21">
        <f>EXP(-LN(2)/25)*AV83+(1-EXP(-LN(2)/25))/(LN(2)/25)*Calculateur!AQ84*Calculateur!AS84*VLOOKUP('Données projet'!$B$10,Paramètres!$A$1:$I$89,3,0)*0.475*44/12</f>
        <v>49.920296287375372</v>
      </c>
      <c r="AW84" s="21">
        <f>EXP(-LN(2)/2)*AW83+(1-EXP(-LN(2)/2))/(LN(2)/2)*AQ84*AT84*VLOOKUP('Données projet'!$B$10,Paramètres!$A$1:$I$89,3,0)*0.475*44/12</f>
        <v>44.138539514255633</v>
      </c>
      <c r="AX84" s="21">
        <f t="shared" si="60"/>
        <v>145.02158685806623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359.57284550600366</v>
      </c>
      <c r="BJ84" s="59">
        <f t="shared" si="92"/>
        <v>351.38386928091433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51.962020684992801</v>
      </c>
      <c r="BQ84" s="21">
        <f>EXP(-LN(2)/25)*BQ83+(1-EXP(-LN(2)/25))/(LN(2)/25)*Calculateur!BL84*Calculateur!BN84*VLOOKUP('Données projet'!$B$11,Paramètres!$A$1:$I$89,3,0)*0.475*44/12</f>
        <v>50.899125626343519</v>
      </c>
      <c r="BR84" s="21">
        <f>EXP(-LN(2)/2)*BR83+(1-EXP(-LN(2)/2))/(LN(2)/2)*BL84*BO84*VLOOKUP('Données projet'!$B$11,Paramètres!$A$1:$I$89,3,0)*0.475*44/12</f>
        <v>45.004001073358694</v>
      </c>
      <c r="BS84" s="22">
        <f t="shared" si="63"/>
        <v>147.86514738469501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2.0512820512820498</v>
      </c>
      <c r="BY84" s="12">
        <f>IF('Données projet'!$A$114&gt;35,BY83+BX84-CG83,IF(A84&lt;'Données projet'!$A$114,$BV$205^A84,IF(A84='Données projet'!$A$114,'Données projet'!$B$114,BY83+BX84-CG83)))</f>
        <v>118.07692307692301</v>
      </c>
      <c r="BZ84" s="13">
        <f>BY84*VLOOKUP('Données projet'!$B$12,Paramètres!$A$1:$I$89,3,0)*VLOOKUP('Données projet'!$B$12,Paramètres!$A$1:$I$89,5,0)</f>
        <v>95.783999999999963</v>
      </c>
      <c r="CA84" s="13">
        <f t="shared" si="93"/>
        <v>25.955089615728056</v>
      </c>
      <c r="CB84" s="20">
        <f t="shared" si="64"/>
        <v>212.02891441405961</v>
      </c>
      <c r="CC84" s="59">
        <f t="shared" si="65"/>
        <v>505.36224774739293</v>
      </c>
      <c r="CD84" s="59">
        <f ca="1">AVERAGE(OFFSET($CC$3,0,0,'Données projet'!$E$12+1,1))-AVERAGE(OFFSET($H$3,0,0,'Données projet'!$E$12+1,1))</f>
        <v>159.4660488566085</v>
      </c>
      <c r="CE84" s="59">
        <f t="shared" si="94"/>
        <v>135.33030558297088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4.1196488529078534</v>
      </c>
      <c r="CM84" s="21">
        <f>EXP(-LN(2)/2)*CM83+(1-EXP(-LN(2)/2))/(LN(2)/2)*CG84*CJ84*VLOOKUP('Données projet'!$B$12,Paramètres!$A$1:$I$89,3,0)*0.475*44/12</f>
        <v>1.1589311533100193</v>
      </c>
      <c r="CN84" s="22">
        <f t="shared" si="66"/>
        <v>5.2785800062178723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353.37479213497227</v>
      </c>
      <c r="CZ84" s="59">
        <f t="shared" si="96"/>
        <v>345.4750813433123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50.962751056435231</v>
      </c>
      <c r="DG84" s="21">
        <f>EXP(-LN(2)/25)*DG83+(1-EXP(-LN(2)/25))/(LN(2)/25)*Calculateur!DB84*Calculateur!DD84*VLOOKUP('Données projet'!$B$13,Paramètres!$A$1:$I$89,3,0)*0.475*44/12</f>
        <v>49.920296287375372</v>
      </c>
      <c r="DH84" s="21">
        <f>EXP(-LN(2)/2)*DH83+(1-EXP(-LN(2)/2))/(LN(2)/2)*DB84*DE84*VLOOKUP('Données projet'!$B$13,Paramètres!$A$1:$I$89,3,0)*0.475*44/12</f>
        <v>44.138539514255633</v>
      </c>
      <c r="DI84" s="22">
        <f t="shared" si="69"/>
        <v>145.02158685806623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9.546999999999997</v>
      </c>
      <c r="DO84" s="12">
        <f>IF('Données projet'!$A$166&gt;35,DO83+DN84-DW83,IF(A84&lt;'Données projet'!$A$166,$DL$205^A84,IF(A84='Données projet'!$A$166,'Données projet'!$B$166,DO83+DN84-DW83)))</f>
        <v>326.44900000000041</v>
      </c>
      <c r="DP84" s="17">
        <f>DO84*VLOOKUP('Données projet'!$B$14,Paramètres!$A$1:$I$89,3,0)*VLOOKUP('Données projet'!$B$14,Paramètres!$A$1:$I$89,5,0)</f>
        <v>295.37105520000034</v>
      </c>
      <c r="DQ84" s="13">
        <f t="shared" si="97"/>
        <v>70.205182362680091</v>
      </c>
      <c r="DR84" s="20">
        <f t="shared" si="70"/>
        <v>636.71194708833502</v>
      </c>
      <c r="DS84" s="59">
        <f t="shared" si="71"/>
        <v>930.04528042166839</v>
      </c>
      <c r="DT84" s="59">
        <f ca="1">AVERAGE(OFFSET($DS$3,0,0,'Données projet'!$E$14+1,1))-AVERAGE(OFFSET($H$3,0,0,'Données projet'!$E$14+1,1))</f>
        <v>635.71275911100679</v>
      </c>
      <c r="DU84" s="59">
        <f t="shared" si="98"/>
        <v>281.7776857269169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12.731934545858252</v>
      </c>
      <c r="EB84" s="21">
        <f>EXP(-LN(2)/25)*EB83+(1-EXP(-LN(2)/25))/(LN(2)/25)*Calculateur!DW84*Calculateur!DY84*VLOOKUP('Données projet'!$B$14,Paramètres!$A$1:$I$89,3,0)*0.475*44/12</f>
        <v>25.934338361355454</v>
      </c>
      <c r="EC84" s="21">
        <f>EXP(-LN(2)/2)*EC83+(1-EXP(-LN(2)/2))/(LN(2)/2)*DW84*DZ84*VLOOKUP('Données projet'!$B$14,Paramètres!$A$1:$I$89,3,0)*0.475*44/12</f>
        <v>0.41568014642565698</v>
      </c>
      <c r="ED84" s="22">
        <f t="shared" si="72"/>
        <v>39.081953053639367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9.546999999999997</v>
      </c>
      <c r="EJ84" s="12">
        <f>IF('Données projet'!$A$192&gt;35,EJ83+EI84-ER83,IF(A84&lt;'Données projet'!$A$192,$EG$205^A84,IF(A84='Données projet'!$A$192,'Données projet'!$B$192,EJ83+EI84-ER83)))</f>
        <v>326.44900000000041</v>
      </c>
      <c r="EK84" s="17">
        <f>EJ84*VLOOKUP('Données projet'!$B$15,Paramètres!$A$1:$I$89,3,0)*VLOOKUP('Données projet'!$B$15,Paramètres!$A$1:$I$89,5,0)</f>
        <v>218.9819892000003</v>
      </c>
      <c r="EL84" s="13">
        <f t="shared" si="99"/>
        <v>53.893566412693055</v>
      </c>
      <c r="EM84" s="20">
        <f t="shared" si="73"/>
        <v>475.25825935877418</v>
      </c>
      <c r="EN84" s="59">
        <f t="shared" si="74"/>
        <v>768.5915926921075</v>
      </c>
      <c r="EO84" s="59">
        <f ca="1">AVERAGE(OFFSET($EN$3,0,0,'Données projet'!$E$15+1,1))-AVERAGE(OFFSET($H$3,0,0,'Données projet'!$E$15+1,1))</f>
        <v>482.99915419700773</v>
      </c>
      <c r="EP84" s="59">
        <f t="shared" si="100"/>
        <v>219.74157899604279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11.634353981560126</v>
      </c>
      <c r="EW84" s="21">
        <f>EXP(-LN(2)/25)*EW83+(1-EXP(-LN(2)/25))/(LN(2)/25)*Calculateur!ER84*Calculateur!ET84*VLOOKUP('Données projet'!$B$15,Paramètres!$A$1:$I$89,3,0)*0.475*44/12</f>
        <v>23.698619537100672</v>
      </c>
      <c r="EX84" s="21">
        <f>EXP(-LN(2)/2)*EX83+(1-EXP(-LN(2)/2))/(LN(2)/2)*ER84*EU84*VLOOKUP('Données projet'!$B$15,Paramètres!$A$1:$I$89,3,0)*0.475*44/12</f>
        <v>0.30817666028109053</v>
      </c>
      <c r="EY84" s="22">
        <f t="shared" si="75"/>
        <v>35.641150178941892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9.546999999999997</v>
      </c>
      <c r="FE84" s="12">
        <f>IF('Données projet'!$A$218&gt;35,FE83+FD84-FM83,IF(A84&lt;'Données projet'!$A$218,$FB$205^A84,IF(A84='Données projet'!$A$218,'Données projet'!$B$218,FE83+FD84-FM83)))</f>
        <v>326.44900000000041</v>
      </c>
      <c r="FF84" s="17">
        <f>FE84*VLOOKUP('Données projet'!$B$16,Paramètres!$A$1:$I$89,3,0)*VLOOKUP('Données projet'!$B$16,Paramètres!$A$1:$I$89,5,0)</f>
        <v>310.64886840000037</v>
      </c>
      <c r="FG84" s="13">
        <f t="shared" si="101"/>
        <v>73.404323224471185</v>
      </c>
      <c r="FH84" s="20">
        <f t="shared" si="76"/>
        <v>668.89264207928784</v>
      </c>
      <c r="FI84" s="59">
        <f t="shared" si="77"/>
        <v>962.22597541262121</v>
      </c>
      <c r="FJ84" s="59">
        <f ca="1">AVERAGE(OFFSET($FI$3,0,0,'Données projet'!$E$16+1,1))-AVERAGE(OFFSET($H$3,0,0,'Données projet'!$E$16+1,1))</f>
        <v>666.1523645983184</v>
      </c>
      <c r="FK84" s="59">
        <f t="shared" si="102"/>
        <v>294.13851344047526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13.390482884437125</v>
      </c>
      <c r="FR84" s="21">
        <f>EXP(-LN(2)/25)*FR83+(1-EXP(-LN(2)/25))/(LN(2)/25)*Calculateur!FM84*Calculateur!FO84*VLOOKUP('Données projet'!$B$16,Paramètres!$A$1:$I$89,3,0)*0.475*44/12</f>
        <v>27.27576965590832</v>
      </c>
      <c r="FS84" s="21">
        <f>EXP(-LN(2)/2)*FS83+(1-EXP(-LN(2)/2))/(LN(2)/2)*FM84*FP84*VLOOKUP('Données projet'!$B$16,Paramètres!$A$1:$I$89,3,0)*0.475*44/12</f>
        <v>0.43718084365457011</v>
      </c>
      <c r="FT84" s="22">
        <f t="shared" si="78"/>
        <v>41.10343338400002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328.55631138162721</v>
      </c>
      <c r="T85" s="59">
        <f t="shared" si="88"/>
        <v>321.81422611044985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37.357024283868178</v>
      </c>
      <c r="AA85" s="21">
        <f>EXP(-LN(2)/25)*AA84+(1-EXP(-LN(2)/25))/(LN(2)/25)*Calculateur!V85*Calculateur!X85*VLOOKUP('Données projet'!$B$9,Paramètres!$A$1:$I$89,3,0)*0.475*44/12</f>
        <v>36.304145766470533</v>
      </c>
      <c r="AB85" s="21">
        <f>EXP(-LN(2)/2)*AB84+(1-EXP(-LN(2)/2))/(LN(2)/2)*V85*Y85*VLOOKUP('Données projet'!$B$9,Paramètres!$A$1:$I$89,3,0)*0.475*44/12</f>
        <v>28.762765653008344</v>
      </c>
      <c r="AC85" s="22">
        <f t="shared" si="57"/>
        <v>102.42393570334706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353.37479213497227</v>
      </c>
      <c r="AO85" s="59">
        <f t="shared" si="90"/>
        <v>345.4750813433123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49.963402592427371</v>
      </c>
      <c r="AV85" s="21">
        <f>EXP(-LN(2)/25)*AV84+(1-EXP(-LN(2)/25))/(LN(2)/25)*Calculateur!AQ85*Calculateur!AS85*VLOOKUP('Données projet'!$B$10,Paramètres!$A$1:$I$89,3,0)*0.475*44/12</f>
        <v>48.555223160202807</v>
      </c>
      <c r="AW85" s="21">
        <f>EXP(-LN(2)/2)*AW84+(1-EXP(-LN(2)/2))/(LN(2)/2)*AQ85*AT85*VLOOKUP('Données projet'!$B$10,Paramètres!$A$1:$I$89,3,0)*0.475*44/12</f>
        <v>31.210660602200541</v>
      </c>
      <c r="AX85" s="21">
        <f t="shared" si="60"/>
        <v>129.72928635483072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359.57284550600366</v>
      </c>
      <c r="BJ85" s="59">
        <f t="shared" si="92"/>
        <v>351.38386928091433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50.943077153063214</v>
      </c>
      <c r="BQ85" s="21">
        <f>EXP(-LN(2)/25)*BQ84+(1-EXP(-LN(2)/25))/(LN(2)/25)*Calculateur!BL85*Calculateur!BN85*VLOOKUP('Données projet'!$B$11,Paramètres!$A$1:$I$89,3,0)*0.475*44/12</f>
        <v>49.507286359422473</v>
      </c>
      <c r="BR85" s="21">
        <f>EXP(-LN(2)/2)*BR84+(1-EXP(-LN(2)/2))/(LN(2)/2)*BL85*BO85*VLOOKUP('Données projet'!$B$11,Paramètres!$A$1:$I$89,3,0)*0.475*44/12</f>
        <v>31.822634339498599</v>
      </c>
      <c r="BS85" s="22">
        <f t="shared" si="63"/>
        <v>132.27299785198429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2.0512820512820498</v>
      </c>
      <c r="BY85" s="12">
        <f>IF('Données projet'!$A$114&gt;35,BY84+BX85-CG84,IF(A85&lt;'Données projet'!$A$114,$BV$205^A85,IF(A85='Données projet'!$A$114,'Données projet'!$B$114,BY84+BX85-CG84)))</f>
        <v>120.12820512820505</v>
      </c>
      <c r="BZ85" s="13">
        <f>BY85*VLOOKUP('Données projet'!$B$12,Paramètres!$A$1:$I$89,3,0)*VLOOKUP('Données projet'!$B$12,Paramètres!$A$1:$I$89,5,0)</f>
        <v>97.447999999999951</v>
      </c>
      <c r="CA85" s="13">
        <f t="shared" si="93"/>
        <v>26.353107037128467</v>
      </c>
      <c r="CB85" s="20">
        <f t="shared" si="64"/>
        <v>215.62026142299865</v>
      </c>
      <c r="CC85" s="59">
        <f t="shared" si="65"/>
        <v>508.953594756332</v>
      </c>
      <c r="CD85" s="59">
        <f ca="1">AVERAGE(OFFSET($CC$3,0,0,'Données projet'!$E$12+1,1))-AVERAGE(OFFSET($H$3,0,0,'Données projet'!$E$12+1,1))</f>
        <v>159.4660488566085</v>
      </c>
      <c r="CE85" s="59">
        <f t="shared" si="94"/>
        <v>135.33030558297088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4.0069968383821708</v>
      </c>
      <c r="CM85" s="21">
        <f>EXP(-LN(2)/2)*CM84+(1-EXP(-LN(2)/2))/(LN(2)/2)*CG85*CJ85*VLOOKUP('Données projet'!$B$12,Paramètres!$A$1:$I$89,3,0)*0.475*44/12</f>
        <v>0.81948807743386098</v>
      </c>
      <c r="CN85" s="22">
        <f t="shared" si="66"/>
        <v>4.8264849158160317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353.37479213497227</v>
      </c>
      <c r="CZ85" s="59">
        <f t="shared" si="96"/>
        <v>345.4750813433123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49.963402592427371</v>
      </c>
      <c r="DG85" s="21">
        <f>EXP(-LN(2)/25)*DG84+(1-EXP(-LN(2)/25))/(LN(2)/25)*Calculateur!DB85*Calculateur!DD85*VLOOKUP('Données projet'!$B$13,Paramètres!$A$1:$I$89,3,0)*0.475*44/12</f>
        <v>48.555223160202807</v>
      </c>
      <c r="DH85" s="21">
        <f>EXP(-LN(2)/2)*DH84+(1-EXP(-LN(2)/2))/(LN(2)/2)*DB85*DE85*VLOOKUP('Données projet'!$B$13,Paramètres!$A$1:$I$89,3,0)*0.475*44/12</f>
        <v>31.210660602200541</v>
      </c>
      <c r="DI85" s="22">
        <f t="shared" si="69"/>
        <v>129.72928635483072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9.546999999999997</v>
      </c>
      <c r="DO85" s="12">
        <f>IF('Données projet'!$A$166&gt;35,DO84+DN85-DW84,IF(A85&lt;'Données projet'!$A$166,$DL$205^A85,IF(A85='Données projet'!$A$166,'Données projet'!$B$166,DO84+DN85-DW84)))</f>
        <v>335.99600000000044</v>
      </c>
      <c r="DP85" s="17">
        <f>DO85*VLOOKUP('Données projet'!$B$14,Paramètres!$A$1:$I$89,3,0)*VLOOKUP('Données projet'!$B$14,Paramètres!$A$1:$I$89,5,0)</f>
        <v>304.00918080000037</v>
      </c>
      <c r="DQ85" s="13">
        <f t="shared" si="97"/>
        <v>72.016291285794935</v>
      </c>
      <c r="DR85" s="20">
        <f t="shared" si="70"/>
        <v>654.91103054942675</v>
      </c>
      <c r="DS85" s="59">
        <f t="shared" si="71"/>
        <v>948.24436388276013</v>
      </c>
      <c r="DT85" s="59">
        <f ca="1">AVERAGE(OFFSET($DS$3,0,0,'Données projet'!$E$14+1,1))-AVERAGE(OFFSET($H$3,0,0,'Données projet'!$E$14+1,1))</f>
        <v>635.71275911100679</v>
      </c>
      <c r="DU85" s="59">
        <f t="shared" si="98"/>
        <v>281.7776857269169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12.482269075127244</v>
      </c>
      <c r="EB85" s="21">
        <f>EXP(-LN(2)/25)*EB84+(1-EXP(-LN(2)/25))/(LN(2)/25)*Calculateur!DW85*Calculateur!DY85*VLOOKUP('Données projet'!$B$14,Paramètres!$A$1:$I$89,3,0)*0.475*44/12</f>
        <v>25.225162515036608</v>
      </c>
      <c r="EC85" s="21">
        <f>EXP(-LN(2)/2)*EC84+(1-EXP(-LN(2)/2))/(LN(2)/2)*DW85*DZ85*VLOOKUP('Données projet'!$B$14,Paramètres!$A$1:$I$89,3,0)*0.475*44/12</f>
        <v>0.29393025034219911</v>
      </c>
      <c r="ED85" s="22">
        <f t="shared" si="72"/>
        <v>38.00136184050605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9.546999999999997</v>
      </c>
      <c r="EJ85" s="12">
        <f>IF('Données projet'!$A$192&gt;35,EJ84+EI85-ER84,IF(A85&lt;'Données projet'!$A$192,$EG$205^A85,IF(A85='Données projet'!$A$192,'Données projet'!$B$192,EJ84+EI85-ER84)))</f>
        <v>335.99600000000044</v>
      </c>
      <c r="EK85" s="17">
        <f>EJ85*VLOOKUP('Données projet'!$B$15,Paramètres!$A$1:$I$89,3,0)*VLOOKUP('Données projet'!$B$15,Paramètres!$A$1:$I$89,5,0)</f>
        <v>225.38611680000028</v>
      </c>
      <c r="EL85" s="13">
        <f t="shared" si="99"/>
        <v>55.283878576890118</v>
      </c>
      <c r="EM85" s="20">
        <f t="shared" si="73"/>
        <v>488.83357528141732</v>
      </c>
      <c r="EN85" s="59">
        <f t="shared" si="74"/>
        <v>782.16690861475058</v>
      </c>
      <c r="EO85" s="59">
        <f ca="1">AVERAGE(OFFSET($EN$3,0,0,'Données projet'!$E$15+1,1))-AVERAGE(OFFSET($H$3,0,0,'Données projet'!$E$15+1,1))</f>
        <v>482.99915419700773</v>
      </c>
      <c r="EP85" s="59">
        <f t="shared" si="100"/>
        <v>219.74157899604279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11.406211396236964</v>
      </c>
      <c r="EW85" s="21">
        <f>EXP(-LN(2)/25)*EW84+(1-EXP(-LN(2)/25))/(LN(2)/25)*Calculateur!ER85*Calculateur!ET85*VLOOKUP('Données projet'!$B$15,Paramètres!$A$1:$I$89,3,0)*0.475*44/12</f>
        <v>23.050579539602417</v>
      </c>
      <c r="EX85" s="21">
        <f>EXP(-LN(2)/2)*EX84+(1-EXP(-LN(2)/2))/(LN(2)/2)*ER85*EU85*VLOOKUP('Données projet'!$B$15,Paramètres!$A$1:$I$89,3,0)*0.475*44/12</f>
        <v>0.21791380628818208</v>
      </c>
      <c r="EY85" s="22">
        <f t="shared" si="75"/>
        <v>34.67470474212756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9.546999999999997</v>
      </c>
      <c r="FE85" s="12">
        <f>IF('Données projet'!$A$218&gt;35,FE84+FD85-FM84,IF(A85&lt;'Données projet'!$A$218,$FB$205^A85,IF(A85='Données projet'!$A$218,'Données projet'!$B$218,FE84+FD85-FM84)))</f>
        <v>335.99600000000044</v>
      </c>
      <c r="FF85" s="17">
        <f>FE85*VLOOKUP('Données projet'!$B$16,Paramètres!$A$1:$I$89,3,0)*VLOOKUP('Données projet'!$B$16,Paramètres!$A$1:$I$89,5,0)</f>
        <v>319.73379360000041</v>
      </c>
      <c r="FG85" s="13">
        <f t="shared" si="101"/>
        <v>75.297961561599294</v>
      </c>
      <c r="FH85" s="20">
        <f t="shared" si="76"/>
        <v>688.01364023978613</v>
      </c>
      <c r="FI85" s="59">
        <f t="shared" si="77"/>
        <v>981.34697357311939</v>
      </c>
      <c r="FJ85" s="59">
        <f ca="1">AVERAGE(OFFSET($FI$3,0,0,'Données projet'!$E$16+1,1))-AVERAGE(OFFSET($H$3,0,0,'Données projet'!$E$16+1,1))</f>
        <v>666.1523645983184</v>
      </c>
      <c r="FK85" s="59">
        <f t="shared" si="102"/>
        <v>294.13851344047526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13.12790368246141</v>
      </c>
      <c r="FR85" s="21">
        <f>EXP(-LN(2)/25)*FR84+(1-EXP(-LN(2)/25))/(LN(2)/25)*Calculateur!FM85*Calculateur!FO85*VLOOKUP('Données projet'!$B$16,Paramètres!$A$1:$I$89,3,0)*0.475*44/12</f>
        <v>26.52991230029712</v>
      </c>
      <c r="FS85" s="21">
        <f>EXP(-LN(2)/2)*FS84+(1-EXP(-LN(2)/2))/(LN(2)/2)*FM85*FP85*VLOOKUP('Données projet'!$B$16,Paramètres!$A$1:$I$89,3,0)*0.475*44/12</f>
        <v>0.30913353915300235</v>
      </c>
      <c r="FT85" s="22">
        <f t="shared" si="78"/>
        <v>39.96694952191153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328.55631138162721</v>
      </c>
      <c r="T86" s="59">
        <f t="shared" si="88"/>
        <v>321.81422611044985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36.624475823196448</v>
      </c>
      <c r="AA86" s="21">
        <f>EXP(-LN(2)/25)*AA85+(1-EXP(-LN(2)/25))/(LN(2)/25)*Calculateur!V86*Calculateur!X86*VLOOKUP('Données projet'!$B$9,Paramètres!$A$1:$I$89,3,0)*0.475*44/12</f>
        <v>35.311406991334344</v>
      </c>
      <c r="AB86" s="21">
        <f>EXP(-LN(2)/2)*AB85+(1-EXP(-LN(2)/2))/(LN(2)/2)*V86*Y86*VLOOKUP('Données projet'!$B$9,Paramètres!$A$1:$I$89,3,0)*0.475*44/12</f>
        <v>20.338346638921717</v>
      </c>
      <c r="AC86" s="22">
        <f t="shared" si="57"/>
        <v>92.27422945345252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353.37479213497227</v>
      </c>
      <c r="AO86" s="59">
        <f t="shared" si="90"/>
        <v>345.4750813433123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48.98365074225633</v>
      </c>
      <c r="AV86" s="21">
        <f>EXP(-LN(2)/25)*AV85+(1-EXP(-LN(2)/25))/(LN(2)/25)*Calculateur!AQ86*Calculateur!AS86*VLOOKUP('Données projet'!$B$10,Paramètres!$A$1:$I$89,3,0)*0.475*44/12</f>
        <v>47.227478029478853</v>
      </c>
      <c r="AW86" s="21">
        <f>EXP(-LN(2)/2)*AW85+(1-EXP(-LN(2)/2))/(LN(2)/2)*AQ86*AT86*VLOOKUP('Données projet'!$B$10,Paramètres!$A$1:$I$89,3,0)*0.475*44/12</f>
        <v>22.06926975712782</v>
      </c>
      <c r="AX86" s="21">
        <f t="shared" si="60"/>
        <v>118.280398528863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359.57284550600366</v>
      </c>
      <c r="BJ86" s="59">
        <f t="shared" si="92"/>
        <v>351.38386928091433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49.944114482300584</v>
      </c>
      <c r="BQ86" s="21">
        <f>EXP(-LN(2)/25)*BQ85+(1-EXP(-LN(2)/25))/(LN(2)/25)*Calculateur!BL86*Calculateur!BN86*VLOOKUP('Données projet'!$B$11,Paramètres!$A$1:$I$89,3,0)*0.475*44/12</f>
        <v>48.153507010449026</v>
      </c>
      <c r="BR86" s="21">
        <f>EXP(-LN(2)/2)*BR85+(1-EXP(-LN(2)/2))/(LN(2)/2)*BL86*BO86*VLOOKUP('Données projet'!$B$11,Paramètres!$A$1:$I$89,3,0)*0.475*44/12</f>
        <v>22.502000536679351</v>
      </c>
      <c r="BS86" s="22">
        <f t="shared" si="63"/>
        <v>120.59962202942896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2.0512820512820498</v>
      </c>
      <c r="BY86" s="12">
        <f>IF('Données projet'!$A$114&gt;35,BY85+BX86-CG85,IF(A86&lt;'Données projet'!$A$114,$BV$205^A86,IF(A86='Données projet'!$A$114,'Données projet'!$B$114,BY85+BX86-CG85)))</f>
        <v>122.1794871794871</v>
      </c>
      <c r="BZ86" s="13">
        <f>BY86*VLOOKUP('Données projet'!$B$12,Paramètres!$A$1:$I$89,3,0)*VLOOKUP('Données projet'!$B$12,Paramètres!$A$1:$I$89,5,0)</f>
        <v>99.111999999999938</v>
      </c>
      <c r="CA86" s="13">
        <f t="shared" si="93"/>
        <v>26.750334096198984</v>
      </c>
      <c r="CB86" s="20">
        <f t="shared" si="64"/>
        <v>219.21023188421313</v>
      </c>
      <c r="CC86" s="59">
        <f t="shared" si="65"/>
        <v>512.54356521754642</v>
      </c>
      <c r="CD86" s="59">
        <f ca="1">AVERAGE(OFFSET($CC$3,0,0,'Données projet'!$E$12+1,1))-AVERAGE(OFFSET($H$3,0,0,'Données projet'!$E$12+1,1))</f>
        <v>159.4660488566085</v>
      </c>
      <c r="CE86" s="59">
        <f t="shared" si="94"/>
        <v>135.33030558297088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3.8974252991178049</v>
      </c>
      <c r="CM86" s="21">
        <f>EXP(-LN(2)/2)*CM85+(1-EXP(-LN(2)/2))/(LN(2)/2)*CG86*CJ86*VLOOKUP('Données projet'!$B$12,Paramètres!$A$1:$I$89,3,0)*0.475*44/12</f>
        <v>0.57946557665500964</v>
      </c>
      <c r="CN86" s="22">
        <f t="shared" si="66"/>
        <v>4.4768908757728143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353.37479213497227</v>
      </c>
      <c r="CZ86" s="59">
        <f t="shared" si="96"/>
        <v>345.4750813433123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48.98365074225633</v>
      </c>
      <c r="DG86" s="21">
        <f>EXP(-LN(2)/25)*DG85+(1-EXP(-LN(2)/25))/(LN(2)/25)*Calculateur!DB86*Calculateur!DD86*VLOOKUP('Données projet'!$B$13,Paramètres!$A$1:$I$89,3,0)*0.475*44/12</f>
        <v>47.227478029478853</v>
      </c>
      <c r="DH86" s="21">
        <f>EXP(-LN(2)/2)*DH85+(1-EXP(-LN(2)/2))/(LN(2)/2)*DB86*DE86*VLOOKUP('Données projet'!$B$13,Paramètres!$A$1:$I$89,3,0)*0.475*44/12</f>
        <v>22.06926975712782</v>
      </c>
      <c r="DI86" s="22">
        <f t="shared" si="69"/>
        <v>118.280398528863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9.546999999999997</v>
      </c>
      <c r="DO86" s="12">
        <f>IF('Données projet'!$A$166&gt;35,DO85+DN86-DW85,IF(A86&lt;'Données projet'!$A$166,$DL$205^A86,IF(A86='Données projet'!$A$166,'Données projet'!$B$166,DO85+DN86-DW85)))</f>
        <v>345.54300000000046</v>
      </c>
      <c r="DP86" s="17">
        <f>DO86*VLOOKUP('Données projet'!$B$14,Paramètres!$A$1:$I$89,3,0)*VLOOKUP('Données projet'!$B$14,Paramètres!$A$1:$I$89,5,0)</f>
        <v>312.64730640000039</v>
      </c>
      <c r="DQ86" s="13">
        <f t="shared" si="97"/>
        <v>73.821419204446315</v>
      </c>
      <c r="DR86" s="20">
        <f t="shared" si="70"/>
        <v>673.09969709441123</v>
      </c>
      <c r="DS86" s="59">
        <f t="shared" si="71"/>
        <v>966.4330304277446</v>
      </c>
      <c r="DT86" s="59">
        <f ca="1">AVERAGE(OFFSET($DS$3,0,0,'Données projet'!$E$14+1,1))-AVERAGE(OFFSET($H$3,0,0,'Données projet'!$E$14+1,1))</f>
        <v>635.71275911100679</v>
      </c>
      <c r="DU86" s="59">
        <f t="shared" si="98"/>
        <v>281.7776857269169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12.237499391996371</v>
      </c>
      <c r="EB86" s="21">
        <f>EXP(-LN(2)/25)*EB85+(1-EXP(-LN(2)/25))/(LN(2)/25)*Calculateur!DW86*Calculateur!DY86*VLOOKUP('Données projet'!$B$14,Paramètres!$A$1:$I$89,3,0)*0.475*44/12</f>
        <v>24.535379119529289</v>
      </c>
      <c r="EC86" s="21">
        <f>EXP(-LN(2)/2)*EC85+(1-EXP(-LN(2)/2))/(LN(2)/2)*DW86*DZ86*VLOOKUP('Données projet'!$B$14,Paramètres!$A$1:$I$89,3,0)*0.475*44/12</f>
        <v>0.20784007321282855</v>
      </c>
      <c r="ED86" s="22">
        <f t="shared" si="72"/>
        <v>36.98071858473849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9.546999999999997</v>
      </c>
      <c r="EJ86" s="12">
        <f>IF('Données projet'!$A$192&gt;35,EJ85+EI86-ER85,IF(A86&lt;'Données projet'!$A$192,$EG$205^A86,IF(A86='Données projet'!$A$192,'Données projet'!$B$192,EJ85+EI86-ER85)))</f>
        <v>345.54300000000046</v>
      </c>
      <c r="EK86" s="17">
        <f>EJ86*VLOOKUP('Données projet'!$B$15,Paramètres!$A$1:$I$89,3,0)*VLOOKUP('Données projet'!$B$15,Paramètres!$A$1:$I$89,5,0)</f>
        <v>231.79024440000029</v>
      </c>
      <c r="EL86" s="13">
        <f t="shared" si="99"/>
        <v>56.669599375458397</v>
      </c>
      <c r="EM86" s="20">
        <f t="shared" si="73"/>
        <v>502.4008945755906</v>
      </c>
      <c r="EN86" s="59">
        <f t="shared" si="74"/>
        <v>795.73422790892391</v>
      </c>
      <c r="EO86" s="59">
        <f ca="1">AVERAGE(OFFSET($EN$3,0,0,'Données projet'!$E$15+1,1))-AVERAGE(OFFSET($H$3,0,0,'Données projet'!$E$15+1,1))</f>
        <v>482.99915419700773</v>
      </c>
      <c r="EP86" s="59">
        <f t="shared" si="100"/>
        <v>219.74157899604279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11.182542547858752</v>
      </c>
      <c r="EW86" s="21">
        <f>EXP(-LN(2)/25)*EW85+(1-EXP(-LN(2)/25))/(LN(2)/25)*Calculateur!ER86*Calculateur!ET86*VLOOKUP('Données projet'!$B$15,Paramètres!$A$1:$I$89,3,0)*0.475*44/12</f>
        <v>22.420260229914692</v>
      </c>
      <c r="EX86" s="21">
        <f>EXP(-LN(2)/2)*EX85+(1-EXP(-LN(2)/2))/(LN(2)/2)*ER86*EU86*VLOOKUP('Données projet'!$B$15,Paramètres!$A$1:$I$89,3,0)*0.475*44/12</f>
        <v>0.15408833014054527</v>
      </c>
      <c r="EY86" s="22">
        <f t="shared" si="75"/>
        <v>33.756891107913994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9.546999999999997</v>
      </c>
      <c r="FE86" s="12">
        <f>IF('Données projet'!$A$218&gt;35,FE85+FD86-FM85,IF(A86&lt;'Données projet'!$A$218,$FB$205^A86,IF(A86='Données projet'!$A$218,'Données projet'!$B$218,FE85+FD86-FM85)))</f>
        <v>345.54300000000046</v>
      </c>
      <c r="FF86" s="17">
        <f>FE86*VLOOKUP('Données projet'!$B$16,Paramètres!$A$1:$I$89,3,0)*VLOOKUP('Données projet'!$B$16,Paramètres!$A$1:$I$89,5,0)</f>
        <v>328.81871880000045</v>
      </c>
      <c r="FG86" s="13">
        <f t="shared" si="101"/>
        <v>77.185346349202092</v>
      </c>
      <c r="FH86" s="20">
        <f t="shared" si="76"/>
        <v>707.12374680152777</v>
      </c>
      <c r="FI86" s="59">
        <f t="shared" si="77"/>
        <v>1000.4570801348611</v>
      </c>
      <c r="FJ86" s="59">
        <f ca="1">AVERAGE(OFFSET($FI$3,0,0,'Données projet'!$E$16+1,1))-AVERAGE(OFFSET($H$3,0,0,'Données projet'!$E$16+1,1))</f>
        <v>666.1523645983184</v>
      </c>
      <c r="FK86" s="59">
        <f t="shared" si="102"/>
        <v>294.13851344047526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12.87047349847894</v>
      </c>
      <c r="FR86" s="21">
        <f>EXP(-LN(2)/25)*FR85+(1-EXP(-LN(2)/25))/(LN(2)/25)*Calculateur!FM86*Calculateur!FO86*VLOOKUP('Données projet'!$B$16,Paramètres!$A$1:$I$89,3,0)*0.475*44/12</f>
        <v>25.804450453298042</v>
      </c>
      <c r="FS86" s="21">
        <f>EXP(-LN(2)/2)*FS85+(1-EXP(-LN(2)/2))/(LN(2)/2)*FM86*FP86*VLOOKUP('Données projet'!$B$16,Paramètres!$A$1:$I$89,3,0)*0.475*44/12</f>
        <v>0.21859042182728505</v>
      </c>
      <c r="FT86" s="22">
        <f t="shared" si="78"/>
        <v>38.893514373604269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328.55631138162721</v>
      </c>
      <c r="T87" s="59">
        <f t="shared" si="88"/>
        <v>321.81422611044985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35.906292191028051</v>
      </c>
      <c r="AA87" s="21">
        <f>EXP(-LN(2)/25)*AA86+(1-EXP(-LN(2)/25))/(LN(2)/25)*Calculateur!V87*Calculateur!X87*VLOOKUP('Données projet'!$B$9,Paramètres!$A$1:$I$89,3,0)*0.475*44/12</f>
        <v>34.345814710210121</v>
      </c>
      <c r="AB87" s="21">
        <f>EXP(-LN(2)/2)*AB86+(1-EXP(-LN(2)/2))/(LN(2)/2)*V87*Y87*VLOOKUP('Données projet'!$B$9,Paramètres!$A$1:$I$89,3,0)*0.475*44/12</f>
        <v>14.381382826504174</v>
      </c>
      <c r="AC87" s="22">
        <f t="shared" si="57"/>
        <v>84.633489727742344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353.37479213497227</v>
      </c>
      <c r="AO87" s="59">
        <f t="shared" si="90"/>
        <v>345.4750813433123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48.023111228277521</v>
      </c>
      <c r="AV87" s="21">
        <f>EXP(-LN(2)/25)*AV86+(1-EXP(-LN(2)/25))/(LN(2)/25)*Calculateur!AQ87*Calculateur!AS87*VLOOKUP('Données projet'!$B$10,Paramètres!$A$1:$I$89,3,0)*0.475*44/12</f>
        <v>45.936040159177622</v>
      </c>
      <c r="AW87" s="21">
        <f>EXP(-LN(2)/2)*AW86+(1-EXP(-LN(2)/2))/(LN(2)/2)*AQ87*AT87*VLOOKUP('Données projet'!$B$10,Paramètres!$A$1:$I$89,3,0)*0.475*44/12</f>
        <v>15.605330301100274</v>
      </c>
      <c r="AX87" s="21">
        <f t="shared" si="60"/>
        <v>109.56448168855542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359.57284550600366</v>
      </c>
      <c r="BJ87" s="59">
        <f t="shared" si="92"/>
        <v>351.38386928091433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48.964740860204543</v>
      </c>
      <c r="BQ87" s="21">
        <f>EXP(-LN(2)/25)*BQ86+(1-EXP(-LN(2)/25))/(LN(2)/25)*Calculateur!BL87*Calculateur!BN87*VLOOKUP('Données projet'!$B$11,Paramètres!$A$1:$I$89,3,0)*0.475*44/12</f>
        <v>46.836746828965417</v>
      </c>
      <c r="BR87" s="21">
        <f>EXP(-LN(2)/2)*BR86+(1-EXP(-LN(2)/2))/(LN(2)/2)*BL87*BO87*VLOOKUP('Données projet'!$B$11,Paramètres!$A$1:$I$89,3,0)*0.475*44/12</f>
        <v>15.911317169749301</v>
      </c>
      <c r="BS87" s="22">
        <f t="shared" si="63"/>
        <v>111.71280485891926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2.0512820512820498</v>
      </c>
      <c r="BY87" s="12">
        <f>IF('Données projet'!$A$114&gt;35,BY86+BX87-CG86,IF(A87&lt;'Données projet'!$A$114,$BV$205^A87,IF(A87='Données projet'!$A$114,'Données projet'!$B$114,BY86+BX87-CG86)))</f>
        <v>124.23076923076914</v>
      </c>
      <c r="BZ87" s="13">
        <f>BY87*VLOOKUP('Données projet'!$B$12,Paramètres!$A$1:$I$89,3,0)*VLOOKUP('Données projet'!$B$12,Paramètres!$A$1:$I$89,5,0)</f>
        <v>100.77599999999993</v>
      </c>
      <c r="CA87" s="13">
        <f t="shared" si="93"/>
        <v>27.146785593902447</v>
      </c>
      <c r="CB87" s="20">
        <f t="shared" si="64"/>
        <v>222.79885157604664</v>
      </c>
      <c r="CC87" s="59">
        <f t="shared" si="65"/>
        <v>516.13218490937993</v>
      </c>
      <c r="CD87" s="59">
        <f ca="1">AVERAGE(OFFSET($CC$3,0,0,'Données projet'!$E$12+1,1))-AVERAGE(OFFSET($H$3,0,0,'Données projet'!$E$12+1,1))</f>
        <v>159.4660488566085</v>
      </c>
      <c r="CE87" s="59">
        <f t="shared" si="94"/>
        <v>135.33030558297088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3.7908499993567397</v>
      </c>
      <c r="CM87" s="21">
        <f>EXP(-LN(2)/2)*CM86+(1-EXP(-LN(2)/2))/(LN(2)/2)*CG87*CJ87*VLOOKUP('Données projet'!$B$12,Paramètres!$A$1:$I$89,3,0)*0.475*44/12</f>
        <v>0.40974403871693049</v>
      </c>
      <c r="CN87" s="22">
        <f t="shared" si="66"/>
        <v>4.2005940380736702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353.37479213497227</v>
      </c>
      <c r="CZ87" s="59">
        <f t="shared" si="96"/>
        <v>345.4750813433123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48.023111228277521</v>
      </c>
      <c r="DG87" s="21">
        <f>EXP(-LN(2)/25)*DG86+(1-EXP(-LN(2)/25))/(LN(2)/25)*Calculateur!DB87*Calculateur!DD87*VLOOKUP('Données projet'!$B$13,Paramètres!$A$1:$I$89,3,0)*0.475*44/12</f>
        <v>45.936040159177622</v>
      </c>
      <c r="DH87" s="21">
        <f>EXP(-LN(2)/2)*DH86+(1-EXP(-LN(2)/2))/(LN(2)/2)*DB87*DE87*VLOOKUP('Données projet'!$B$13,Paramètres!$A$1:$I$89,3,0)*0.475*44/12</f>
        <v>15.605330301100274</v>
      </c>
      <c r="DI87" s="22">
        <f t="shared" si="69"/>
        <v>109.56448168855542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>
        <f>VLOOKUP(A87,'Données projet'!$A$165:$I$185,2,0)</f>
        <v>355.09</v>
      </c>
      <c r="DM87" s="12">
        <f>VLOOKUP(A87,'Données projet'!$A$165:$I$185,9,0)</f>
        <v>9.546999999999997</v>
      </c>
      <c r="DN87" s="12">
        <f t="array" ref="DN87">INDEX(DM:DM,MIN(IF(ISNUMBER(DM87:DM283),ROW(DM87:DM283),"")))</f>
        <v>9.546999999999997</v>
      </c>
      <c r="DO87" s="12">
        <f>IF('Données projet'!$A$166&gt;35,DO86+DN87-DW86,IF(A87&lt;'Données projet'!$A$166,$DL$205^A87,IF(A87='Données projet'!$A$166,'Données projet'!$B$166,DO86+DN87-DW86)))</f>
        <v>355.09000000000049</v>
      </c>
      <c r="DP87" s="17">
        <f>DO87*VLOOKUP('Données projet'!$B$14,Paramètres!$A$1:$I$89,3,0)*VLOOKUP('Données projet'!$B$14,Paramètres!$A$1:$I$89,5,0)</f>
        <v>321.28543200000041</v>
      </c>
      <c r="DQ87" s="13">
        <f t="shared" si="97"/>
        <v>75.620750353808944</v>
      </c>
      <c r="DR87" s="20">
        <f t="shared" si="70"/>
        <v>691.27826759955133</v>
      </c>
      <c r="DS87" s="59">
        <f t="shared" si="71"/>
        <v>984.61160093288458</v>
      </c>
      <c r="DT87" s="59">
        <f ca="1">AVERAGE(OFFSET($DS$3,0,0,'Données projet'!$E$14+1,1))-AVERAGE(OFFSET($H$3,0,0,'Données projet'!$E$14+1,1))</f>
        <v>635.71275911100679</v>
      </c>
      <c r="DU87" s="59">
        <f t="shared" si="98"/>
        <v>281.7776857269169</v>
      </c>
      <c r="DV87" s="15">
        <f>IF(ISNA(VLOOKUP(A87,'Données projet'!$A$165:$I$185,3,0)),0,VLOOKUP(A87,'Données projet'!$A$165:$I$185,3,0))</f>
        <v>6</v>
      </c>
      <c r="DW87" s="15">
        <f>IF(ISNA(VLOOKUP(A87,'Données projet'!$A$165:$I$185,4,0)),0,VLOOKUP(A87,'Données projet'!$A$165:$I$185,4,0))</f>
        <v>66.69</v>
      </c>
      <c r="DX87" s="16">
        <f>IF(ISNA(VLOOKUP(A87,'Données projet'!$A$165:$I$185,5,0)),0%,VLOOKUP(A87,'Données projet'!$A$165:$I$185,5,0)*VLOOKUP('Données projet'!$B$14,Paramètres!$A$1:$I$89,7,0))</f>
        <v>0.15049999999999999</v>
      </c>
      <c r="DY87" s="16">
        <f>IF(ISNA(VLOOKUP(A87,'Données projet'!$A$165:$I$185,6,0)),0%,VLOOKUP(A87,'Données projet'!$A$165:$I$185,6,0)*VLOOKUP('Données projet'!$B$14,Paramètres!$A$1:$I$89,7,0))</f>
        <v>8.6000000000000007E-2</v>
      </c>
      <c r="DZ87" s="16">
        <f>IF(ISNA(VLOOKUP(A87,'Données projet'!$A$165:$I$185,7,0)),0%,VLOOKUP(A87,'Données projet'!$A$165:$I$185,7,0))</f>
        <v>0.1</v>
      </c>
      <c r="EA87" s="21">
        <f>EXP(-LN(2)/35)*EA86+(1-EXP(-LN(2)/35))/(LN(2)/35)*DW87*DX87*VLOOKUP('Données projet'!$B$14,Paramètres!$A$1:$I$89,3,0)*0.475*44/12</f>
        <v>22.036678946661006</v>
      </c>
      <c r="EB87" s="21">
        <f>EXP(-LN(2)/25)*EB86+(1-EXP(-LN(2)/25))/(LN(2)/25)*Calculateur!DW87*Calculateur!DY87*VLOOKUP('Données projet'!$B$14,Paramètres!$A$1:$I$89,3,0)*0.475*44/12</f>
        <v>29.578527314097339</v>
      </c>
      <c r="EC87" s="21">
        <f>EXP(-LN(2)/2)*EC86+(1-EXP(-LN(2)/2))/(LN(2)/2)*DW87*DZ87*VLOOKUP('Données projet'!$B$14,Paramètres!$A$1:$I$89,3,0)*0.475*44/12</f>
        <v>5.8403114480929164</v>
      </c>
      <c r="ED87" s="22">
        <f t="shared" si="72"/>
        <v>57.455517708851261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>
        <f>VLOOKUP(A87,'Données projet'!$A$191:$I$211,2,0)</f>
        <v>355.09</v>
      </c>
      <c r="EH87" s="12">
        <f>VLOOKUP(A87,'Données projet'!$A$191:$I$211,9,0)</f>
        <v>9.546999999999997</v>
      </c>
      <c r="EI87" s="12">
        <f t="array" ref="EI87">INDEX(EH:EH,MIN(IF(ISNUMBER(EH87:EH283),ROW(EH87:EH283),"")))</f>
        <v>9.546999999999997</v>
      </c>
      <c r="EJ87" s="12">
        <f>IF('Données projet'!$A$192&gt;35,EJ86+EI87-ER86,IF(A87&lt;'Données projet'!$A$192,$EG$205^A87,IF(A87='Données projet'!$A$192,'Données projet'!$B$192,EJ86+EI87-ER86)))</f>
        <v>355.09000000000049</v>
      </c>
      <c r="EK87" s="17">
        <f>EJ87*VLOOKUP('Données projet'!$B$15,Paramètres!$A$1:$I$89,3,0)*VLOOKUP('Données projet'!$B$15,Paramètres!$A$1:$I$89,5,0)</f>
        <v>238.19437200000033</v>
      </c>
      <c r="EL87" s="13">
        <f t="shared" si="99"/>
        <v>58.050870237994474</v>
      </c>
      <c r="EM87" s="20">
        <f t="shared" si="73"/>
        <v>515.96046356450768</v>
      </c>
      <c r="EN87" s="59">
        <f t="shared" si="74"/>
        <v>809.29379689784105</v>
      </c>
      <c r="EO87" s="59">
        <f ca="1">AVERAGE(OFFSET($EN$3,0,0,'Données projet'!$E$15+1,1))-AVERAGE(OFFSET($H$3,0,0,'Données projet'!$E$15+1,1))</f>
        <v>482.99915419700773</v>
      </c>
      <c r="EP87" s="59">
        <f t="shared" si="100"/>
        <v>219.74157899604279</v>
      </c>
      <c r="EQ87" s="15">
        <f>IF(ISNA(VLOOKUP(A87,'Données projet'!$A$191:$I$211,3,0)),0,VLOOKUP(A87,'Données projet'!$A$191:$I$211,3,0))</f>
        <v>6</v>
      </c>
      <c r="ER87" s="15">
        <f>IF(ISNA(VLOOKUP(A87,'Données projet'!$A$191:$I$211,4,0)),0,VLOOKUP(A87,'Données projet'!$A$191:$I$211,4,0))</f>
        <v>66.69</v>
      </c>
      <c r="ES87" s="16">
        <f>IF(ISNA(VLOOKUP(A87,'Données projet'!$A$191:$I$211,5,0)),0%,VLOOKUP(A87,'Données projet'!$A$191:$I$211,5,0)*VLOOKUP('Données projet'!$B$15,Paramètres!$A$1:$I$89,7,0))</f>
        <v>0.1855</v>
      </c>
      <c r="ET87" s="16">
        <f>IF(ISNA(VLOOKUP(A87,'Données projet'!$A$191:$I$211,6,0)),0%,VLOOKUP(A87,'Données projet'!$A$191:$I$211,6,0)*VLOOKUP('Données projet'!$B$15,Paramètres!$A$1:$I$89,7,0))</f>
        <v>0.10600000000000001</v>
      </c>
      <c r="EU87" s="16">
        <f>IF(ISNA(VLOOKUP(A87,'Données projet'!$A$191:$I$211,7,0)),0%,VLOOKUP(A87,'Données projet'!$A$191:$I$211,7,0))</f>
        <v>0.1</v>
      </c>
      <c r="EV87" s="21">
        <f>EXP(-LN(2)/35)*EV86+(1-EXP(-LN(2)/35))/(LN(2)/35)*ER87*ES87*VLOOKUP('Données projet'!$B$15,Paramètres!$A$1:$I$89,3,0)*0.475*44/12</f>
        <v>20.136965244362642</v>
      </c>
      <c r="EW87" s="21">
        <f>EXP(-LN(2)/25)*EW86+(1-EXP(-LN(2)/25))/(LN(2)/25)*Calculateur!ER87*Calculateur!ET87*VLOOKUP('Données projet'!$B$15,Paramètres!$A$1:$I$89,3,0)*0.475*44/12</f>
        <v>27.028654269778599</v>
      </c>
      <c r="EX87" s="21">
        <f>EXP(-LN(2)/2)*EX86+(1-EXP(-LN(2)/2))/(LN(2)/2)*ER87*EU87*VLOOKUP('Données projet'!$B$15,Paramètres!$A$1:$I$89,3,0)*0.475*44/12</f>
        <v>4.3298860735861275</v>
      </c>
      <c r="EY87" s="22">
        <f t="shared" si="75"/>
        <v>51.495505587727365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>
        <f>VLOOKUP(A87,'Données projet'!$A$217:$I$237,2,0)</f>
        <v>355.09</v>
      </c>
      <c r="FC87" s="12">
        <f>VLOOKUP(A87,'Données projet'!$A$217:$I$237,9,0)</f>
        <v>9.546999999999997</v>
      </c>
      <c r="FD87" s="12">
        <f t="array" ref="FD87">INDEX(FC:FC,MIN(IF(ISNUMBER(FC87:FC283),ROW(FC87:FC283),"")))</f>
        <v>9.546999999999997</v>
      </c>
      <c r="FE87" s="12">
        <f>IF('Données projet'!$A$218&gt;35,FE86+FD87-FM86,IF(A87&lt;'Données projet'!$A$218,$FB$205^A87,IF(A87='Données projet'!$A$218,'Données projet'!$B$218,FE86+FD87-FM86)))</f>
        <v>355.09000000000049</v>
      </c>
      <c r="FF87" s="17">
        <f>FE87*VLOOKUP('Données projet'!$B$16,Paramètres!$A$1:$I$89,3,0)*VLOOKUP('Données projet'!$B$16,Paramètres!$A$1:$I$89,5,0)</f>
        <v>337.9036440000005</v>
      </c>
      <c r="FG87" s="13">
        <f t="shared" si="101"/>
        <v>79.066670217764312</v>
      </c>
      <c r="FH87" s="20">
        <f t="shared" si="76"/>
        <v>726.22329726260705</v>
      </c>
      <c r="FI87" s="59">
        <f t="shared" si="77"/>
        <v>1019.5566305959403</v>
      </c>
      <c r="FJ87" s="59">
        <f ca="1">AVERAGE(OFFSET($FI$3,0,0,'Données projet'!$E$16+1,1))-AVERAGE(OFFSET($H$3,0,0,'Données projet'!$E$16+1,1))</f>
        <v>666.1523645983184</v>
      </c>
      <c r="FK87" s="59">
        <f t="shared" si="102"/>
        <v>294.13851344047526</v>
      </c>
      <c r="FL87" s="15">
        <f>IF(ISNA(VLOOKUP(A87,'Données projet'!$A$217:$I$237,3,0)),0,VLOOKUP(A87,'Données projet'!$A$217:$I$237,3,0))</f>
        <v>6</v>
      </c>
      <c r="FM87" s="15">
        <f>IF(ISNA(VLOOKUP(A87,'Données projet'!$A$217:$I$237,4,0)),0,VLOOKUP(A87,'Données projet'!$A$217:$I$237,4,0))</f>
        <v>66.69</v>
      </c>
      <c r="FN87" s="16">
        <f>IF(ISNA(VLOOKUP(A87,'Données projet'!$A$217:$I$237,5,0)),0%,VLOOKUP(A87,'Données projet'!$A$217:$I$237,5,0)*VLOOKUP('Données projet'!$B$16,Paramètres!$A$1:$I$89,7,0))</f>
        <v>0.15049999999999999</v>
      </c>
      <c r="FO87" s="16">
        <f>IF(ISNA(VLOOKUP(A87,'Données projet'!$A$217:$I$237,6,0)),0%,VLOOKUP(A87,'Données projet'!$A$217:$I$237,6,0)*VLOOKUP('Données projet'!$B$16,Paramètres!$A$1:$I$89,7,0))</f>
        <v>8.6000000000000007E-2</v>
      </c>
      <c r="FP87" s="16">
        <f>IF(ISNA(VLOOKUP(A87,'Données projet'!$A$217:$I$237,7,0)),0%,VLOOKUP(A87,'Données projet'!$A$217:$I$237,7,0))</f>
        <v>0.1</v>
      </c>
      <c r="FQ87" s="21">
        <f>EXP(-LN(2)/35)*FQ86+(1-EXP(-LN(2)/35))/(LN(2)/35)*FM87*FN87*VLOOKUP('Données projet'!$B$16,Paramètres!$A$1:$I$89,3,0)*0.475*44/12</f>
        <v>23.176507168040022</v>
      </c>
      <c r="FR87" s="21">
        <f>EXP(-LN(2)/25)*FR86+(1-EXP(-LN(2)/25))/(LN(2)/25)*Calculateur!FM87*Calculateur!FO87*VLOOKUP('Données projet'!$B$16,Paramètres!$A$1:$I$89,3,0)*0.475*44/12</f>
        <v>31.108451140688576</v>
      </c>
      <c r="FS87" s="21">
        <f>EXP(-LN(2)/2)*FS86+(1-EXP(-LN(2)/2))/(LN(2)/2)*FM87*FP87*VLOOKUP('Données projet'!$B$16,Paramètres!$A$1:$I$89,3,0)*0.475*44/12</f>
        <v>6.1423965229942743</v>
      </c>
      <c r="FT87" s="22">
        <f t="shared" si="78"/>
        <v>60.427354831722873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328.55631138162721</v>
      </c>
      <c r="T88" s="59">
        <f t="shared" si="88"/>
        <v>321.81422611044985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35.202191701837712</v>
      </c>
      <c r="AA88" s="21">
        <f>EXP(-LN(2)/25)*AA87+(1-EXP(-LN(2)/25))/(LN(2)/25)*Calculateur!V88*Calculateur!X88*VLOOKUP('Données projet'!$B$9,Paramètres!$A$1:$I$89,3,0)*0.475*44/12</f>
        <v>33.406626600791526</v>
      </c>
      <c r="AB88" s="21">
        <f>EXP(-LN(2)/2)*AB87+(1-EXP(-LN(2)/2))/(LN(2)/2)*V88*Y88*VLOOKUP('Données projet'!$B$9,Paramètres!$A$1:$I$89,3,0)*0.475*44/12</f>
        <v>10.16917331946086</v>
      </c>
      <c r="AC88" s="22">
        <f t="shared" si="57"/>
        <v>78.777991622090099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353.37479213497227</v>
      </c>
      <c r="AO88" s="59">
        <f t="shared" si="90"/>
        <v>345.4750813433123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47.081407308296583</v>
      </c>
      <c r="AV88" s="21">
        <f>EXP(-LN(2)/25)*AV87+(1-EXP(-LN(2)/25))/(LN(2)/25)*Calculateur!AQ88*Calculateur!AS88*VLOOKUP('Données projet'!$B$10,Paramètres!$A$1:$I$89,3,0)*0.475*44/12</f>
        <v>44.67991672535355</v>
      </c>
      <c r="AW88" s="21">
        <f>EXP(-LN(2)/2)*AW87+(1-EXP(-LN(2)/2))/(LN(2)/2)*AQ88*AT88*VLOOKUP('Données projet'!$B$10,Paramètres!$A$1:$I$89,3,0)*0.475*44/12</f>
        <v>11.034634878563912</v>
      </c>
      <c r="AX88" s="21">
        <f t="shared" si="60"/>
        <v>102.79595891221405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359.57284550600366</v>
      </c>
      <c r="BJ88" s="59">
        <f t="shared" si="92"/>
        <v>351.38386928091433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48.004572157478876</v>
      </c>
      <c r="BQ88" s="21">
        <f>EXP(-LN(2)/25)*BQ87+(1-EXP(-LN(2)/25))/(LN(2)/25)*Calculateur!BL88*Calculateur!BN88*VLOOKUP('Données projet'!$B$11,Paramètres!$A$1:$I$89,3,0)*0.475*44/12</f>
        <v>45.555993523889889</v>
      </c>
      <c r="BR88" s="21">
        <f>EXP(-LN(2)/2)*BR87+(1-EXP(-LN(2)/2))/(LN(2)/2)*BL88*BO88*VLOOKUP('Données projet'!$B$11,Paramètres!$A$1:$I$89,3,0)*0.475*44/12</f>
        <v>11.251000268339677</v>
      </c>
      <c r="BS88" s="22">
        <f t="shared" si="63"/>
        <v>104.81156594970844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126.28205128205127</v>
      </c>
      <c r="BW88" s="12">
        <f>VLOOKUP(A88,'Données projet'!$A$113:$I$133,9,0)</f>
        <v>2.0512820512820498</v>
      </c>
      <c r="BX88" s="12">
        <f t="array" ref="BX88">INDEX(BW:BW,MIN(IF(ISNUMBER(BW88:BW284),ROW(BW88:BW284),"")))</f>
        <v>2.0512820512820498</v>
      </c>
      <c r="BY88" s="12">
        <f>IF('Données projet'!$A$114&gt;35,BY87+BX88-CG87,IF(A88&lt;'Données projet'!$A$114,$BV$205^A88,IF(A88='Données projet'!$A$114,'Données projet'!$B$114,BY87+BX88-CG87)))</f>
        <v>126.28205128205119</v>
      </c>
      <c r="BZ88" s="13">
        <f>BY88*VLOOKUP('Données projet'!$B$12,Paramètres!$A$1:$I$89,3,0)*VLOOKUP('Données projet'!$B$12,Paramètres!$A$1:$I$89,5,0)</f>
        <v>102.43999999999993</v>
      </c>
      <c r="CA88" s="13">
        <f t="shared" si="93"/>
        <v>27.542475814398081</v>
      </c>
      <c r="CB88" s="20">
        <f t="shared" si="64"/>
        <v>226.3861453767432</v>
      </c>
      <c r="CC88" s="59">
        <f t="shared" si="65"/>
        <v>519.71947871007649</v>
      </c>
      <c r="CD88" s="59">
        <f ca="1">AVERAGE(OFFSET($CC$3,0,0,'Données projet'!$E$12+1,1))-AVERAGE(OFFSET($H$3,0,0,'Données projet'!$E$12+1,1))</f>
        <v>159.4660488566085</v>
      </c>
      <c r="CE88" s="59">
        <f t="shared" si="94"/>
        <v>135.33030558297088</v>
      </c>
      <c r="CF88" s="15">
        <f>IF(ISNA(VLOOKUP(A88,'Données projet'!$A$113:$I$133,3,0)),0,VLOOKUP(A88,'Données projet'!$A$113:$I$133,3,0))</f>
        <v>15</v>
      </c>
      <c r="CG88" s="15">
        <f>IF(ISNA(VLOOKUP(A88,'Données projet'!$A$113:$I$133,4,0)),0,VLOOKUP(A88,'Données projet'!$A$113:$I$133,4,0))</f>
        <v>6.4102564102564097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0.1075</v>
      </c>
      <c r="CJ88" s="16">
        <f>IF(ISNA(VLOOKUP(A88,'Données projet'!$A$113:$I$133,7,0)),0%,VLOOKUP(A88,'Données projet'!$A$113:$I$133,7,0))</f>
        <v>0.25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4.3027138130523959</v>
      </c>
      <c r="CM88" s="21">
        <f>EXP(-LN(2)/2)*CM87+(1-EXP(-LN(2)/2))/(LN(2)/2)*CG88*CJ88*VLOOKUP('Données projet'!$B$12,Paramètres!$A$1:$I$89,3,0)*0.475*44/12</f>
        <v>1.5163177773145096</v>
      </c>
      <c r="CN88" s="22">
        <f t="shared" si="66"/>
        <v>5.8190315903669054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353.37479213497227</v>
      </c>
      <c r="CZ88" s="59">
        <f t="shared" si="96"/>
        <v>345.4750813433123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47.081407308296583</v>
      </c>
      <c r="DG88" s="21">
        <f>EXP(-LN(2)/25)*DG87+(1-EXP(-LN(2)/25))/(LN(2)/25)*Calculateur!DB88*Calculateur!DD88*VLOOKUP('Données projet'!$B$13,Paramètres!$A$1:$I$89,3,0)*0.475*44/12</f>
        <v>44.67991672535355</v>
      </c>
      <c r="DH88" s="21">
        <f>EXP(-LN(2)/2)*DH87+(1-EXP(-LN(2)/2))/(LN(2)/2)*DB88*DE88*VLOOKUP('Données projet'!$B$13,Paramètres!$A$1:$I$89,3,0)*0.475*44/12</f>
        <v>11.034634878563912</v>
      </c>
      <c r="DI88" s="22">
        <f t="shared" si="69"/>
        <v>102.79595891221405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9.1730000000000018</v>
      </c>
      <c r="DO88" s="12">
        <f>IF('Données projet'!$A$166&gt;35,DO87+DN88-DW87,IF(A88&lt;'Données projet'!$A$166,$DL$205^A88,IF(A88='Données projet'!$A$166,'Données projet'!$B$166,DO87+DN88-DW87)))</f>
        <v>297.57300000000049</v>
      </c>
      <c r="DP88" s="17">
        <f>DO88*VLOOKUP('Données projet'!$B$14,Paramètres!$A$1:$I$89,3,0)*VLOOKUP('Données projet'!$B$14,Paramètres!$A$1:$I$89,5,0)</f>
        <v>269.24405040000045</v>
      </c>
      <c r="DQ88" s="13">
        <f t="shared" si="97"/>
        <v>64.688811534365087</v>
      </c>
      <c r="DR88" s="20">
        <f t="shared" si="70"/>
        <v>581.59973453568659</v>
      </c>
      <c r="DS88" s="59">
        <f t="shared" si="71"/>
        <v>874.93306786901985</v>
      </c>
      <c r="DT88" s="59">
        <f ca="1">AVERAGE(OFFSET($DS$3,0,0,'Données projet'!$E$14+1,1))-AVERAGE(OFFSET($H$3,0,0,'Données projet'!$E$14+1,1))</f>
        <v>635.71275911100679</v>
      </c>
      <c r="DU88" s="59">
        <f t="shared" si="98"/>
        <v>281.7776857269169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21.604553113563949</v>
      </c>
      <c r="EB88" s="21">
        <f>EXP(-LN(2)/25)*EB87+(1-EXP(-LN(2)/25))/(LN(2)/25)*Calculateur!DW88*Calculateur!DY88*VLOOKUP('Données projet'!$B$14,Paramètres!$A$1:$I$89,3,0)*0.475*44/12</f>
        <v>28.7697009292262</v>
      </c>
      <c r="EC88" s="21">
        <f>EXP(-LN(2)/2)*EC87+(1-EXP(-LN(2)/2))/(LN(2)/2)*DW88*DZ88*VLOOKUP('Données projet'!$B$14,Paramètres!$A$1:$I$89,3,0)*0.475*44/12</f>
        <v>4.1297238291879266</v>
      </c>
      <c r="ED88" s="22">
        <f t="shared" si="72"/>
        <v>54.503977871978073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9.1730000000000018</v>
      </c>
      <c r="EJ88" s="12">
        <f>IF('Données projet'!$A$192&gt;35,EJ87+EI88-ER87,IF(A88&lt;'Données projet'!$A$192,$EG$205^A88,IF(A88='Données projet'!$A$192,'Données projet'!$B$192,EJ87+EI88-ER87)))</f>
        <v>297.57300000000049</v>
      </c>
      <c r="EK88" s="17">
        <f>EJ88*VLOOKUP('Données projet'!$B$15,Paramètres!$A$1:$I$89,3,0)*VLOOKUP('Données projet'!$B$15,Paramètres!$A$1:$I$89,5,0)</f>
        <v>199.61196840000034</v>
      </c>
      <c r="EL88" s="13">
        <f t="shared" si="99"/>
        <v>49.658880487984469</v>
      </c>
      <c r="EM88" s="20">
        <f t="shared" si="73"/>
        <v>434.14672847990687</v>
      </c>
      <c r="EN88" s="59">
        <f t="shared" si="74"/>
        <v>727.48006181324013</v>
      </c>
      <c r="EO88" s="59">
        <f ca="1">AVERAGE(OFFSET($EN$3,0,0,'Données projet'!$E$15+1,1))-AVERAGE(OFFSET($H$3,0,0,'Données projet'!$E$15+1,1))</f>
        <v>482.99915419700773</v>
      </c>
      <c r="EP88" s="59">
        <f t="shared" si="100"/>
        <v>219.74157899604279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19.74209163825671</v>
      </c>
      <c r="EW88" s="21">
        <f>EXP(-LN(2)/25)*EW87+(1-EXP(-LN(2)/25))/(LN(2)/25)*Calculateur!ER88*Calculateur!ET88*VLOOKUP('Données projet'!$B$15,Paramètres!$A$1:$I$89,3,0)*0.475*44/12</f>
        <v>26.28955429739635</v>
      </c>
      <c r="EX88" s="21">
        <f>EXP(-LN(2)/2)*EX87+(1-EXP(-LN(2)/2))/(LN(2)/2)*ER88*EU88*VLOOKUP('Données projet'!$B$15,Paramètres!$A$1:$I$89,3,0)*0.475*44/12</f>
        <v>3.0616918043979453</v>
      </c>
      <c r="EY88" s="22">
        <f t="shared" si="75"/>
        <v>49.093337740051005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9.1730000000000018</v>
      </c>
      <c r="FE88" s="12">
        <f>IF('Données projet'!$A$218&gt;35,FE87+FD88-FM87,IF(A88&lt;'Données projet'!$A$218,$FB$205^A88,IF(A88='Données projet'!$A$218,'Données projet'!$B$218,FE87+FD88-FM87)))</f>
        <v>297.57300000000049</v>
      </c>
      <c r="FF88" s="17">
        <f>FE88*VLOOKUP('Données projet'!$B$16,Paramètres!$A$1:$I$89,3,0)*VLOOKUP('Données projet'!$B$16,Paramètres!$A$1:$I$89,5,0)</f>
        <v>283.17046680000044</v>
      </c>
      <c r="FG88" s="13">
        <f t="shared" si="101"/>
        <v>67.63657996563542</v>
      </c>
      <c r="FH88" s="20">
        <f t="shared" si="76"/>
        <v>610.98893978348235</v>
      </c>
      <c r="FI88" s="59">
        <f t="shared" si="77"/>
        <v>904.32227311681572</v>
      </c>
      <c r="FJ88" s="59">
        <f ca="1">AVERAGE(OFFSET($FI$3,0,0,'Données projet'!$E$16+1,1))-AVERAGE(OFFSET($H$3,0,0,'Données projet'!$E$16+1,1))</f>
        <v>666.1523645983184</v>
      </c>
      <c r="FK88" s="59">
        <f t="shared" si="102"/>
        <v>294.13851344047526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22.722029998748287</v>
      </c>
      <c r="FR88" s="21">
        <f>EXP(-LN(2)/25)*FR87+(1-EXP(-LN(2)/25))/(LN(2)/25)*Calculateur!FM88*Calculateur!FO88*VLOOKUP('Données projet'!$B$16,Paramètres!$A$1:$I$89,3,0)*0.475*44/12</f>
        <v>30.257788908324102</v>
      </c>
      <c r="FS88" s="21">
        <f>EXP(-LN(2)/2)*FS87+(1-EXP(-LN(2)/2))/(LN(2)/2)*FM88*FP88*VLOOKUP('Données projet'!$B$16,Paramètres!$A$1:$I$89,3,0)*0.475*44/12</f>
        <v>4.343330234145923</v>
      </c>
      <c r="FT88" s="22">
        <f t="shared" si="78"/>
        <v>57.323149141218309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328.55631138162721</v>
      </c>
      <c r="T89" s="59">
        <f t="shared" si="88"/>
        <v>321.81422611044985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34.511898193781505</v>
      </c>
      <c r="AA89" s="21">
        <f>EXP(-LN(2)/25)*AA88+(1-EXP(-LN(2)/25))/(LN(2)/25)*Calculateur!V89*Calculateur!X89*VLOOKUP('Données projet'!$B$9,Paramètres!$A$1:$I$89,3,0)*0.475*44/12</f>
        <v>32.493120639614737</v>
      </c>
      <c r="AB89" s="21">
        <f>EXP(-LN(2)/2)*AB88+(1-EXP(-LN(2)/2))/(LN(2)/2)*V89*Y89*VLOOKUP('Données projet'!$B$9,Paramètres!$A$1:$I$89,3,0)*0.475*44/12</f>
        <v>7.1906914132520878</v>
      </c>
      <c r="AC89" s="22">
        <f t="shared" si="57"/>
        <v>74.195710246648318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353.37479213497227</v>
      </c>
      <c r="AO89" s="59">
        <f t="shared" si="90"/>
        <v>345.4750813433123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46.158169627803794</v>
      </c>
      <c r="AV89" s="21">
        <f>EXP(-LN(2)/25)*AV88+(1-EXP(-LN(2)/25))/(LN(2)/25)*Calculateur!AQ89*Calculateur!AS89*VLOOKUP('Données projet'!$B$10,Paramètres!$A$1:$I$89,3,0)*0.475*44/12</f>
        <v>43.458142052884057</v>
      </c>
      <c r="AW89" s="21">
        <f>EXP(-LN(2)/2)*AW88+(1-EXP(-LN(2)/2))/(LN(2)/2)*AQ89*AT89*VLOOKUP('Données projet'!$B$10,Paramètres!$A$1:$I$89,3,0)*0.475*44/12</f>
        <v>7.8026651505501379</v>
      </c>
      <c r="AX89" s="21">
        <f t="shared" si="60"/>
        <v>97.418976831237998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359.57284550600366</v>
      </c>
      <c r="BJ89" s="59">
        <f t="shared" si="92"/>
        <v>351.38386928091433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47.063231777368578</v>
      </c>
      <c r="BQ89" s="21">
        <f>EXP(-LN(2)/25)*BQ88+(1-EXP(-LN(2)/25))/(LN(2)/25)*Calculateur!BL89*Calculateur!BN89*VLOOKUP('Données projet'!$B$11,Paramètres!$A$1:$I$89,3,0)*0.475*44/12</f>
        <v>44.310262485293542</v>
      </c>
      <c r="BR89" s="21">
        <f>EXP(-LN(2)/2)*BR88+(1-EXP(-LN(2)/2))/(LN(2)/2)*BL89*BO89*VLOOKUP('Données projet'!$B$11,Paramètres!$A$1:$I$89,3,0)*0.475*44/12</f>
        <v>7.9556585848746524</v>
      </c>
      <c r="BS89" s="22">
        <f t="shared" si="63"/>
        <v>99.329152847536776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1.9230769230769227</v>
      </c>
      <c r="BY89" s="12">
        <f>IF('Données projet'!$A$114&gt;35,BY88+BX89-CG88,IF(A89&lt;'Données projet'!$A$114,$BV$205^A89,IF(A89='Données projet'!$A$114,'Données projet'!$B$114,BY88+BX89-CG88)))</f>
        <v>121.79487179487171</v>
      </c>
      <c r="BZ89" s="13">
        <f>BY89*VLOOKUP('Données projet'!$B$12,Paramètres!$A$1:$I$89,3,0)*VLOOKUP('Données projet'!$B$12,Paramètres!$A$1:$I$89,5,0)</f>
        <v>98.79999999999994</v>
      </c>
      <c r="CA89" s="13">
        <f t="shared" si="93"/>
        <v>26.675913537633271</v>
      </c>
      <c r="CB89" s="20">
        <f t="shared" si="64"/>
        <v>218.53721607804448</v>
      </c>
      <c r="CC89" s="59">
        <f t="shared" si="65"/>
        <v>511.87054941137779</v>
      </c>
      <c r="CD89" s="59">
        <f ca="1">AVERAGE(OFFSET($CC$3,0,0,'Données projet'!$E$12+1,1))-AVERAGE(OFFSET($H$3,0,0,'Données projet'!$E$12+1,1))</f>
        <v>159.4660488566085</v>
      </c>
      <c r="CE89" s="59">
        <f t="shared" si="94"/>
        <v>135.33030558297088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4.1850558775645927</v>
      </c>
      <c r="CM89" s="21">
        <f>EXP(-LN(2)/2)*CM88+(1-EXP(-LN(2)/2))/(LN(2)/2)*CG89*CJ89*VLOOKUP('Données projet'!$B$12,Paramètres!$A$1:$I$89,3,0)*0.475*44/12</f>
        <v>1.0721985827728031</v>
      </c>
      <c r="CN89" s="22">
        <f t="shared" si="66"/>
        <v>5.2572544603373963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353.37479213497227</v>
      </c>
      <c r="CZ89" s="59">
        <f t="shared" si="96"/>
        <v>345.4750813433123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46.158169627803794</v>
      </c>
      <c r="DG89" s="21">
        <f>EXP(-LN(2)/25)*DG88+(1-EXP(-LN(2)/25))/(LN(2)/25)*Calculateur!DB89*Calculateur!DD89*VLOOKUP('Données projet'!$B$13,Paramètres!$A$1:$I$89,3,0)*0.475*44/12</f>
        <v>43.458142052884057</v>
      </c>
      <c r="DH89" s="21">
        <f>EXP(-LN(2)/2)*DH88+(1-EXP(-LN(2)/2))/(LN(2)/2)*DB89*DE89*VLOOKUP('Données projet'!$B$13,Paramètres!$A$1:$I$89,3,0)*0.475*44/12</f>
        <v>7.8026651505501379</v>
      </c>
      <c r="DI89" s="22">
        <f t="shared" si="69"/>
        <v>97.418976831237998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9.1730000000000018</v>
      </c>
      <c r="DO89" s="12">
        <f>IF('Données projet'!$A$166&gt;35,DO88+DN89-DW88,IF(A89&lt;'Données projet'!$A$166,$DL$205^A89,IF(A89='Données projet'!$A$166,'Données projet'!$B$166,DO88+DN89-DW88)))</f>
        <v>306.74600000000049</v>
      </c>
      <c r="DP89" s="17">
        <f>DO89*VLOOKUP('Données projet'!$B$14,Paramètres!$A$1:$I$89,3,0)*VLOOKUP('Données projet'!$B$14,Paramètres!$A$1:$I$89,5,0)</f>
        <v>277.54378080000043</v>
      </c>
      <c r="DQ89" s="13">
        <f t="shared" si="97"/>
        <v>66.447673279805883</v>
      </c>
      <c r="DR89" s="20">
        <f t="shared" si="70"/>
        <v>599.11844918899601</v>
      </c>
      <c r="DS89" s="59">
        <f t="shared" si="71"/>
        <v>892.45178252232927</v>
      </c>
      <c r="DT89" s="59">
        <f ca="1">AVERAGE(OFFSET($DS$3,0,0,'Données projet'!$E$14+1,1))-AVERAGE(OFFSET($H$3,0,0,'Données projet'!$E$14+1,1))</f>
        <v>635.71275911100679</v>
      </c>
      <c r="DU89" s="59">
        <f t="shared" si="98"/>
        <v>281.7776857269169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21.180901004483189</v>
      </c>
      <c r="EB89" s="21">
        <f>EXP(-LN(2)/25)*EB88+(1-EXP(-LN(2)/25))/(LN(2)/25)*Calculateur!DW89*Calculateur!DY89*VLOOKUP('Données projet'!$B$14,Paramètres!$A$1:$I$89,3,0)*0.475*44/12</f>
        <v>27.982991944383691</v>
      </c>
      <c r="EC89" s="21">
        <f>EXP(-LN(2)/2)*EC88+(1-EXP(-LN(2)/2))/(LN(2)/2)*DW89*DZ89*VLOOKUP('Données projet'!$B$14,Paramètres!$A$1:$I$89,3,0)*0.475*44/12</f>
        <v>2.9201557240464586</v>
      </c>
      <c r="ED89" s="22">
        <f t="shared" si="72"/>
        <v>52.08404867291334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9.1730000000000018</v>
      </c>
      <c r="EJ89" s="12">
        <f>IF('Données projet'!$A$192&gt;35,EJ88+EI89-ER88,IF(A89&lt;'Données projet'!$A$192,$EG$205^A89,IF(A89='Données projet'!$A$192,'Données projet'!$B$192,EJ88+EI89-ER88)))</f>
        <v>306.74600000000049</v>
      </c>
      <c r="EK89" s="17">
        <f>EJ89*VLOOKUP('Données projet'!$B$15,Paramètres!$A$1:$I$89,3,0)*VLOOKUP('Données projet'!$B$15,Paramètres!$A$1:$I$89,5,0)</f>
        <v>205.7652168000003</v>
      </c>
      <c r="EL89" s="13">
        <f t="shared" si="99"/>
        <v>51.009084690844652</v>
      </c>
      <c r="EM89" s="20">
        <f t="shared" si="73"/>
        <v>447.21524176322163</v>
      </c>
      <c r="EN89" s="59">
        <f t="shared" si="74"/>
        <v>740.54857509655494</v>
      </c>
      <c r="EO89" s="59">
        <f ca="1">AVERAGE(OFFSET($EN$3,0,0,'Données projet'!$E$15+1,1))-AVERAGE(OFFSET($H$3,0,0,'Données projet'!$E$15+1,1))</f>
        <v>482.99915419700773</v>
      </c>
      <c r="EP89" s="59">
        <f t="shared" si="100"/>
        <v>219.74157899604279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19.354961262717396</v>
      </c>
      <c r="EW89" s="21">
        <f>EXP(-LN(2)/25)*EW88+(1-EXP(-LN(2)/25))/(LN(2)/25)*Calculateur!ER89*Calculateur!ET89*VLOOKUP('Données projet'!$B$15,Paramètres!$A$1:$I$89,3,0)*0.475*44/12</f>
        <v>25.57066505262647</v>
      </c>
      <c r="EX89" s="21">
        <f>EXP(-LN(2)/2)*EX88+(1-EXP(-LN(2)/2))/(LN(2)/2)*ER89*EU89*VLOOKUP('Données projet'!$B$15,Paramètres!$A$1:$I$89,3,0)*0.475*44/12</f>
        <v>2.1649430367930638</v>
      </c>
      <c r="EY89" s="22">
        <f t="shared" si="75"/>
        <v>47.090569352136924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9.1730000000000018</v>
      </c>
      <c r="FE89" s="12">
        <f>IF('Données projet'!$A$218&gt;35,FE88+FD89-FM88,IF(A89&lt;'Données projet'!$A$218,$FB$205^A89,IF(A89='Données projet'!$A$218,'Données projet'!$B$218,FE88+FD89-FM88)))</f>
        <v>306.74600000000049</v>
      </c>
      <c r="FF89" s="17">
        <f>FE89*VLOOKUP('Données projet'!$B$16,Paramètres!$A$1:$I$89,3,0)*VLOOKUP('Données projet'!$B$16,Paramètres!$A$1:$I$89,5,0)</f>
        <v>291.89949360000043</v>
      </c>
      <c r="FG89" s="13">
        <f t="shared" si="101"/>
        <v>69.475590302543566</v>
      </c>
      <c r="FH89" s="20">
        <f t="shared" si="76"/>
        <v>629.39493779693078</v>
      </c>
      <c r="FI89" s="59">
        <f t="shared" si="77"/>
        <v>922.72827113026415</v>
      </c>
      <c r="FJ89" s="59">
        <f ca="1">AVERAGE(OFFSET($FI$3,0,0,'Données projet'!$E$16+1,1))-AVERAGE(OFFSET($H$3,0,0,'Données projet'!$E$16+1,1))</f>
        <v>666.1523645983184</v>
      </c>
      <c r="FK89" s="59">
        <f t="shared" si="102"/>
        <v>294.13851344047526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22.276464849542663</v>
      </c>
      <c r="FR89" s="21">
        <f>EXP(-LN(2)/25)*FR88+(1-EXP(-LN(2)/25))/(LN(2)/25)*Calculateur!FM89*Calculateur!FO89*VLOOKUP('Données projet'!$B$16,Paramètres!$A$1:$I$89,3,0)*0.475*44/12</f>
        <v>29.430388079438014</v>
      </c>
      <c r="FS89" s="21">
        <f>EXP(-LN(2)/2)*FS88+(1-EXP(-LN(2)/2))/(LN(2)/2)*FM89*FP89*VLOOKUP('Données projet'!$B$16,Paramètres!$A$1:$I$89,3,0)*0.475*44/12</f>
        <v>3.0711982614971376</v>
      </c>
      <c r="FT89" s="22">
        <f t="shared" si="78"/>
        <v>54.778051190477818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328.55631138162721</v>
      </c>
      <c r="T90" s="59">
        <f t="shared" si="88"/>
        <v>321.81422611044985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33.835140920380816</v>
      </c>
      <c r="AA90" s="21">
        <f>EXP(-LN(2)/25)*AA89+(1-EXP(-LN(2)/25))/(LN(2)/25)*Calculateur!V90*Calculateur!X90*VLOOKUP('Données projet'!$B$9,Paramètres!$A$1:$I$89,3,0)*0.475*44/12</f>
        <v>31.604594546985521</v>
      </c>
      <c r="AB90" s="21">
        <f>EXP(-LN(2)/2)*AB89+(1-EXP(-LN(2)/2))/(LN(2)/2)*V90*Y90*VLOOKUP('Données projet'!$B$9,Paramètres!$A$1:$I$89,3,0)*0.475*44/12</f>
        <v>5.084586659730431</v>
      </c>
      <c r="AC90" s="22">
        <f t="shared" si="57"/>
        <v>70.524322127096767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353.37479213497227</v>
      </c>
      <c r="AO90" s="59">
        <f t="shared" si="90"/>
        <v>345.4750813433123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45.253036075106088</v>
      </c>
      <c r="AV90" s="21">
        <f>EXP(-LN(2)/25)*AV89+(1-EXP(-LN(2)/25))/(LN(2)/25)*Calculateur!AQ90*Calculateur!AS90*VLOOKUP('Données projet'!$B$10,Paramètres!$A$1:$I$89,3,0)*0.475*44/12</f>
        <v>42.269776873083579</v>
      </c>
      <c r="AW90" s="21">
        <f>EXP(-LN(2)/2)*AW89+(1-EXP(-LN(2)/2))/(LN(2)/2)*AQ90*AT90*VLOOKUP('Données projet'!$B$10,Paramètres!$A$1:$I$89,3,0)*0.475*44/12</f>
        <v>5.5173174392819568</v>
      </c>
      <c r="AX90" s="21">
        <f t="shared" si="60"/>
        <v>93.040130387471621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359.57284550600366</v>
      </c>
      <c r="BJ90" s="59">
        <f t="shared" si="92"/>
        <v>351.38386928091433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46.140350507951311</v>
      </c>
      <c r="BQ90" s="21">
        <f>EXP(-LN(2)/25)*BQ89+(1-EXP(-LN(2)/25))/(LN(2)/25)*Calculateur!BL90*Calculateur!BN90*VLOOKUP('Données projet'!$B$11,Paramètres!$A$1:$I$89,3,0)*0.475*44/12</f>
        <v>43.098596027457759</v>
      </c>
      <c r="BR90" s="21">
        <f>EXP(-LN(2)/2)*BR89+(1-EXP(-LN(2)/2))/(LN(2)/2)*BL90*BO90*VLOOKUP('Données projet'!$B$11,Paramètres!$A$1:$I$89,3,0)*0.475*44/12</f>
        <v>5.6255001341698394</v>
      </c>
      <c r="BS90" s="22">
        <f t="shared" si="63"/>
        <v>94.864446669578911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1.9230769230769227</v>
      </c>
      <c r="BY90" s="12">
        <f>IF('Données projet'!$A$114&gt;35,BY89+BX90-CG89,IF(A90&lt;'Données projet'!$A$114,$BV$205^A90,IF(A90='Données projet'!$A$114,'Données projet'!$B$114,BY89+BX90-CG89)))</f>
        <v>123.71794871794863</v>
      </c>
      <c r="BZ90" s="13">
        <f>BY90*VLOOKUP('Données projet'!$B$12,Paramètres!$A$1:$I$89,3,0)*VLOOKUP('Données projet'!$B$12,Paramètres!$A$1:$I$89,5,0)</f>
        <v>100.35999999999993</v>
      </c>
      <c r="CA90" s="13">
        <f t="shared" si="93"/>
        <v>27.047744638609704</v>
      </c>
      <c r="CB90" s="20">
        <f t="shared" si="64"/>
        <v>221.90182191224508</v>
      </c>
      <c r="CC90" s="59">
        <f t="shared" si="65"/>
        <v>515.23515524557843</v>
      </c>
      <c r="CD90" s="59">
        <f ca="1">AVERAGE(OFFSET($CC$3,0,0,'Données projet'!$E$12+1,1))-AVERAGE(OFFSET($H$3,0,0,'Données projet'!$E$12+1,1))</f>
        <v>159.4660488566085</v>
      </c>
      <c r="CE90" s="59">
        <f t="shared" si="94"/>
        <v>135.33030558297088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4.0706153045100653</v>
      </c>
      <c r="CM90" s="21">
        <f>EXP(-LN(2)/2)*CM89+(1-EXP(-LN(2)/2))/(LN(2)/2)*CG90*CJ90*VLOOKUP('Données projet'!$B$12,Paramètres!$A$1:$I$89,3,0)*0.475*44/12</f>
        <v>0.75815888865725489</v>
      </c>
      <c r="CN90" s="22">
        <f t="shared" si="66"/>
        <v>4.8287741931673205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353.37479213497227</v>
      </c>
      <c r="CZ90" s="59">
        <f t="shared" si="96"/>
        <v>345.4750813433123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45.253036075106088</v>
      </c>
      <c r="DG90" s="21">
        <f>EXP(-LN(2)/25)*DG89+(1-EXP(-LN(2)/25))/(LN(2)/25)*Calculateur!DB90*Calculateur!DD90*VLOOKUP('Données projet'!$B$13,Paramètres!$A$1:$I$89,3,0)*0.475*44/12</f>
        <v>42.269776873083579</v>
      </c>
      <c r="DH90" s="21">
        <f>EXP(-LN(2)/2)*DH89+(1-EXP(-LN(2)/2))/(LN(2)/2)*DB90*DE90*VLOOKUP('Données projet'!$B$13,Paramètres!$A$1:$I$89,3,0)*0.475*44/12</f>
        <v>5.5173174392819568</v>
      </c>
      <c r="DI90" s="22">
        <f t="shared" si="69"/>
        <v>93.040130387471621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9.1730000000000018</v>
      </c>
      <c r="DO90" s="12">
        <f>IF('Données projet'!$A$166&gt;35,DO89+DN90-DW89,IF(A90&lt;'Données projet'!$A$166,$DL$205^A90,IF(A90='Données projet'!$A$166,'Données projet'!$B$166,DO89+DN90-DW89)))</f>
        <v>315.91900000000049</v>
      </c>
      <c r="DP90" s="17">
        <f>DO90*VLOOKUP('Données projet'!$B$14,Paramètres!$A$1:$I$89,3,0)*VLOOKUP('Données projet'!$B$14,Paramètres!$A$1:$I$89,5,0)</f>
        <v>285.84351120000042</v>
      </c>
      <c r="DQ90" s="13">
        <f t="shared" si="97"/>
        <v>68.200422369637309</v>
      </c>
      <c r="DR90" s="20">
        <f t="shared" si="70"/>
        <v>616.62651763378562</v>
      </c>
      <c r="DS90" s="59">
        <f t="shared" si="71"/>
        <v>909.95985096711888</v>
      </c>
      <c r="DT90" s="59">
        <f ca="1">AVERAGE(OFFSET($DS$3,0,0,'Données projet'!$E$14+1,1))-AVERAGE(OFFSET($H$3,0,0,'Données projet'!$E$14+1,1))</f>
        <v>635.71275911100679</v>
      </c>
      <c r="DU90" s="59">
        <f t="shared" si="98"/>
        <v>281.7776857269169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20.765556454859233</v>
      </c>
      <c r="EB90" s="21">
        <f>EXP(-LN(2)/25)*EB89+(1-EXP(-LN(2)/25))/(LN(2)/25)*Calculateur!DW90*Calculateur!DY90*VLOOKUP('Données projet'!$B$14,Paramètres!$A$1:$I$89,3,0)*0.475*44/12</f>
        <v>27.217795558102928</v>
      </c>
      <c r="EC90" s="21">
        <f>EXP(-LN(2)/2)*EC89+(1-EXP(-LN(2)/2))/(LN(2)/2)*DW90*DZ90*VLOOKUP('Données projet'!$B$14,Paramètres!$A$1:$I$89,3,0)*0.475*44/12</f>
        <v>2.0648619145939637</v>
      </c>
      <c r="ED90" s="22">
        <f t="shared" si="72"/>
        <v>50.04821392755612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9.1730000000000018</v>
      </c>
      <c r="EJ90" s="12">
        <f>IF('Données projet'!$A$192&gt;35,EJ89+EI90-ER89,IF(A90&lt;'Données projet'!$A$192,$EG$205^A90,IF(A90='Données projet'!$A$192,'Données projet'!$B$192,EJ89+EI90-ER89)))</f>
        <v>315.91900000000049</v>
      </c>
      <c r="EK90" s="17">
        <f>EJ90*VLOOKUP('Données projet'!$B$15,Paramètres!$A$1:$I$89,3,0)*VLOOKUP('Données projet'!$B$15,Paramètres!$A$1:$I$89,5,0)</f>
        <v>211.91846520000036</v>
      </c>
      <c r="EL90" s="13">
        <f t="shared" si="99"/>
        <v>52.354596465027214</v>
      </c>
      <c r="EM90" s="20">
        <f t="shared" si="73"/>
        <v>460.275582399923</v>
      </c>
      <c r="EN90" s="59">
        <f t="shared" si="74"/>
        <v>753.60891573325625</v>
      </c>
      <c r="EO90" s="59">
        <f ca="1">AVERAGE(OFFSET($EN$3,0,0,'Données projet'!$E$15+1,1))-AVERAGE(OFFSET($H$3,0,0,'Données projet'!$E$15+1,1))</f>
        <v>482.99915419700773</v>
      </c>
      <c r="EP90" s="59">
        <f t="shared" si="100"/>
        <v>219.74157899604279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18.975422277716195</v>
      </c>
      <c r="EW90" s="21">
        <f>EXP(-LN(2)/25)*EW89+(1-EXP(-LN(2)/25))/(LN(2)/25)*Calculateur!ER90*Calculateur!ET90*VLOOKUP('Données projet'!$B$15,Paramètres!$A$1:$I$89,3,0)*0.475*44/12</f>
        <v>24.871433872059566</v>
      </c>
      <c r="EX90" s="21">
        <f>EXP(-LN(2)/2)*EX89+(1-EXP(-LN(2)/2))/(LN(2)/2)*ER90*EU90*VLOOKUP('Données projet'!$B$15,Paramètres!$A$1:$I$89,3,0)*0.475*44/12</f>
        <v>1.5308459021989727</v>
      </c>
      <c r="EY90" s="22">
        <f t="shared" si="75"/>
        <v>45.377702051974737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9.1730000000000018</v>
      </c>
      <c r="FE90" s="12">
        <f>IF('Données projet'!$A$218&gt;35,FE89+FD90-FM89,IF(A90&lt;'Données projet'!$A$218,$FB$205^A90,IF(A90='Données projet'!$A$218,'Données projet'!$B$218,FE89+FD90-FM89)))</f>
        <v>315.91900000000049</v>
      </c>
      <c r="FF90" s="17">
        <f>FE90*VLOOKUP('Données projet'!$B$16,Paramètres!$A$1:$I$89,3,0)*VLOOKUP('Données projet'!$B$16,Paramètres!$A$1:$I$89,5,0)</f>
        <v>300.62852040000047</v>
      </c>
      <c r="FG90" s="13">
        <f t="shared" si="101"/>
        <v>71.308209439642781</v>
      </c>
      <c r="FH90" s="20">
        <f t="shared" si="76"/>
        <v>647.78980447071194</v>
      </c>
      <c r="FI90" s="59">
        <f t="shared" si="77"/>
        <v>941.1231378040452</v>
      </c>
      <c r="FJ90" s="59">
        <f ca="1">AVERAGE(OFFSET($FI$3,0,0,'Données projet'!$E$16+1,1))-AVERAGE(OFFSET($H$3,0,0,'Données projet'!$E$16+1,1))</f>
        <v>666.1523645983184</v>
      </c>
      <c r="FK90" s="59">
        <f t="shared" si="102"/>
        <v>294.13851344047526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21.839636961145054</v>
      </c>
      <c r="FR90" s="21">
        <f>EXP(-LN(2)/25)*FR89+(1-EXP(-LN(2)/25))/(LN(2)/25)*Calculateur!FM90*Calculateur!FO90*VLOOKUP('Données projet'!$B$16,Paramètres!$A$1:$I$89,3,0)*0.475*44/12</f>
        <v>28.625612569728936</v>
      </c>
      <c r="FS90" s="21">
        <f>EXP(-LN(2)/2)*FS89+(1-EXP(-LN(2)/2))/(LN(2)/2)*FM90*FP90*VLOOKUP('Données projet'!$B$16,Paramètres!$A$1:$I$89,3,0)*0.475*44/12</f>
        <v>2.1716651170729619</v>
      </c>
      <c r="FT90" s="22">
        <f t="shared" si="78"/>
        <v>52.636914647946952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328.55631138162721</v>
      </c>
      <c r="T91" s="59">
        <f t="shared" si="88"/>
        <v>321.81422611044985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33.171654444330336</v>
      </c>
      <c r="AA91" s="21">
        <f>EXP(-LN(2)/25)*AA90+(1-EXP(-LN(2)/25))/(LN(2)/25)*Calculateur!V91*Calculateur!X91*VLOOKUP('Données projet'!$B$9,Paramètres!$A$1:$I$89,3,0)*0.475*44/12</f>
        <v>30.740365247084807</v>
      </c>
      <c r="AB91" s="21">
        <f>EXP(-LN(2)/2)*AB90+(1-EXP(-LN(2)/2))/(LN(2)/2)*V91*Y91*VLOOKUP('Données projet'!$B$9,Paramètres!$A$1:$I$89,3,0)*0.475*44/12</f>
        <v>3.5953457066260448</v>
      </c>
      <c r="AC91" s="22">
        <f t="shared" si="57"/>
        <v>67.507365398041188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353.37479213497227</v>
      </c>
      <c r="AO91" s="59">
        <f t="shared" si="90"/>
        <v>345.4750813433123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44.365651639299827</v>
      </c>
      <c r="AV91" s="21">
        <f>EXP(-LN(2)/25)*AV90+(1-EXP(-LN(2)/25))/(LN(2)/25)*Calculateur!AQ91*Calculateur!AS91*VLOOKUP('Données projet'!$B$10,Paramètres!$A$1:$I$89,3,0)*0.475*44/12</f>
        <v>41.113907601618152</v>
      </c>
      <c r="AW91" s="21">
        <f>EXP(-LN(2)/2)*AW90+(1-EXP(-LN(2)/2))/(LN(2)/2)*AQ91*AT91*VLOOKUP('Données projet'!$B$10,Paramètres!$A$1:$I$89,3,0)*0.475*44/12</f>
        <v>3.9013325752750698</v>
      </c>
      <c r="AX91" s="21">
        <f t="shared" si="60"/>
        <v>89.380891816193042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359.57284550600366</v>
      </c>
      <c r="BJ91" s="59">
        <f t="shared" si="92"/>
        <v>351.38386928091433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45.23556637732532</v>
      </c>
      <c r="BQ91" s="21">
        <f>EXP(-LN(2)/25)*BQ90+(1-EXP(-LN(2)/25))/(LN(2)/25)*Calculateur!BL91*Calculateur!BN91*VLOOKUP('Données projet'!$B$11,Paramètres!$A$1:$I$89,3,0)*0.475*44/12</f>
        <v>41.920062652630264</v>
      </c>
      <c r="BR91" s="21">
        <f>EXP(-LN(2)/2)*BR90+(1-EXP(-LN(2)/2))/(LN(2)/2)*BL91*BO91*VLOOKUP('Données projet'!$B$11,Paramètres!$A$1:$I$89,3,0)*0.475*44/12</f>
        <v>3.9778292924373266</v>
      </c>
      <c r="BS91" s="22">
        <f t="shared" si="63"/>
        <v>91.133458322392897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1.9230769230769227</v>
      </c>
      <c r="BY91" s="12">
        <f>IF('Données projet'!$A$114&gt;35,BY90+BX91-CG90,IF(A91&lt;'Données projet'!$A$114,$BV$205^A91,IF(A91='Données projet'!$A$114,'Données projet'!$B$114,BY90+BX91-CG90)))</f>
        <v>125.64102564102555</v>
      </c>
      <c r="BZ91" s="13">
        <f>BY91*VLOOKUP('Données projet'!$B$12,Paramètres!$A$1:$I$89,3,0)*VLOOKUP('Données projet'!$B$12,Paramètres!$A$1:$I$89,5,0)</f>
        <v>101.91999999999993</v>
      </c>
      <c r="CA91" s="13">
        <f t="shared" si="93"/>
        <v>27.418903555387619</v>
      </c>
      <c r="CB91" s="20">
        <f t="shared" si="64"/>
        <v>225.2652570256333</v>
      </c>
      <c r="CC91" s="59">
        <f t="shared" si="65"/>
        <v>518.59859035896659</v>
      </c>
      <c r="CD91" s="59">
        <f ca="1">AVERAGE(OFFSET($CC$3,0,0,'Données projet'!$E$12+1,1))-AVERAGE(OFFSET($H$3,0,0,'Données projet'!$E$12+1,1))</f>
        <v>159.4660488566085</v>
      </c>
      <c r="CE91" s="59">
        <f t="shared" si="94"/>
        <v>135.33030558297088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3.9593041149438823</v>
      </c>
      <c r="CM91" s="21">
        <f>EXP(-LN(2)/2)*CM90+(1-EXP(-LN(2)/2))/(LN(2)/2)*CG91*CJ91*VLOOKUP('Données projet'!$B$12,Paramètres!$A$1:$I$89,3,0)*0.475*44/12</f>
        <v>0.53609929138640167</v>
      </c>
      <c r="CN91" s="22">
        <f t="shared" si="66"/>
        <v>4.4954034063302837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353.37479213497227</v>
      </c>
      <c r="CZ91" s="59">
        <f t="shared" si="96"/>
        <v>345.4750813433123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44.365651639299827</v>
      </c>
      <c r="DG91" s="21">
        <f>EXP(-LN(2)/25)*DG90+(1-EXP(-LN(2)/25))/(LN(2)/25)*Calculateur!DB91*Calculateur!DD91*VLOOKUP('Données projet'!$B$13,Paramètres!$A$1:$I$89,3,0)*0.475*44/12</f>
        <v>41.113907601618152</v>
      </c>
      <c r="DH91" s="21">
        <f>EXP(-LN(2)/2)*DH90+(1-EXP(-LN(2)/2))/(LN(2)/2)*DB91*DE91*VLOOKUP('Données projet'!$B$13,Paramètres!$A$1:$I$89,3,0)*0.475*44/12</f>
        <v>3.9013325752750698</v>
      </c>
      <c r="DI91" s="22">
        <f t="shared" si="69"/>
        <v>89.380891816193042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9.1730000000000018</v>
      </c>
      <c r="DO91" s="12">
        <f>IF('Données projet'!$A$166&gt;35,DO90+DN91-DW90,IF(A91&lt;'Données projet'!$A$166,$DL$205^A91,IF(A91='Données projet'!$A$166,'Données projet'!$B$166,DO90+DN91-DW90)))</f>
        <v>325.0920000000005</v>
      </c>
      <c r="DP91" s="17">
        <f>DO91*VLOOKUP('Données projet'!$B$14,Paramètres!$A$1:$I$89,3,0)*VLOOKUP('Données projet'!$B$14,Paramètres!$A$1:$I$89,5,0)</f>
        <v>294.14324160000047</v>
      </c>
      <c r="DQ91" s="13">
        <f t="shared" si="97"/>
        <v>69.947256671789191</v>
      </c>
      <c r="DR91" s="20">
        <f t="shared" si="70"/>
        <v>634.12428449003357</v>
      </c>
      <c r="DS91" s="59">
        <f t="shared" si="71"/>
        <v>927.45761782336695</v>
      </c>
      <c r="DT91" s="59">
        <f ca="1">AVERAGE(OFFSET($DS$3,0,0,'Données projet'!$E$14+1,1))-AVERAGE(OFFSET($H$3,0,0,'Données projet'!$E$14+1,1))</f>
        <v>635.71275911100679</v>
      </c>
      <c r="DU91" s="59">
        <f t="shared" si="98"/>
        <v>281.7776857269169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20.358356558518242</v>
      </c>
      <c r="EB91" s="21">
        <f>EXP(-LN(2)/25)*EB90+(1-EXP(-LN(2)/25))/(LN(2)/25)*Calculateur!DW91*Calculateur!DY91*VLOOKUP('Données projet'!$B$14,Paramètres!$A$1:$I$89,3,0)*0.475*44/12</f>
        <v>26.473523507244941</v>
      </c>
      <c r="EC91" s="21">
        <f>EXP(-LN(2)/2)*EC90+(1-EXP(-LN(2)/2))/(LN(2)/2)*DW91*DZ91*VLOOKUP('Données projet'!$B$14,Paramètres!$A$1:$I$89,3,0)*0.475*44/12</f>
        <v>1.4600778620232295</v>
      </c>
      <c r="ED91" s="22">
        <f t="shared" si="72"/>
        <v>48.291957927786413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9.1730000000000018</v>
      </c>
      <c r="EJ91" s="12">
        <f>IF('Données projet'!$A$192&gt;35,EJ90+EI91-ER90,IF(A91&lt;'Données projet'!$A$192,$EG$205^A91,IF(A91='Données projet'!$A$192,'Données projet'!$B$192,EJ90+EI91-ER90)))</f>
        <v>325.0920000000005</v>
      </c>
      <c r="EK91" s="17">
        <f>EJ91*VLOOKUP('Données projet'!$B$15,Paramètres!$A$1:$I$89,3,0)*VLOOKUP('Données projet'!$B$15,Paramètres!$A$1:$I$89,5,0)</f>
        <v>218.07171360000035</v>
      </c>
      <c r="EL91" s="13">
        <f t="shared" si="99"/>
        <v>53.695567705421489</v>
      </c>
      <c r="EM91" s="20">
        <f t="shared" si="73"/>
        <v>473.32801494027632</v>
      </c>
      <c r="EN91" s="59">
        <f t="shared" si="74"/>
        <v>766.66134827360963</v>
      </c>
      <c r="EO91" s="59">
        <f ca="1">AVERAGE(OFFSET($EN$3,0,0,'Données projet'!$E$15+1,1))-AVERAGE(OFFSET($H$3,0,0,'Données projet'!$E$15+1,1))</f>
        <v>482.99915419700773</v>
      </c>
      <c r="EP91" s="59">
        <f t="shared" si="100"/>
        <v>219.74157899604279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18.603325820714947</v>
      </c>
      <c r="EW91" s="21">
        <f>EXP(-LN(2)/25)*EW90+(1-EXP(-LN(2)/25))/(LN(2)/25)*Calculateur!ER91*Calculateur!ET91*VLOOKUP('Données projet'!$B$15,Paramètres!$A$1:$I$89,3,0)*0.475*44/12</f>
        <v>24.191323204896232</v>
      </c>
      <c r="EX91" s="21">
        <f>EXP(-LN(2)/2)*EX90+(1-EXP(-LN(2)/2))/(LN(2)/2)*ER91*EU91*VLOOKUP('Données projet'!$B$15,Paramètres!$A$1:$I$89,3,0)*0.475*44/12</f>
        <v>1.0824715183965319</v>
      </c>
      <c r="EY91" s="22">
        <f t="shared" si="75"/>
        <v>43.87712054400771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9.1730000000000018</v>
      </c>
      <c r="FE91" s="12">
        <f>IF('Données projet'!$A$218&gt;35,FE90+FD91-FM90,IF(A91&lt;'Données projet'!$A$218,$FB$205^A91,IF(A91='Données projet'!$A$218,'Données projet'!$B$218,FE90+FD91-FM90)))</f>
        <v>325.0920000000005</v>
      </c>
      <c r="FF91" s="17">
        <f>FE91*VLOOKUP('Données projet'!$B$16,Paramètres!$A$1:$I$89,3,0)*VLOOKUP('Données projet'!$B$16,Paramètres!$A$1:$I$89,5,0)</f>
        <v>309.35754720000051</v>
      </c>
      <c r="FG91" s="13">
        <f t="shared" si="101"/>
        <v>73.134644261396232</v>
      </c>
      <c r="FH91" s="20">
        <f t="shared" si="76"/>
        <v>666.17390012859926</v>
      </c>
      <c r="FI91" s="59">
        <f t="shared" si="77"/>
        <v>959.50723346193263</v>
      </c>
      <c r="FJ91" s="59">
        <f ca="1">AVERAGE(OFFSET($FI$3,0,0,'Données projet'!$E$16+1,1))-AVERAGE(OFFSET($H$3,0,0,'Données projet'!$E$16+1,1))</f>
        <v>666.1523645983184</v>
      </c>
      <c r="FK91" s="59">
        <f t="shared" si="102"/>
        <v>294.13851344047526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21.41137500120022</v>
      </c>
      <c r="FR91" s="21">
        <f>EXP(-LN(2)/25)*FR90+(1-EXP(-LN(2)/25))/(LN(2)/25)*Calculateur!FM91*Calculateur!FO91*VLOOKUP('Données projet'!$B$16,Paramètres!$A$1:$I$89,3,0)*0.475*44/12</f>
        <v>27.84284368865416</v>
      </c>
      <c r="FS91" s="21">
        <f>EXP(-LN(2)/2)*FS90+(1-EXP(-LN(2)/2))/(LN(2)/2)*FM91*FP91*VLOOKUP('Données projet'!$B$16,Paramètres!$A$1:$I$89,3,0)*0.475*44/12</f>
        <v>1.535599130748569</v>
      </c>
      <c r="FT91" s="22">
        <f t="shared" si="78"/>
        <v>50.789817820602956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328.55631138162721</v>
      </c>
      <c r="T92" s="59">
        <f t="shared" si="88"/>
        <v>321.81422611044985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32.521178533388415</v>
      </c>
      <c r="AA92" s="21">
        <f>EXP(-LN(2)/25)*AA91+(1-EXP(-LN(2)/25))/(LN(2)/25)*Calculateur!V92*Calculateur!X92*VLOOKUP('Données projet'!$B$9,Paramètres!$A$1:$I$89,3,0)*0.475*44/12</f>
        <v>29.899768342837721</v>
      </c>
      <c r="AB92" s="21">
        <f>EXP(-LN(2)/2)*AB91+(1-EXP(-LN(2)/2))/(LN(2)/2)*V92*Y92*VLOOKUP('Données projet'!$B$9,Paramètres!$A$1:$I$89,3,0)*0.475*44/12</f>
        <v>2.5422933298652159</v>
      </c>
      <c r="AC92" s="22">
        <f t="shared" si="57"/>
        <v>64.963240206091356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353.37479213497227</v>
      </c>
      <c r="AO92" s="59">
        <f t="shared" si="90"/>
        <v>345.4750813433123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43.49566827102867</v>
      </c>
      <c r="AV92" s="21">
        <f>EXP(-LN(2)/25)*AV91+(1-EXP(-LN(2)/25))/(LN(2)/25)*Calculateur!AQ92*Calculateur!AS92*VLOOKUP('Données projet'!$B$10,Paramètres!$A$1:$I$89,3,0)*0.475*44/12</f>
        <v>39.98964563616547</v>
      </c>
      <c r="AW92" s="21">
        <f>EXP(-LN(2)/2)*AW91+(1-EXP(-LN(2)/2))/(LN(2)/2)*AQ92*AT92*VLOOKUP('Données projet'!$B$10,Paramètres!$A$1:$I$89,3,0)*0.475*44/12</f>
        <v>2.7586587196409789</v>
      </c>
      <c r="AX92" s="21">
        <f t="shared" si="60"/>
        <v>86.243972626835117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359.57284550600366</v>
      </c>
      <c r="BJ92" s="59">
        <f t="shared" si="92"/>
        <v>351.38386928091433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44.348524511637081</v>
      </c>
      <c r="BQ92" s="21">
        <f>EXP(-LN(2)/25)*BQ91+(1-EXP(-LN(2)/25))/(LN(2)/25)*Calculateur!BL92*Calculateur!BN92*VLOOKUP('Données projet'!$B$11,Paramètres!$A$1:$I$89,3,0)*0.475*44/12</f>
        <v>40.773756334913806</v>
      </c>
      <c r="BR92" s="21">
        <f>EXP(-LN(2)/2)*BR91+(1-EXP(-LN(2)/2))/(LN(2)/2)*BL92*BO92*VLOOKUP('Données projet'!$B$11,Paramètres!$A$1:$I$89,3,0)*0.475*44/12</f>
        <v>2.8127500670849201</v>
      </c>
      <c r="BS92" s="22">
        <f t="shared" si="63"/>
        <v>87.935030913635813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1.9230769230769227</v>
      </c>
      <c r="BY92" s="12">
        <f>IF('Données projet'!$A$114&gt;35,BY91+BX92-CG91,IF(A92&lt;'Données projet'!$A$114,$BV$205^A92,IF(A92='Données projet'!$A$114,'Données projet'!$B$114,BY91+BX92-CG91)))</f>
        <v>127.56410256410247</v>
      </c>
      <c r="BZ92" s="13">
        <f>BY92*VLOOKUP('Données projet'!$B$12,Paramètres!$A$1:$I$89,3,0)*VLOOKUP('Données projet'!$B$12,Paramètres!$A$1:$I$89,5,0)</f>
        <v>103.47999999999993</v>
      </c>
      <c r="CA92" s="13">
        <f t="shared" si="93"/>
        <v>27.789401764762509</v>
      </c>
      <c r="CB92" s="20">
        <f t="shared" si="64"/>
        <v>228.62754140696123</v>
      </c>
      <c r="CC92" s="59">
        <f t="shared" si="65"/>
        <v>521.96087474029457</v>
      </c>
      <c r="CD92" s="59">
        <f ca="1">AVERAGE(OFFSET($CC$3,0,0,'Données projet'!$E$12+1,1))-AVERAGE(OFFSET($H$3,0,0,'Données projet'!$E$12+1,1))</f>
        <v>159.4660488566085</v>
      </c>
      <c r="CE92" s="59">
        <f t="shared" si="94"/>
        <v>135.33030558297088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3.8510367357099877</v>
      </c>
      <c r="CM92" s="21">
        <f>EXP(-LN(2)/2)*CM91+(1-EXP(-LN(2)/2))/(LN(2)/2)*CG92*CJ92*VLOOKUP('Données projet'!$B$12,Paramètres!$A$1:$I$89,3,0)*0.475*44/12</f>
        <v>0.37907944432862756</v>
      </c>
      <c r="CN92" s="22">
        <f t="shared" si="66"/>
        <v>4.2301161800386149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353.37479213497227</v>
      </c>
      <c r="CZ92" s="59">
        <f t="shared" si="96"/>
        <v>345.4750813433123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43.49566827102867</v>
      </c>
      <c r="DG92" s="21">
        <f>EXP(-LN(2)/25)*DG91+(1-EXP(-LN(2)/25))/(LN(2)/25)*Calculateur!DB92*Calculateur!DD92*VLOOKUP('Données projet'!$B$13,Paramètres!$A$1:$I$89,3,0)*0.475*44/12</f>
        <v>39.98964563616547</v>
      </c>
      <c r="DH92" s="21">
        <f>EXP(-LN(2)/2)*DH91+(1-EXP(-LN(2)/2))/(LN(2)/2)*DB92*DE92*VLOOKUP('Données projet'!$B$13,Paramètres!$A$1:$I$89,3,0)*0.475*44/12</f>
        <v>2.7586587196409789</v>
      </c>
      <c r="DI92" s="22">
        <f t="shared" si="69"/>
        <v>86.243972626835117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9.1730000000000018</v>
      </c>
      <c r="DO92" s="12">
        <f>IF('Données projet'!$A$166&gt;35,DO91+DN92-DW91,IF(A92&lt;'Données projet'!$A$166,$DL$205^A92,IF(A92='Données projet'!$A$166,'Données projet'!$B$166,DO91+DN92-DW91)))</f>
        <v>334.2650000000005</v>
      </c>
      <c r="DP92" s="17">
        <f>DO92*VLOOKUP('Données projet'!$B$14,Paramètres!$A$1:$I$89,3,0)*VLOOKUP('Données projet'!$B$14,Paramètres!$A$1:$I$89,5,0)</f>
        <v>302.44297200000045</v>
      </c>
      <c r="DQ92" s="13">
        <f t="shared" si="97"/>
        <v>71.688362252626035</v>
      </c>
      <c r="DR92" s="20">
        <f t="shared" si="70"/>
        <v>651.61207382332452</v>
      </c>
      <c r="DS92" s="59">
        <f t="shared" si="71"/>
        <v>944.94540715665789</v>
      </c>
      <c r="DT92" s="59">
        <f ca="1">AVERAGE(OFFSET($DS$3,0,0,'Données projet'!$E$14+1,1))-AVERAGE(OFFSET($H$3,0,0,'Données projet'!$E$14+1,1))</f>
        <v>635.71275911100679</v>
      </c>
      <c r="DU92" s="59">
        <f t="shared" si="98"/>
        <v>281.7776857269169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19.959141603777088</v>
      </c>
      <c r="EB92" s="21">
        <f>EXP(-LN(2)/25)*EB91+(1-EXP(-LN(2)/25))/(LN(2)/25)*Calculateur!DW92*Calculateur!DY92*VLOOKUP('Données projet'!$B$14,Paramètres!$A$1:$I$89,3,0)*0.475*44/12</f>
        <v>25.749603614757234</v>
      </c>
      <c r="EC92" s="21">
        <f>EXP(-LN(2)/2)*EC91+(1-EXP(-LN(2)/2))/(LN(2)/2)*DW92*DZ92*VLOOKUP('Données projet'!$B$14,Paramètres!$A$1:$I$89,3,0)*0.475*44/12</f>
        <v>1.0324309572969819</v>
      </c>
      <c r="ED92" s="22">
        <f t="shared" si="72"/>
        <v>46.741176175831299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9.1730000000000018</v>
      </c>
      <c r="EJ92" s="12">
        <f>IF('Données projet'!$A$192&gt;35,EJ91+EI92-ER91,IF(A92&lt;'Données projet'!$A$192,$EG$205^A92,IF(A92='Données projet'!$A$192,'Données projet'!$B$192,EJ91+EI92-ER91)))</f>
        <v>334.2650000000005</v>
      </c>
      <c r="EK92" s="17">
        <f>EJ92*VLOOKUP('Données projet'!$B$15,Paramètres!$A$1:$I$89,3,0)*VLOOKUP('Données projet'!$B$15,Paramètres!$A$1:$I$89,5,0)</f>
        <v>224.22496200000035</v>
      </c>
      <c r="EL92" s="13">
        <f t="shared" si="99"/>
        <v>55.032141247351703</v>
      </c>
      <c r="EM92" s="20">
        <f t="shared" si="73"/>
        <v>486.37278815580493</v>
      </c>
      <c r="EN92" s="59">
        <f t="shared" si="74"/>
        <v>779.70612148913824</v>
      </c>
      <c r="EO92" s="59">
        <f ca="1">AVERAGE(OFFSET($EN$3,0,0,'Données projet'!$E$15+1,1))-AVERAGE(OFFSET($H$3,0,0,'Données projet'!$E$15+1,1))</f>
        <v>482.99915419700773</v>
      </c>
      <c r="EP92" s="59">
        <f t="shared" si="100"/>
        <v>219.74157899604279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18.238525948279062</v>
      </c>
      <c r="EW92" s="21">
        <f>EXP(-LN(2)/25)*EW91+(1-EXP(-LN(2)/25))/(LN(2)/25)*Calculateur!ER92*Calculateur!ET92*VLOOKUP('Données projet'!$B$15,Paramètres!$A$1:$I$89,3,0)*0.475*44/12</f>
        <v>23.529810199691948</v>
      </c>
      <c r="EX92" s="21">
        <f>EXP(-LN(2)/2)*EX91+(1-EXP(-LN(2)/2))/(LN(2)/2)*ER92*EU92*VLOOKUP('Données projet'!$B$15,Paramètres!$A$1:$I$89,3,0)*0.475*44/12</f>
        <v>0.76542295109948633</v>
      </c>
      <c r="EY92" s="22">
        <f t="shared" si="75"/>
        <v>42.533759099070501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9.1730000000000018</v>
      </c>
      <c r="FE92" s="12">
        <f>IF('Données projet'!$A$218&gt;35,FE91+FD92-FM91,IF(A92&lt;'Données projet'!$A$218,$FB$205^A92,IF(A92='Données projet'!$A$218,'Données projet'!$B$218,FE91+FD92-FM91)))</f>
        <v>334.2650000000005</v>
      </c>
      <c r="FF92" s="17">
        <f>FE92*VLOOKUP('Données projet'!$B$16,Paramètres!$A$1:$I$89,3,0)*VLOOKUP('Données projet'!$B$16,Paramètres!$A$1:$I$89,5,0)</f>
        <v>318.0865740000005</v>
      </c>
      <c r="FG92" s="13">
        <f t="shared" si="101"/>
        <v>74.955089312923036</v>
      </c>
      <c r="FH92" s="20">
        <f t="shared" si="76"/>
        <v>684.5475636033417</v>
      </c>
      <c r="FI92" s="59">
        <f t="shared" si="77"/>
        <v>977.88089693667507</v>
      </c>
      <c r="FJ92" s="59">
        <f ca="1">AVERAGE(OFFSET($FI$3,0,0,'Données projet'!$E$16+1,1))-AVERAGE(OFFSET($H$3,0,0,'Données projet'!$E$16+1,1))</f>
        <v>666.1523645983184</v>
      </c>
      <c r="FK92" s="59">
        <f t="shared" si="102"/>
        <v>294.13851344047526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20.991510997075903</v>
      </c>
      <c r="FR92" s="21">
        <f>EXP(-LN(2)/25)*FR91+(1-EXP(-LN(2)/25))/(LN(2)/25)*Calculateur!FM92*Calculateur!FO92*VLOOKUP('Données projet'!$B$16,Paramètres!$A$1:$I$89,3,0)*0.475*44/12</f>
        <v>27.081479663796397</v>
      </c>
      <c r="FS92" s="21">
        <f>EXP(-LN(2)/2)*FS91+(1-EXP(-LN(2)/2))/(LN(2)/2)*FM92*FP92*VLOOKUP('Données projet'!$B$16,Paramètres!$A$1:$I$89,3,0)*0.475*44/12</f>
        <v>1.085832558536481</v>
      </c>
      <c r="FT92" s="22">
        <f t="shared" si="78"/>
        <v>49.158823219408781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328.55631138162721</v>
      </c>
      <c r="T93" s="59">
        <f t="shared" si="88"/>
        <v>321.81422611044985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31.883458058308936</v>
      </c>
      <c r="AA93" s="21">
        <f>EXP(-LN(2)/25)*AA92+(1-EXP(-LN(2)/25))/(LN(2)/25)*Calculateur!V93*Calculateur!X93*VLOOKUP('Données projet'!$B$9,Paramètres!$A$1:$I$89,3,0)*0.475*44/12</f>
        <v>29.082157605142342</v>
      </c>
      <c r="AB93" s="21">
        <f>EXP(-LN(2)/2)*AB92+(1-EXP(-LN(2)/2))/(LN(2)/2)*V93*Y93*VLOOKUP('Données projet'!$B$9,Paramètres!$A$1:$I$89,3,0)*0.475*44/12</f>
        <v>1.7976728533130226</v>
      </c>
      <c r="AC93" s="22">
        <f t="shared" si="57"/>
        <v>62.763288516764298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353.37479213497227</v>
      </c>
      <c r="AO93" s="59">
        <f t="shared" si="90"/>
        <v>345.4750813433123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42.642744745971846</v>
      </c>
      <c r="AV93" s="21">
        <f>EXP(-LN(2)/25)*AV92+(1-EXP(-LN(2)/25))/(LN(2)/25)*Calculateur!AQ93*Calculateur!AS93*VLOOKUP('Données projet'!$B$10,Paramètres!$A$1:$I$89,3,0)*0.475*44/12</f>
        <v>38.896126673280456</v>
      </c>
      <c r="AW93" s="21">
        <f>EXP(-LN(2)/2)*AW92+(1-EXP(-LN(2)/2))/(LN(2)/2)*AQ93*AT93*VLOOKUP('Données projet'!$B$10,Paramètres!$A$1:$I$89,3,0)*0.475*44/12</f>
        <v>1.9506662876375351</v>
      </c>
      <c r="AX93" s="21">
        <f t="shared" si="60"/>
        <v>83.489537706889834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359.57284550600366</v>
      </c>
      <c r="BJ93" s="59">
        <f t="shared" si="92"/>
        <v>351.38386928091433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43.478876995892868</v>
      </c>
      <c r="BQ93" s="21">
        <f>EXP(-LN(2)/25)*BQ92+(1-EXP(-LN(2)/25))/(LN(2)/25)*Calculateur!BL93*Calculateur!BN93*VLOOKUP('Données projet'!$B$11,Paramètres!$A$1:$I$89,3,0)*0.475*44/12</f>
        <v>39.658795823736931</v>
      </c>
      <c r="BR93" s="21">
        <f>EXP(-LN(2)/2)*BR92+(1-EXP(-LN(2)/2))/(LN(2)/2)*BL93*BO93*VLOOKUP('Données projet'!$B$11,Paramètres!$A$1:$I$89,3,0)*0.475*44/12</f>
        <v>1.9889146462186635</v>
      </c>
      <c r="BS93" s="22">
        <f t="shared" si="63"/>
        <v>85.126587465848459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129.48717948717947</v>
      </c>
      <c r="BW93" s="12">
        <f>VLOOKUP(A93,'Données projet'!$A$113:$I$133,9,0)</f>
        <v>1.9230769230769227</v>
      </c>
      <c r="BX93" s="12">
        <f t="array" ref="BX93">INDEX(BW:BW,MIN(IF(ISNUMBER(BW93:BW289),ROW(BW93:BW289),"")))</f>
        <v>1.9230769230769227</v>
      </c>
      <c r="BY93" s="12">
        <f>IF('Données projet'!$A$114&gt;35,BY92+BX93-CG92,IF(A93&lt;'Données projet'!$A$114,$BV$205^A93,IF(A93='Données projet'!$A$114,'Données projet'!$B$114,BY92+BX93-CG92)))</f>
        <v>129.48717948717939</v>
      </c>
      <c r="BZ93" s="13">
        <f>BY93*VLOOKUP('Données projet'!$B$12,Paramètres!$A$1:$I$89,3,0)*VLOOKUP('Données projet'!$B$12,Paramètres!$A$1:$I$89,5,0)</f>
        <v>105.03999999999994</v>
      </c>
      <c r="CA93" s="13">
        <f t="shared" si="93"/>
        <v>28.159250377636397</v>
      </c>
      <c r="CB93" s="20">
        <f t="shared" si="64"/>
        <v>231.98869440771659</v>
      </c>
      <c r="CC93" s="59">
        <f t="shared" si="65"/>
        <v>525.32202774104985</v>
      </c>
      <c r="CD93" s="59">
        <f ca="1">AVERAGE(OFFSET($CC$3,0,0,'Données projet'!$E$12+1,1))-AVERAGE(OFFSET($H$3,0,0,'Données projet'!$E$12+1,1))</f>
        <v>159.4660488566085</v>
      </c>
      <c r="CE93" s="59">
        <f t="shared" si="94"/>
        <v>135.33030558297088</v>
      </c>
      <c r="CF93" s="15">
        <f>IF(ISNA(VLOOKUP(A93,'Données projet'!$A$113:$I$133,3,0)),0,VLOOKUP(A93,'Données projet'!$A$113:$I$133,3,0))</f>
        <v>16</v>
      </c>
      <c r="CG93" s="15">
        <f>IF(ISNA(VLOOKUP(A93,'Données projet'!$A$113:$I$133,4,0)),0,VLOOKUP(A93,'Données projet'!$A$113:$I$133,4,0))</f>
        <v>129.48717948717947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0.1075</v>
      </c>
      <c r="CJ93" s="16">
        <f>IF(ISNA(VLOOKUP(A93,'Données projet'!$A$113:$I$133,7,0)),0%,VLOOKUP(A93,'Données projet'!$A$113:$I$133,7,0))</f>
        <v>0.25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16.179331020514891</v>
      </c>
      <c r="CM93" s="21">
        <f>EXP(-LN(2)/2)*CM92+(1-EXP(-LN(2)/2))/(LN(2)/2)*CG93*CJ93*VLOOKUP('Données projet'!$B$12,Paramètres!$A$1:$I$89,3,0)*0.475*44/12</f>
        <v>25.045066423230693</v>
      </c>
      <c r="CN93" s="22">
        <f t="shared" si="66"/>
        <v>41.224397443745588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353.37479213497227</v>
      </c>
      <c r="CZ93" s="59">
        <f t="shared" si="96"/>
        <v>345.4750813433123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42.642744745971846</v>
      </c>
      <c r="DG93" s="21">
        <f>EXP(-LN(2)/25)*DG92+(1-EXP(-LN(2)/25))/(LN(2)/25)*Calculateur!DB93*Calculateur!DD93*VLOOKUP('Données projet'!$B$13,Paramètres!$A$1:$I$89,3,0)*0.475*44/12</f>
        <v>38.896126673280456</v>
      </c>
      <c r="DH93" s="21">
        <f>EXP(-LN(2)/2)*DH92+(1-EXP(-LN(2)/2))/(LN(2)/2)*DB93*DE93*VLOOKUP('Données projet'!$B$13,Paramètres!$A$1:$I$89,3,0)*0.475*44/12</f>
        <v>1.9506662876375351</v>
      </c>
      <c r="DI93" s="22">
        <f t="shared" si="69"/>
        <v>83.489537706889834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9.1730000000000018</v>
      </c>
      <c r="DO93" s="12">
        <f>IF('Données projet'!$A$166&gt;35,DO92+DN93-DW92,IF(A93&lt;'Données projet'!$A$166,$DL$205^A93,IF(A93='Données projet'!$A$166,'Données projet'!$B$166,DO92+DN93-DW92)))</f>
        <v>343.4380000000005</v>
      </c>
      <c r="DP93" s="17">
        <f>DO93*VLOOKUP('Données projet'!$B$14,Paramètres!$A$1:$I$89,3,0)*VLOOKUP('Données projet'!$B$14,Paramètres!$A$1:$I$89,5,0)</f>
        <v>310.74270240000044</v>
      </c>
      <c r="DQ93" s="13">
        <f t="shared" si="97"/>
        <v>73.423914385133031</v>
      </c>
      <c r="DR93" s="20">
        <f t="shared" si="70"/>
        <v>669.09019090077402</v>
      </c>
      <c r="DS93" s="59">
        <f t="shared" si="71"/>
        <v>962.42352423410739</v>
      </c>
      <c r="DT93" s="59">
        <f ca="1">AVERAGE(OFFSET($DS$3,0,0,'Données projet'!$E$14+1,1))-AVERAGE(OFFSET($H$3,0,0,'Données projet'!$E$14+1,1))</f>
        <v>635.71275911100679</v>
      </c>
      <c r="DU93" s="59">
        <f t="shared" si="98"/>
        <v>281.7776857269169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19.567755010801328</v>
      </c>
      <c r="EB93" s="21">
        <f>EXP(-LN(2)/25)*EB92+(1-EXP(-LN(2)/25))/(LN(2)/25)*Calculateur!DW93*Calculateur!DY93*VLOOKUP('Données projet'!$B$14,Paramètres!$A$1:$I$89,3,0)*0.475*44/12</f>
        <v>25.045479349798896</v>
      </c>
      <c r="EC93" s="21">
        <f>EXP(-LN(2)/2)*EC92+(1-EXP(-LN(2)/2))/(LN(2)/2)*DW93*DZ93*VLOOKUP('Données projet'!$B$14,Paramètres!$A$1:$I$89,3,0)*0.475*44/12</f>
        <v>0.73003893101161477</v>
      </c>
      <c r="ED93" s="22">
        <f t="shared" si="72"/>
        <v>45.343273291611837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9.1730000000000018</v>
      </c>
      <c r="EJ93" s="12">
        <f>IF('Données projet'!$A$192&gt;35,EJ92+EI93-ER92,IF(A93&lt;'Données projet'!$A$192,$EG$205^A93,IF(A93='Données projet'!$A$192,'Données projet'!$B$192,EJ92+EI93-ER92)))</f>
        <v>343.4380000000005</v>
      </c>
      <c r="EK93" s="17">
        <f>EJ93*VLOOKUP('Données projet'!$B$15,Paramètres!$A$1:$I$89,3,0)*VLOOKUP('Données projet'!$B$15,Paramètres!$A$1:$I$89,5,0)</f>
        <v>230.37821040000034</v>
      </c>
      <c r="EL93" s="13">
        <f t="shared" si="99"/>
        <v>56.364451640518283</v>
      </c>
      <c r="EM93" s="20">
        <f t="shared" si="73"/>
        <v>499.41013638723661</v>
      </c>
      <c r="EN93" s="59">
        <f t="shared" si="74"/>
        <v>792.74346972056992</v>
      </c>
      <c r="EO93" s="59">
        <f ca="1">AVERAGE(OFFSET($EN$3,0,0,'Données projet'!$E$15+1,1))-AVERAGE(OFFSET($H$3,0,0,'Données projet'!$E$15+1,1))</f>
        <v>482.99915419700773</v>
      </c>
      <c r="EP93" s="59">
        <f t="shared" si="100"/>
        <v>219.74157899604279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17.880879578835692</v>
      </c>
      <c r="EW93" s="21">
        <f>EXP(-LN(2)/25)*EW92+(1-EXP(-LN(2)/25))/(LN(2)/25)*Calculateur!ER93*Calculateur!ET93*VLOOKUP('Données projet'!$B$15,Paramètres!$A$1:$I$89,3,0)*0.475*44/12</f>
        <v>22.886386302402432</v>
      </c>
      <c r="EX93" s="21">
        <f>EXP(-LN(2)/2)*EX92+(1-EXP(-LN(2)/2))/(LN(2)/2)*ER93*EU93*VLOOKUP('Données projet'!$B$15,Paramètres!$A$1:$I$89,3,0)*0.475*44/12</f>
        <v>0.54123575919826594</v>
      </c>
      <c r="EY93" s="22">
        <f t="shared" si="75"/>
        <v>41.30850164043639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9.1730000000000018</v>
      </c>
      <c r="FE93" s="12">
        <f>IF('Données projet'!$A$218&gt;35,FE92+FD93-FM92,IF(A93&lt;'Données projet'!$A$218,$FB$205^A93,IF(A93='Données projet'!$A$218,'Données projet'!$B$218,FE92+FD93-FM92)))</f>
        <v>343.4380000000005</v>
      </c>
      <c r="FF93" s="17">
        <f>FE93*VLOOKUP('Données projet'!$B$16,Paramètres!$A$1:$I$89,3,0)*VLOOKUP('Données projet'!$B$16,Paramètres!$A$1:$I$89,5,0)</f>
        <v>326.81560080000048</v>
      </c>
      <c r="FG93" s="13">
        <f t="shared" si="101"/>
        <v>76.769727854125406</v>
      </c>
      <c r="FH93" s="20">
        <f t="shared" si="76"/>
        <v>702.91111407260257</v>
      </c>
      <c r="FI93" s="59">
        <f t="shared" si="77"/>
        <v>996.24444740593594</v>
      </c>
      <c r="FJ93" s="59">
        <f ca="1">AVERAGE(OFFSET($FI$3,0,0,'Données projet'!$E$16+1,1))-AVERAGE(OFFSET($H$3,0,0,'Données projet'!$E$16+1,1))</f>
        <v>666.1523645983184</v>
      </c>
      <c r="FK93" s="59">
        <f t="shared" si="102"/>
        <v>294.13851344047526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20.579880269980706</v>
      </c>
      <c r="FR93" s="21">
        <f>EXP(-LN(2)/25)*FR92+(1-EXP(-LN(2)/25))/(LN(2)/25)*Calculateur!FM93*Calculateur!FO93*VLOOKUP('Données projet'!$B$16,Paramètres!$A$1:$I$89,3,0)*0.475*44/12</f>
        <v>26.340935178236766</v>
      </c>
      <c r="FS93" s="21">
        <f>EXP(-LN(2)/2)*FS92+(1-EXP(-LN(2)/2))/(LN(2)/2)*FM93*FP93*VLOOKUP('Données projet'!$B$16,Paramètres!$A$1:$I$89,3,0)*0.475*44/12</f>
        <v>0.76779956537428451</v>
      </c>
      <c r="FT93" s="22">
        <f t="shared" si="78"/>
        <v>47.68861501359175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328.55631138162721</v>
      </c>
      <c r="T94" s="59">
        <f t="shared" si="88"/>
        <v>321.81422611044985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31.258242892774682</v>
      </c>
      <c r="AA94" s="21">
        <f>EXP(-LN(2)/25)*AA93+(1-EXP(-LN(2)/25))/(LN(2)/25)*Calculateur!V94*Calculateur!X94*VLOOKUP('Données projet'!$B$9,Paramètres!$A$1:$I$89,3,0)*0.475*44/12</f>
        <v>28.286904476065523</v>
      </c>
      <c r="AB94" s="21">
        <f>EXP(-LN(2)/2)*AB93+(1-EXP(-LN(2)/2))/(LN(2)/2)*V94*Y94*VLOOKUP('Données projet'!$B$9,Paramètres!$A$1:$I$89,3,0)*0.475*44/12</f>
        <v>1.2711466649326082</v>
      </c>
      <c r="AC94" s="22">
        <f t="shared" si="57"/>
        <v>60.816294033772813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353.37479213497227</v>
      </c>
      <c r="AO94" s="59">
        <f t="shared" si="90"/>
        <v>345.4750813433123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41.80654653100941</v>
      </c>
      <c r="AV94" s="21">
        <f>EXP(-LN(2)/25)*AV93+(1-EXP(-LN(2)/25))/(LN(2)/25)*Calculateur!AQ94*Calculateur!AS94*VLOOKUP('Données projet'!$B$10,Paramètres!$A$1:$I$89,3,0)*0.475*44/12</f>
        <v>37.832510043941198</v>
      </c>
      <c r="AW94" s="21">
        <f>EXP(-LN(2)/2)*AW93+(1-EXP(-LN(2)/2))/(LN(2)/2)*AQ94*AT94*VLOOKUP('Données projet'!$B$10,Paramètres!$A$1:$I$89,3,0)*0.475*44/12</f>
        <v>1.3793293598204897</v>
      </c>
      <c r="AX94" s="21">
        <f t="shared" si="60"/>
        <v>81.018385934771104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359.57284550600366</v>
      </c>
      <c r="BJ94" s="59">
        <f t="shared" si="92"/>
        <v>351.38386928091433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42.626282737499793</v>
      </c>
      <c r="BQ94" s="21">
        <f>EXP(-LN(2)/25)*BQ93+(1-EXP(-LN(2)/25))/(LN(2)/25)*Calculateur!BL94*Calculateur!BN94*VLOOKUP('Données projet'!$B$11,Paramètres!$A$1:$I$89,3,0)*0.475*44/12</f>
        <v>38.574323966371416</v>
      </c>
      <c r="BR94" s="21">
        <f>EXP(-LN(2)/2)*BR93+(1-EXP(-LN(2)/2))/(LN(2)/2)*BL94*BO94*VLOOKUP('Données projet'!$B$11,Paramètres!$A$1:$I$89,3,0)*0.475*44/12</f>
        <v>1.4063750335424603</v>
      </c>
      <c r="BS94" s="22">
        <f t="shared" si="63"/>
        <v>82.606981737413676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-8.5265128291212022E-14</v>
      </c>
      <c r="BZ94" s="13">
        <f>BY94*VLOOKUP('Données projet'!$B$12,Paramètres!$A$1:$I$89,3,0)*VLOOKUP('Données projet'!$B$12,Paramètres!$A$1:$I$89,5,0)</f>
        <v>-6.9167072069831198E-14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159.4660488566085</v>
      </c>
      <c r="CE94" s="59">
        <f t="shared" si="94"/>
        <v>135.33030558297088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15.736906362924872</v>
      </c>
      <c r="CM94" s="21">
        <f>EXP(-LN(2)/2)*CM93+(1-EXP(-LN(2)/2))/(LN(2)/2)*CG94*CJ94*VLOOKUP('Données projet'!$B$12,Paramètres!$A$1:$I$89,3,0)*0.475*44/12</f>
        <v>17.709536303133934</v>
      </c>
      <c r="CN94" s="22">
        <f t="shared" si="66"/>
        <v>33.446442666058807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353.37479213497227</v>
      </c>
      <c r="CZ94" s="59">
        <f t="shared" si="96"/>
        <v>345.4750813433123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41.80654653100941</v>
      </c>
      <c r="DG94" s="21">
        <f>EXP(-LN(2)/25)*DG93+(1-EXP(-LN(2)/25))/(LN(2)/25)*Calculateur!DB94*Calculateur!DD94*VLOOKUP('Données projet'!$B$13,Paramètres!$A$1:$I$89,3,0)*0.475*44/12</f>
        <v>37.832510043941198</v>
      </c>
      <c r="DH94" s="21">
        <f>EXP(-LN(2)/2)*DH93+(1-EXP(-LN(2)/2))/(LN(2)/2)*DB94*DE94*VLOOKUP('Données projet'!$B$13,Paramètres!$A$1:$I$89,3,0)*0.475*44/12</f>
        <v>1.3793293598204897</v>
      </c>
      <c r="DI94" s="22">
        <f t="shared" si="69"/>
        <v>81.018385934771104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9.1730000000000018</v>
      </c>
      <c r="DO94" s="12">
        <f>IF('Données projet'!$A$166&gt;35,DO93+DN94-DW93,IF(A94&lt;'Données projet'!$A$166,$DL$205^A94,IF(A94='Données projet'!$A$166,'Données projet'!$B$166,DO93+DN94-DW93)))</f>
        <v>352.6110000000005</v>
      </c>
      <c r="DP94" s="17">
        <f>DO94*VLOOKUP('Données projet'!$B$14,Paramètres!$A$1:$I$89,3,0)*VLOOKUP('Données projet'!$B$14,Paramètres!$A$1:$I$89,5,0)</f>
        <v>319.04243280000043</v>
      </c>
      <c r="DQ94" s="13">
        <f t="shared" si="97"/>
        <v>75.154078446360543</v>
      </c>
      <c r="DR94" s="20">
        <f t="shared" si="70"/>
        <v>686.55892375407859</v>
      </c>
      <c r="DS94" s="59">
        <f t="shared" si="71"/>
        <v>979.89225708741196</v>
      </c>
      <c r="DT94" s="59">
        <f ca="1">AVERAGE(OFFSET($DS$3,0,0,'Données projet'!$E$14+1,1))-AVERAGE(OFFSET($H$3,0,0,'Données projet'!$E$14+1,1))</f>
        <v>635.71275911100679</v>
      </c>
      <c r="DU94" s="59">
        <f t="shared" si="98"/>
        <v>281.7776857269169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19.184043270191573</v>
      </c>
      <c r="EB94" s="21">
        <f>EXP(-LN(2)/25)*EB93+(1-EXP(-LN(2)/25))/(LN(2)/25)*Calculateur!DW94*Calculateur!DY94*VLOOKUP('Données projet'!$B$14,Paramètres!$A$1:$I$89,3,0)*0.475*44/12</f>
        <v>24.360609399894127</v>
      </c>
      <c r="EC94" s="21">
        <f>EXP(-LN(2)/2)*EC93+(1-EXP(-LN(2)/2))/(LN(2)/2)*DW94*DZ94*VLOOKUP('Données projet'!$B$14,Paramètres!$A$1:$I$89,3,0)*0.475*44/12</f>
        <v>0.51621547864849093</v>
      </c>
      <c r="ED94" s="22">
        <f t="shared" si="72"/>
        <v>44.060868148734187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9.1730000000000018</v>
      </c>
      <c r="EJ94" s="12">
        <f>IF('Données projet'!$A$192&gt;35,EJ93+EI94-ER93,IF(A94&lt;'Données projet'!$A$192,$EG$205^A94,IF(A94='Données projet'!$A$192,'Données projet'!$B$192,EJ93+EI94-ER93)))</f>
        <v>352.6110000000005</v>
      </c>
      <c r="EK94" s="17">
        <f>EJ94*VLOOKUP('Données projet'!$B$15,Paramètres!$A$1:$I$89,3,0)*VLOOKUP('Données projet'!$B$15,Paramètres!$A$1:$I$89,5,0)</f>
        <v>236.53145880000034</v>
      </c>
      <c r="EL94" s="13">
        <f t="shared" si="99"/>
        <v>57.692625837928958</v>
      </c>
      <c r="EM94" s="20">
        <f t="shared" si="73"/>
        <v>512.44028074439348</v>
      </c>
      <c r="EN94" s="59">
        <f t="shared" si="74"/>
        <v>805.77361407772673</v>
      </c>
      <c r="EO94" s="59">
        <f ca="1">AVERAGE(OFFSET($EN$3,0,0,'Données projet'!$E$15+1,1))-AVERAGE(OFFSET($H$3,0,0,'Données projet'!$E$15+1,1))</f>
        <v>482.99915419700773</v>
      </c>
      <c r="EP94" s="59">
        <f t="shared" si="100"/>
        <v>219.74157899604279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17.530246436554364</v>
      </c>
      <c r="EW94" s="21">
        <f>EXP(-LN(2)/25)*EW93+(1-EXP(-LN(2)/25))/(LN(2)/25)*Calculateur!ER94*Calculateur!ET94*VLOOKUP('Données projet'!$B$15,Paramètres!$A$1:$I$89,3,0)*0.475*44/12</f>
        <v>22.26055686542049</v>
      </c>
      <c r="EX94" s="21">
        <f>EXP(-LN(2)/2)*EX93+(1-EXP(-LN(2)/2))/(LN(2)/2)*ER94*EU94*VLOOKUP('Données projet'!$B$15,Paramètres!$A$1:$I$89,3,0)*0.475*44/12</f>
        <v>0.38271147554974316</v>
      </c>
      <c r="EY94" s="22">
        <f t="shared" si="75"/>
        <v>40.173514777524595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9.1730000000000018</v>
      </c>
      <c r="FE94" s="12">
        <f>IF('Données projet'!$A$218&gt;35,FE93+FD94-FM93,IF(A94&lt;'Données projet'!$A$218,$FB$205^A94,IF(A94='Données projet'!$A$218,'Données projet'!$B$218,FE93+FD94-FM93)))</f>
        <v>352.6110000000005</v>
      </c>
      <c r="FF94" s="17">
        <f>FE94*VLOOKUP('Données projet'!$B$16,Paramètres!$A$1:$I$89,3,0)*VLOOKUP('Données projet'!$B$16,Paramètres!$A$1:$I$89,5,0)</f>
        <v>335.54462760000047</v>
      </c>
      <c r="FG94" s="13">
        <f t="shared" si="101"/>
        <v>78.578732798028639</v>
      </c>
      <c r="FH94" s="20">
        <f t="shared" si="76"/>
        <v>721.26485269323393</v>
      </c>
      <c r="FI94" s="59">
        <f t="shared" si="77"/>
        <v>1014.5981860265672</v>
      </c>
      <c r="FJ94" s="59">
        <f ca="1">AVERAGE(OFFSET($FI$3,0,0,'Données projet'!$E$16+1,1))-AVERAGE(OFFSET($H$3,0,0,'Données projet'!$E$16+1,1))</f>
        <v>666.1523645983184</v>
      </c>
      <c r="FK94" s="59">
        <f t="shared" si="102"/>
        <v>294.13851344047526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20.176321370373895</v>
      </c>
      <c r="FR94" s="21">
        <f>EXP(-LN(2)/25)*FR93+(1-EXP(-LN(2)/25))/(LN(2)/25)*Calculateur!FM94*Calculateur!FO94*VLOOKUP('Données projet'!$B$16,Paramètres!$A$1:$I$89,3,0)*0.475*44/12</f>
        <v>25.620640920578303</v>
      </c>
      <c r="FS94" s="21">
        <f>EXP(-LN(2)/2)*FS93+(1-EXP(-LN(2)/2))/(LN(2)/2)*FM94*FP94*VLOOKUP('Données projet'!$B$16,Paramètres!$A$1:$I$89,3,0)*0.475*44/12</f>
        <v>0.54291627926824049</v>
      </c>
      <c r="FT94" s="22">
        <f t="shared" si="78"/>
        <v>46.339878570220435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328.55631138162721</v>
      </c>
      <c r="T95" s="59">
        <f t="shared" si="88"/>
        <v>321.81422611044985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30.64528781529296</v>
      </c>
      <c r="AA95" s="21">
        <f>EXP(-LN(2)/25)*AA94+(1-EXP(-LN(2)/25))/(LN(2)/25)*Calculateur!V95*Calculateur!X95*VLOOKUP('Données projet'!$B$9,Paramètres!$A$1:$I$89,3,0)*0.475*44/12</f>
        <v>27.513397585623856</v>
      </c>
      <c r="AB95" s="21">
        <f>EXP(-LN(2)/2)*AB94+(1-EXP(-LN(2)/2))/(LN(2)/2)*V95*Y95*VLOOKUP('Données projet'!$B$9,Paramètres!$A$1:$I$89,3,0)*0.475*44/12</f>
        <v>0.89883642665651153</v>
      </c>
      <c r="AC95" s="22">
        <f t="shared" si="57"/>
        <v>59.057521827573325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353.37479213497227</v>
      </c>
      <c r="AO95" s="59">
        <f t="shared" si="90"/>
        <v>345.4750813433123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40.986745653011837</v>
      </c>
      <c r="AV95" s="21">
        <f>EXP(-LN(2)/25)*AV94+(1-EXP(-LN(2)/25))/(LN(2)/25)*Calculateur!AQ95*Calculateur!AS95*VLOOKUP('Données projet'!$B$10,Paramètres!$A$1:$I$89,3,0)*0.475*44/12</f>
        <v>36.797978067264388</v>
      </c>
      <c r="AW95" s="21">
        <f>EXP(-LN(2)/2)*AW94+(1-EXP(-LN(2)/2))/(LN(2)/2)*AQ95*AT95*VLOOKUP('Données projet'!$B$10,Paramètres!$A$1:$I$89,3,0)*0.475*44/12</f>
        <v>0.97533314381876768</v>
      </c>
      <c r="AX95" s="21">
        <f t="shared" si="60"/>
        <v>78.760056864094992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359.57284550600366</v>
      </c>
      <c r="BJ95" s="59">
        <f t="shared" si="92"/>
        <v>351.38386928091433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41.790407332482658</v>
      </c>
      <c r="BQ95" s="21">
        <f>EXP(-LN(2)/25)*BQ94+(1-EXP(-LN(2)/25))/(LN(2)/25)*Calculateur!BL95*Calculateur!BN95*VLOOKUP('Données projet'!$B$11,Paramètres!$A$1:$I$89,3,0)*0.475*44/12</f>
        <v>37.519507048975456</v>
      </c>
      <c r="BR95" s="21">
        <f>EXP(-LN(2)/2)*BR94+(1-EXP(-LN(2)/2))/(LN(2)/2)*BL95*BO95*VLOOKUP('Données projet'!$B$11,Paramètres!$A$1:$I$89,3,0)*0.475*44/12</f>
        <v>0.99445732310933199</v>
      </c>
      <c r="BS95" s="22">
        <f t="shared" si="63"/>
        <v>80.304371704567444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-8.5265128291212022E-14</v>
      </c>
      <c r="BZ95" s="13">
        <f>BY95*VLOOKUP('Données projet'!$B$12,Paramètres!$A$1:$I$89,3,0)*VLOOKUP('Données projet'!$B$12,Paramètres!$A$1:$I$89,5,0)</f>
        <v>-6.9167072069831198E-14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159.4660488566085</v>
      </c>
      <c r="CE95" s="59">
        <f t="shared" si="94"/>
        <v>135.33030558297088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15.306579830862752</v>
      </c>
      <c r="CM95" s="21">
        <f>EXP(-LN(2)/2)*CM94+(1-EXP(-LN(2)/2))/(LN(2)/2)*CG95*CJ95*VLOOKUP('Données projet'!$B$12,Paramètres!$A$1:$I$89,3,0)*0.475*44/12</f>
        <v>12.522533211615347</v>
      </c>
      <c r="CN95" s="22">
        <f t="shared" si="66"/>
        <v>27.829113042478099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353.37479213497227</v>
      </c>
      <c r="CZ95" s="59">
        <f t="shared" si="96"/>
        <v>345.4750813433123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40.986745653011837</v>
      </c>
      <c r="DG95" s="21">
        <f>EXP(-LN(2)/25)*DG94+(1-EXP(-LN(2)/25))/(LN(2)/25)*Calculateur!DB95*Calculateur!DD95*VLOOKUP('Données projet'!$B$13,Paramètres!$A$1:$I$89,3,0)*0.475*44/12</f>
        <v>36.797978067264388</v>
      </c>
      <c r="DH95" s="21">
        <f>EXP(-LN(2)/2)*DH94+(1-EXP(-LN(2)/2))/(LN(2)/2)*DB95*DE95*VLOOKUP('Données projet'!$B$13,Paramètres!$A$1:$I$89,3,0)*0.475*44/12</f>
        <v>0.97533314381876768</v>
      </c>
      <c r="DI95" s="22">
        <f t="shared" si="69"/>
        <v>78.760056864094992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9.1730000000000018</v>
      </c>
      <c r="DO95" s="12">
        <f>IF('Données projet'!$A$166&gt;35,DO94+DN95-DW94,IF(A95&lt;'Données projet'!$A$166,$DL$205^A95,IF(A95='Données projet'!$A$166,'Données projet'!$B$166,DO94+DN95-DW94)))</f>
        <v>361.7840000000005</v>
      </c>
      <c r="DP95" s="17">
        <f>DO95*VLOOKUP('Données projet'!$B$14,Paramètres!$A$1:$I$89,3,0)*VLOOKUP('Données projet'!$B$14,Paramètres!$A$1:$I$89,5,0)</f>
        <v>327.34216320000047</v>
      </c>
      <c r="DQ95" s="13">
        <f t="shared" si="97"/>
        <v>76.87901071885527</v>
      </c>
      <c r="DR95" s="20">
        <f t="shared" si="70"/>
        <v>704.01854457534034</v>
      </c>
      <c r="DS95" s="59">
        <f t="shared" si="71"/>
        <v>997.35187790867371</v>
      </c>
      <c r="DT95" s="59">
        <f ca="1">AVERAGE(OFFSET($DS$3,0,0,'Données projet'!$E$14+1,1))-AVERAGE(OFFSET($H$3,0,0,'Données projet'!$E$14+1,1))</f>
        <v>635.71275911100679</v>
      </c>
      <c r="DU95" s="59">
        <f t="shared" si="98"/>
        <v>281.7776857269169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18.807855882774124</v>
      </c>
      <c r="EB95" s="21">
        <f>EXP(-LN(2)/25)*EB94+(1-EXP(-LN(2)/25))/(LN(2)/25)*Calculateur!DW95*Calculateur!DY95*VLOOKUP('Données projet'!$B$14,Paramètres!$A$1:$I$89,3,0)*0.475*44/12</f>
        <v>23.694467254785252</v>
      </c>
      <c r="EC95" s="21">
        <f>EXP(-LN(2)/2)*EC94+(1-EXP(-LN(2)/2))/(LN(2)/2)*DW95*DZ95*VLOOKUP('Données projet'!$B$14,Paramètres!$A$1:$I$89,3,0)*0.475*44/12</f>
        <v>0.36501946550580738</v>
      </c>
      <c r="ED95" s="22">
        <f t="shared" si="72"/>
        <v>42.867342603065183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9.1730000000000018</v>
      </c>
      <c r="EJ95" s="12">
        <f>IF('Données projet'!$A$192&gt;35,EJ94+EI95-ER94,IF(A95&lt;'Données projet'!$A$192,$EG$205^A95,IF(A95='Données projet'!$A$192,'Données projet'!$B$192,EJ94+EI95-ER94)))</f>
        <v>361.7840000000005</v>
      </c>
      <c r="EK95" s="17">
        <f>EJ95*VLOOKUP('Données projet'!$B$15,Paramètres!$A$1:$I$89,3,0)*VLOOKUP('Données projet'!$B$15,Paramètres!$A$1:$I$89,5,0)</f>
        <v>242.68470720000033</v>
      </c>
      <c r="EL95" s="13">
        <f t="shared" si="99"/>
        <v>59.016783811123055</v>
      </c>
      <c r="EM95" s="20">
        <f t="shared" si="73"/>
        <v>525.46343017770653</v>
      </c>
      <c r="EN95" s="59">
        <f t="shared" si="74"/>
        <v>818.7967635110399</v>
      </c>
      <c r="EO95" s="59">
        <f ca="1">AVERAGE(OFFSET($EN$3,0,0,'Données projet'!$E$15+1,1))-AVERAGE(OFFSET($H$3,0,0,'Données projet'!$E$15+1,1))</f>
        <v>482.99915419700773</v>
      </c>
      <c r="EP95" s="59">
        <f t="shared" si="100"/>
        <v>219.74157899604279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17.186488996328073</v>
      </c>
      <c r="EW95" s="21">
        <f>EXP(-LN(2)/25)*EW94+(1-EXP(-LN(2)/25))/(LN(2)/25)*Calculateur!ER95*Calculateur!ET95*VLOOKUP('Données projet'!$B$15,Paramètres!$A$1:$I$89,3,0)*0.475*44/12</f>
        <v>21.65184076730376</v>
      </c>
      <c r="EX95" s="21">
        <f>EXP(-LN(2)/2)*EX94+(1-EXP(-LN(2)/2))/(LN(2)/2)*ER95*EU95*VLOOKUP('Données projet'!$B$15,Paramètres!$A$1:$I$89,3,0)*0.475*44/12</f>
        <v>0.27061787959913297</v>
      </c>
      <c r="EY95" s="22">
        <f t="shared" si="75"/>
        <v>39.10894764323097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9.1730000000000018</v>
      </c>
      <c r="FE95" s="12">
        <f>IF('Données projet'!$A$218&gt;35,FE94+FD95-FM94,IF(A95&lt;'Données projet'!$A$218,$FB$205^A95,IF(A95='Données projet'!$A$218,'Données projet'!$B$218,FE94+FD95-FM94)))</f>
        <v>361.7840000000005</v>
      </c>
      <c r="FF95" s="17">
        <f>FE95*VLOOKUP('Données projet'!$B$16,Paramètres!$A$1:$I$89,3,0)*VLOOKUP('Données projet'!$B$16,Paramètres!$A$1:$I$89,5,0)</f>
        <v>344.27365440000045</v>
      </c>
      <c r="FG95" s="13">
        <f t="shared" si="101"/>
        <v>80.382267548731363</v>
      </c>
      <c r="FH95" s="20">
        <f t="shared" si="76"/>
        <v>739.60906406070796</v>
      </c>
      <c r="FI95" s="59">
        <f t="shared" si="77"/>
        <v>1032.9423973940413</v>
      </c>
      <c r="FJ95" s="59">
        <f ca="1">AVERAGE(OFFSET($FI$3,0,0,'Données projet'!$E$16+1,1))-AVERAGE(OFFSET($H$3,0,0,'Données projet'!$E$16+1,1))</f>
        <v>666.1523645983184</v>
      </c>
      <c r="FK95" s="59">
        <f t="shared" si="102"/>
        <v>294.13851344047526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19.780676014641749</v>
      </c>
      <c r="FR95" s="21">
        <f>EXP(-LN(2)/25)*FR94+(1-EXP(-LN(2)/25))/(LN(2)/25)*Calculateur!FM95*Calculateur!FO95*VLOOKUP('Données projet'!$B$16,Paramètres!$A$1:$I$89,3,0)*0.475*44/12</f>
        <v>24.920043147274139</v>
      </c>
      <c r="FS95" s="21">
        <f>EXP(-LN(2)/2)*FS94+(1-EXP(-LN(2)/2))/(LN(2)/2)*FM95*FP95*VLOOKUP('Données projet'!$B$16,Paramètres!$A$1:$I$89,3,0)*0.475*44/12</f>
        <v>0.38389978268714225</v>
      </c>
      <c r="FT95" s="22">
        <f t="shared" si="78"/>
        <v>45.084618944603029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328.55631138162721</v>
      </c>
      <c r="T96" s="59">
        <f t="shared" si="88"/>
        <v>321.81422611044985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30.044352413014973</v>
      </c>
      <c r="AA96" s="21">
        <f>EXP(-LN(2)/25)*AA95+(1-EXP(-LN(2)/25))/(LN(2)/25)*Calculateur!V96*Calculateur!X96*VLOOKUP('Données projet'!$B$9,Paramètres!$A$1:$I$89,3,0)*0.475*44/12</f>
        <v>26.761042281778277</v>
      </c>
      <c r="AB96" s="21">
        <f>EXP(-LN(2)/2)*AB95+(1-EXP(-LN(2)/2))/(LN(2)/2)*V96*Y96*VLOOKUP('Données projet'!$B$9,Paramètres!$A$1:$I$89,3,0)*0.475*44/12</f>
        <v>0.63557333246630421</v>
      </c>
      <c r="AC96" s="22">
        <f t="shared" si="57"/>
        <v>57.440968027259558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353.37479213497227</v>
      </c>
      <c r="AO96" s="59">
        <f t="shared" si="90"/>
        <v>345.4750813433123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40.183020570202636</v>
      </c>
      <c r="AV96" s="21">
        <f>EXP(-LN(2)/25)*AV95+(1-EXP(-LN(2)/25))/(LN(2)/25)*Calculateur!AQ96*Calculateur!AS96*VLOOKUP('Données projet'!$B$10,Paramètres!$A$1:$I$89,3,0)*0.475*44/12</f>
        <v>35.791735421893478</v>
      </c>
      <c r="AW96" s="21">
        <f>EXP(-LN(2)/2)*AW95+(1-EXP(-LN(2)/2))/(LN(2)/2)*AQ96*AT96*VLOOKUP('Données projet'!$B$10,Paramètres!$A$1:$I$89,3,0)*0.475*44/12</f>
        <v>0.68966467991024494</v>
      </c>
      <c r="AX96" s="21">
        <f t="shared" si="60"/>
        <v>76.664420672006358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359.57284550600366</v>
      </c>
      <c r="BJ96" s="59">
        <f t="shared" si="92"/>
        <v>351.38386928091433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40.970922934324257</v>
      </c>
      <c r="BQ96" s="21">
        <f>EXP(-LN(2)/25)*BQ95+(1-EXP(-LN(2)/25))/(LN(2)/25)*Calculateur!BL96*Calculateur!BN96*VLOOKUP('Données projet'!$B$11,Paramètres!$A$1:$I$89,3,0)*0.475*44/12</f>
        <v>36.4935341556561</v>
      </c>
      <c r="BR96" s="21">
        <f>EXP(-LN(2)/2)*BR95+(1-EXP(-LN(2)/2))/(LN(2)/2)*BL96*BO96*VLOOKUP('Données projet'!$B$11,Paramètres!$A$1:$I$89,3,0)*0.475*44/12</f>
        <v>0.70318751677123026</v>
      </c>
      <c r="BS96" s="22">
        <f t="shared" si="63"/>
        <v>78.167644606751594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-8.5265128291212022E-14</v>
      </c>
      <c r="BZ96" s="13">
        <f>BY96*VLOOKUP('Données projet'!$B$12,Paramètres!$A$1:$I$89,3,0)*VLOOKUP('Données projet'!$B$12,Paramètres!$A$1:$I$89,5,0)</f>
        <v>-6.9167072069831198E-14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159.4660488566085</v>
      </c>
      <c r="CE96" s="59">
        <f t="shared" si="94"/>
        <v>135.33030558297088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14.88802060044976</v>
      </c>
      <c r="CM96" s="21">
        <f>EXP(-LN(2)/2)*CM95+(1-EXP(-LN(2)/2))/(LN(2)/2)*CG96*CJ96*VLOOKUP('Données projet'!$B$12,Paramètres!$A$1:$I$89,3,0)*0.475*44/12</f>
        <v>8.8547681515669669</v>
      </c>
      <c r="CN96" s="22">
        <f t="shared" si="66"/>
        <v>23.742788752016729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353.37479213497227</v>
      </c>
      <c r="CZ96" s="59">
        <f t="shared" si="96"/>
        <v>345.4750813433123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40.183020570202636</v>
      </c>
      <c r="DG96" s="21">
        <f>EXP(-LN(2)/25)*DG95+(1-EXP(-LN(2)/25))/(LN(2)/25)*Calculateur!DB96*Calculateur!DD96*VLOOKUP('Données projet'!$B$13,Paramètres!$A$1:$I$89,3,0)*0.475*44/12</f>
        <v>35.791735421893478</v>
      </c>
      <c r="DH96" s="21">
        <f>EXP(-LN(2)/2)*DH95+(1-EXP(-LN(2)/2))/(LN(2)/2)*DB96*DE96*VLOOKUP('Données projet'!$B$13,Paramètres!$A$1:$I$89,3,0)*0.475*44/12</f>
        <v>0.68966467991024494</v>
      </c>
      <c r="DI96" s="22">
        <f t="shared" si="69"/>
        <v>76.664420672006358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9.1730000000000018</v>
      </c>
      <c r="DO96" s="12">
        <f>IF('Données projet'!$A$166&gt;35,DO95+DN96-DW95,IF(A96&lt;'Données projet'!$A$166,$DL$205^A96,IF(A96='Données projet'!$A$166,'Données projet'!$B$166,DO95+DN96-DW95)))</f>
        <v>370.95700000000051</v>
      </c>
      <c r="DP96" s="17">
        <f>DO96*VLOOKUP('Données projet'!$B$14,Paramètres!$A$1:$I$89,3,0)*VLOOKUP('Données projet'!$B$14,Paramètres!$A$1:$I$89,5,0)</f>
        <v>335.64189360000046</v>
      </c>
      <c r="DQ96" s="13">
        <f t="shared" si="97"/>
        <v>78.598859108522404</v>
      </c>
      <c r="DR96" s="20">
        <f t="shared" si="70"/>
        <v>721.46931096734397</v>
      </c>
      <c r="DS96" s="59">
        <f t="shared" si="71"/>
        <v>1014.8026443006772</v>
      </c>
      <c r="DT96" s="59">
        <f ca="1">AVERAGE(OFFSET($DS$3,0,0,'Données projet'!$E$14+1,1))-AVERAGE(OFFSET($H$3,0,0,'Données projet'!$E$14+1,1))</f>
        <v>635.71275911100679</v>
      </c>
      <c r="DU96" s="59">
        <f t="shared" si="98"/>
        <v>281.7776857269169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18.439045300572278</v>
      </c>
      <c r="EB96" s="21">
        <f>EXP(-LN(2)/25)*EB95+(1-EXP(-LN(2)/25))/(LN(2)/25)*Calculateur!DW96*Calculateur!DY96*VLOOKUP('Données projet'!$B$14,Paramètres!$A$1:$I$89,3,0)*0.475*44/12</f>
        <v>23.04654080166527</v>
      </c>
      <c r="EC96" s="21">
        <f>EXP(-LN(2)/2)*EC95+(1-EXP(-LN(2)/2))/(LN(2)/2)*DW96*DZ96*VLOOKUP('Données projet'!$B$14,Paramètres!$A$1:$I$89,3,0)*0.475*44/12</f>
        <v>0.25810773932424547</v>
      </c>
      <c r="ED96" s="22">
        <f t="shared" si="72"/>
        <v>41.743693841561793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9.1730000000000018</v>
      </c>
      <c r="EJ96" s="12">
        <f>IF('Données projet'!$A$192&gt;35,EJ95+EI96-ER95,IF(A96&lt;'Données projet'!$A$192,$EG$205^A96,IF(A96='Données projet'!$A$192,'Données projet'!$B$192,EJ95+EI96-ER95)))</f>
        <v>370.95700000000051</v>
      </c>
      <c r="EK96" s="17">
        <f>EJ96*VLOOKUP('Données projet'!$B$15,Paramètres!$A$1:$I$89,3,0)*VLOOKUP('Données projet'!$B$15,Paramètres!$A$1:$I$89,5,0)</f>
        <v>248.83795560000036</v>
      </c>
      <c r="EL96" s="13">
        <f t="shared" si="99"/>
        <v>60.337039101244834</v>
      </c>
      <c r="EM96" s="20">
        <f t="shared" si="73"/>
        <v>538.47978243800196</v>
      </c>
      <c r="EN96" s="59">
        <f t="shared" si="74"/>
        <v>831.81311577133533</v>
      </c>
      <c r="EO96" s="59">
        <f ca="1">AVERAGE(OFFSET($EN$3,0,0,'Données projet'!$E$15+1,1))-AVERAGE(OFFSET($H$3,0,0,'Données projet'!$E$15+1,1))</f>
        <v>482.99915419700773</v>
      </c>
      <c r="EP96" s="59">
        <f t="shared" si="100"/>
        <v>219.74157899604279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16.849472429833284</v>
      </c>
      <c r="EW96" s="21">
        <f>EXP(-LN(2)/25)*EW95+(1-EXP(-LN(2)/25))/(LN(2)/25)*Calculateur!ER96*Calculateur!ET96*VLOOKUP('Données projet'!$B$15,Paramètres!$A$1:$I$89,3,0)*0.475*44/12</f>
        <v>21.059770042901018</v>
      </c>
      <c r="EX96" s="21">
        <f>EXP(-LN(2)/2)*EX95+(1-EXP(-LN(2)/2))/(LN(2)/2)*ER96*EU96*VLOOKUP('Données projet'!$B$15,Paramètres!$A$1:$I$89,3,0)*0.475*44/12</f>
        <v>0.19135573777487158</v>
      </c>
      <c r="EY96" s="22">
        <f t="shared" si="75"/>
        <v>38.100598210509176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9.1730000000000018</v>
      </c>
      <c r="FE96" s="12">
        <f>IF('Données projet'!$A$218&gt;35,FE95+FD96-FM95,IF(A96&lt;'Données projet'!$A$218,$FB$205^A96,IF(A96='Données projet'!$A$218,'Données projet'!$B$218,FE95+FD96-FM95)))</f>
        <v>370.95700000000051</v>
      </c>
      <c r="FF96" s="17">
        <f>FE96*VLOOKUP('Données projet'!$B$16,Paramètres!$A$1:$I$89,3,0)*VLOOKUP('Données projet'!$B$16,Paramètres!$A$1:$I$89,5,0)</f>
        <v>353.0026812000005</v>
      </c>
      <c r="FG96" s="13">
        <f t="shared" si="101"/>
        <v>82.180486751981036</v>
      </c>
      <c r="FH96" s="20">
        <f t="shared" si="76"/>
        <v>757.94401751636781</v>
      </c>
      <c r="FI96" s="59">
        <f t="shared" si="77"/>
        <v>1051.2773508497012</v>
      </c>
      <c r="FJ96" s="59">
        <f ca="1">AVERAGE(OFFSET($FI$3,0,0,'Données projet'!$E$16+1,1))-AVERAGE(OFFSET($H$3,0,0,'Données projet'!$E$16+1,1))</f>
        <v>666.1523645983184</v>
      </c>
      <c r="FK96" s="59">
        <f t="shared" si="102"/>
        <v>294.13851344047526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19.39278902301567</v>
      </c>
      <c r="FR96" s="21">
        <f>EXP(-LN(2)/25)*FR95+(1-EXP(-LN(2)/25))/(LN(2)/25)*Calculateur!FM96*Calculateur!FO96*VLOOKUP('Données projet'!$B$16,Paramètres!$A$1:$I$89,3,0)*0.475*44/12</f>
        <v>24.238603256923813</v>
      </c>
      <c r="FS96" s="21">
        <f>EXP(-LN(2)/2)*FS95+(1-EXP(-LN(2)/2))/(LN(2)/2)*FM96*FP96*VLOOKUP('Données projet'!$B$16,Paramètres!$A$1:$I$89,3,0)*0.475*44/12</f>
        <v>0.27145813963412024</v>
      </c>
      <c r="FT96" s="22">
        <f t="shared" si="78"/>
        <v>43.902850419573603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328.55631138162721</v>
      </c>
      <c r="T97" s="59">
        <f t="shared" si="88"/>
        <v>321.81422611044985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29.455200987441255</v>
      </c>
      <c r="AA97" s="21">
        <f>EXP(-LN(2)/25)*AA96+(1-EXP(-LN(2)/25))/(LN(2)/25)*Calculateur!V97*Calculateur!X97*VLOOKUP('Données projet'!$B$9,Paramètres!$A$1:$I$89,3,0)*0.475*44/12</f>
        <v>26.029260173280999</v>
      </c>
      <c r="AB97" s="21">
        <f>EXP(-LN(2)/2)*AB96+(1-EXP(-LN(2)/2))/(LN(2)/2)*V97*Y97*VLOOKUP('Données projet'!$B$9,Paramètres!$A$1:$I$89,3,0)*0.475*44/12</f>
        <v>0.44941821332825582</v>
      </c>
      <c r="AC97" s="22">
        <f t="shared" si="57"/>
        <v>55.933879374050512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353.37479213497227</v>
      </c>
      <c r="AO97" s="59">
        <f t="shared" si="90"/>
        <v>345.4750813433123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39.395056046043429</v>
      </c>
      <c r="AV97" s="21">
        <f>EXP(-LN(2)/25)*AV96+(1-EXP(-LN(2)/25))/(LN(2)/25)*Calculateur!AQ97*Calculateur!AS97*VLOOKUP('Données projet'!$B$10,Paramètres!$A$1:$I$89,3,0)*0.475*44/12</f>
        <v>34.813008534576241</v>
      </c>
      <c r="AW97" s="21">
        <f>EXP(-LN(2)/2)*AW96+(1-EXP(-LN(2)/2))/(LN(2)/2)*AQ97*AT97*VLOOKUP('Données projet'!$B$10,Paramètres!$A$1:$I$89,3,0)*0.475*44/12</f>
        <v>0.48766657190938395</v>
      </c>
      <c r="AX97" s="21">
        <f t="shared" si="60"/>
        <v>74.695731152529049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359.57284550600366</v>
      </c>
      <c r="BJ97" s="59">
        <f t="shared" si="92"/>
        <v>351.38386928091433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40.167508125377609</v>
      </c>
      <c r="BQ97" s="21">
        <f>EXP(-LN(2)/25)*BQ96+(1-EXP(-LN(2)/25))/(LN(2)/25)*Calculateur!BL97*Calculateur!BN97*VLOOKUP('Données projet'!$B$11,Paramètres!$A$1:$I$89,3,0)*0.475*44/12</f>
        <v>35.495616545058127</v>
      </c>
      <c r="BR97" s="21">
        <f>EXP(-LN(2)/2)*BR96+(1-EXP(-LN(2)/2))/(LN(2)/2)*BL97*BO97*VLOOKUP('Données projet'!$B$11,Paramètres!$A$1:$I$89,3,0)*0.475*44/12</f>
        <v>0.49722866155466605</v>
      </c>
      <c r="BS97" s="22">
        <f t="shared" si="63"/>
        <v>76.160353331990407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-8.5265128291212022E-14</v>
      </c>
      <c r="BZ97" s="13">
        <f>BY97*VLOOKUP('Données projet'!$B$12,Paramètres!$A$1:$I$89,3,0)*VLOOKUP('Données projet'!$B$12,Paramètres!$A$1:$I$89,5,0)</f>
        <v>-6.9167072069831198E-14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159.4660488566085</v>
      </c>
      <c r="CE97" s="59">
        <f t="shared" si="94"/>
        <v>135.33030558297088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14.480906894203486</v>
      </c>
      <c r="CM97" s="21">
        <f>EXP(-LN(2)/2)*CM96+(1-EXP(-LN(2)/2))/(LN(2)/2)*CG97*CJ97*VLOOKUP('Données projet'!$B$12,Paramètres!$A$1:$I$89,3,0)*0.475*44/12</f>
        <v>6.2612666058076734</v>
      </c>
      <c r="CN97" s="22">
        <f t="shared" si="66"/>
        <v>20.742173500011159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353.37479213497227</v>
      </c>
      <c r="CZ97" s="59">
        <f t="shared" si="96"/>
        <v>345.4750813433123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39.395056046043429</v>
      </c>
      <c r="DG97" s="21">
        <f>EXP(-LN(2)/25)*DG96+(1-EXP(-LN(2)/25))/(LN(2)/25)*Calculateur!DB97*Calculateur!DD97*VLOOKUP('Données projet'!$B$13,Paramètres!$A$1:$I$89,3,0)*0.475*44/12</f>
        <v>34.813008534576241</v>
      </c>
      <c r="DH97" s="21">
        <f>EXP(-LN(2)/2)*DH96+(1-EXP(-LN(2)/2))/(LN(2)/2)*DB97*DE97*VLOOKUP('Données projet'!$B$13,Paramètres!$A$1:$I$89,3,0)*0.475*44/12</f>
        <v>0.48766657190938395</v>
      </c>
      <c r="DI97" s="22">
        <f t="shared" si="69"/>
        <v>74.695731152529049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>
        <f>VLOOKUP(A97,'Données projet'!$A$165:$I$185,2,0)</f>
        <v>380.13</v>
      </c>
      <c r="DM97" s="12">
        <f>VLOOKUP(A97,'Données projet'!$A$165:$I$185,9,0)</f>
        <v>9.1730000000000018</v>
      </c>
      <c r="DN97" s="12">
        <f t="array" ref="DN97">INDEX(DM:DM,MIN(IF(ISNUMBER(DM97:DM293),ROW(DM97:DM293),"")))</f>
        <v>9.1730000000000018</v>
      </c>
      <c r="DO97" s="12">
        <f>IF('Données projet'!$A$166&gt;35,DO96+DN97-DW96,IF(A97&lt;'Données projet'!$A$166,$DL$205^A97,IF(A97='Données projet'!$A$166,'Données projet'!$B$166,DO96+DN97-DW96)))</f>
        <v>380.13000000000051</v>
      </c>
      <c r="DP97" s="17">
        <f>DO97*VLOOKUP('Données projet'!$B$14,Paramètres!$A$1:$I$89,3,0)*VLOOKUP('Données projet'!$B$14,Paramètres!$A$1:$I$89,5,0)</f>
        <v>343.94162400000044</v>
      </c>
      <c r="DQ97" s="13">
        <f t="shared" si="97"/>
        <v>80.313763789484966</v>
      </c>
      <c r="DR97" s="20">
        <f t="shared" si="70"/>
        <v>738.91146706668712</v>
      </c>
      <c r="DS97" s="59">
        <f t="shared" si="71"/>
        <v>1032.2448004000205</v>
      </c>
      <c r="DT97" s="59">
        <f ca="1">AVERAGE(OFFSET($DS$3,0,0,'Données projet'!$E$14+1,1))-AVERAGE(OFFSET($H$3,0,0,'Données projet'!$E$14+1,1))</f>
        <v>635.71275911100679</v>
      </c>
      <c r="DU97" s="59">
        <f t="shared" si="98"/>
        <v>281.7776857269169</v>
      </c>
      <c r="DV97" s="15">
        <f>IF(ISNA(VLOOKUP(A97,'Données projet'!$A$165:$I$185,3,0)),0,VLOOKUP(A97,'Données projet'!$A$165:$I$185,3,0))</f>
        <v>7</v>
      </c>
      <c r="DW97" s="15">
        <f>IF(ISNA(VLOOKUP(A97,'Données projet'!$A$165:$I$185,4,0)),0,VLOOKUP(A97,'Données projet'!$A$165:$I$185,4,0))</f>
        <v>67.350000000000023</v>
      </c>
      <c r="DX97" s="16">
        <f>IF(ISNA(VLOOKUP(A97,'Données projet'!$A$165:$I$185,5,0)),0%,VLOOKUP(A97,'Données projet'!$A$165:$I$185,5,0)*VLOOKUP('Données projet'!$B$14,Paramètres!$A$1:$I$89,7,0))</f>
        <v>0.15049999999999999</v>
      </c>
      <c r="DY97" s="16">
        <f>IF(ISNA(VLOOKUP(A97,'Données projet'!$A$165:$I$185,6,0)),0%,VLOOKUP(A97,'Données projet'!$A$165:$I$185,6,0)*VLOOKUP('Données projet'!$B$14,Paramètres!$A$1:$I$89,7,0))</f>
        <v>8.6000000000000007E-2</v>
      </c>
      <c r="DZ97" s="16">
        <f>IF(ISNA(VLOOKUP(A97,'Données projet'!$A$165:$I$185,7,0)),0%,VLOOKUP(A97,'Données projet'!$A$165:$I$185,7,0))</f>
        <v>0.1</v>
      </c>
      <c r="EA97" s="21">
        <f>EXP(-LN(2)/35)*EA96+(1-EXP(-LN(2)/35))/(LN(2)/35)*DW97*DX97*VLOOKUP('Données projet'!$B$14,Paramètres!$A$1:$I$89,3,0)*0.475*44/12</f>
        <v>28.215969128647792</v>
      </c>
      <c r="EB97" s="21">
        <f>EXP(-LN(2)/25)*EB96+(1-EXP(-LN(2)/25))/(LN(2)/25)*Calculateur!DW97*Calculateur!DY97*VLOOKUP('Données projet'!$B$14,Paramètres!$A$1:$I$89,3,0)*0.475*44/12</f>
        <v>28.18695085333249</v>
      </c>
      <c r="EC97" s="21">
        <f>EXP(-LN(2)/2)*EC96+(1-EXP(-LN(2)/2))/(LN(2)/2)*DW97*DZ97*VLOOKUP('Données projet'!$B$14,Paramètres!$A$1:$I$89,3,0)*0.475*44/12</f>
        <v>5.9322004637288286</v>
      </c>
      <c r="ED97" s="22">
        <f t="shared" si="72"/>
        <v>62.335120445709109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>
        <f>VLOOKUP(A97,'Données projet'!$A$191:$I$211,2,0)</f>
        <v>380.13</v>
      </c>
      <c r="EH97" s="12">
        <f>VLOOKUP(A97,'Données projet'!$A$191:$I$211,9,0)</f>
        <v>9.1730000000000018</v>
      </c>
      <c r="EI97" s="12">
        <f t="array" ref="EI97">INDEX(EH:EH,MIN(IF(ISNUMBER(EH97:EH293),ROW(EH97:EH293),"")))</f>
        <v>9.1730000000000018</v>
      </c>
      <c r="EJ97" s="12">
        <f>IF('Données projet'!$A$192&gt;35,EJ96+EI97-ER96,IF(A97&lt;'Données projet'!$A$192,$EG$205^A97,IF(A97='Données projet'!$A$192,'Données projet'!$B$192,EJ96+EI97-ER96)))</f>
        <v>380.13000000000051</v>
      </c>
      <c r="EK97" s="17">
        <f>EJ97*VLOOKUP('Données projet'!$B$15,Paramètres!$A$1:$I$89,3,0)*VLOOKUP('Données projet'!$B$15,Paramètres!$A$1:$I$89,5,0)</f>
        <v>254.99120400000035</v>
      </c>
      <c r="EL97" s="13">
        <f t="shared" si="99"/>
        <v>61.653499314074082</v>
      </c>
      <c r="EM97" s="20">
        <f t="shared" si="73"/>
        <v>551.48952493867966</v>
      </c>
      <c r="EN97" s="59">
        <f t="shared" si="74"/>
        <v>844.82285827201304</v>
      </c>
      <c r="EO97" s="59">
        <f ca="1">AVERAGE(OFFSET($EN$3,0,0,'Données projet'!$E$15+1,1))-AVERAGE(OFFSET($H$3,0,0,'Données projet'!$E$15+1,1))</f>
        <v>482.99915419700773</v>
      </c>
      <c r="EP97" s="59">
        <f t="shared" si="100"/>
        <v>219.74157899604279</v>
      </c>
      <c r="EQ97" s="15">
        <f>IF(ISNA(VLOOKUP(A97,'Données projet'!$A$191:$I$211,3,0)),0,VLOOKUP(A97,'Données projet'!$A$191:$I$211,3,0))</f>
        <v>7</v>
      </c>
      <c r="ER97" s="15">
        <f>IF(ISNA(VLOOKUP(A97,'Données projet'!$A$191:$I$211,4,0)),0,VLOOKUP(A97,'Données projet'!$A$191:$I$211,4,0))</f>
        <v>67.350000000000023</v>
      </c>
      <c r="ES97" s="16">
        <f>IF(ISNA(VLOOKUP(A97,'Données projet'!$A$191:$I$211,5,0)),0%,VLOOKUP(A97,'Données projet'!$A$191:$I$211,5,0)*VLOOKUP('Données projet'!$B$15,Paramètres!$A$1:$I$89,7,0))</f>
        <v>0.1855</v>
      </c>
      <c r="ET97" s="16">
        <f>IF(ISNA(VLOOKUP(A97,'Données projet'!$A$191:$I$211,6,0)),0%,VLOOKUP(A97,'Données projet'!$A$191:$I$211,6,0)*VLOOKUP('Données projet'!$B$15,Paramètres!$A$1:$I$89,7,0))</f>
        <v>0.10600000000000001</v>
      </c>
      <c r="EU97" s="16">
        <f>IF(ISNA(VLOOKUP(A97,'Données projet'!$A$191:$I$211,7,0)),0%,VLOOKUP(A97,'Données projet'!$A$191:$I$211,7,0))</f>
        <v>0.1</v>
      </c>
      <c r="EV97" s="21">
        <f>EXP(-LN(2)/35)*EV96+(1-EXP(-LN(2)/35))/(LN(2)/35)*ER97*ES97*VLOOKUP('Données projet'!$B$15,Paramètres!$A$1:$I$89,3,0)*0.475*44/12</f>
        <v>25.783557996867806</v>
      </c>
      <c r="EW97" s="21">
        <f>EXP(-LN(2)/25)*EW96+(1-EXP(-LN(2)/25))/(LN(2)/25)*Calculateur!ER97*Calculateur!ET97*VLOOKUP('Données projet'!$B$15,Paramètres!$A$1:$I$89,3,0)*0.475*44/12</f>
        <v>25.757041297010723</v>
      </c>
      <c r="EX97" s="21">
        <f>EXP(-LN(2)/2)*EX96+(1-EXP(-LN(2)/2))/(LN(2)/2)*ER97*EU97*VLOOKUP('Données projet'!$B$15,Paramètres!$A$1:$I$89,3,0)*0.475*44/12</f>
        <v>4.3980106886265462</v>
      </c>
      <c r="EY97" s="22">
        <f t="shared" si="75"/>
        <v>55.938609982505078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>
        <f>VLOOKUP(A97,'Données projet'!$A$217:$I$237,2,0)</f>
        <v>380.13</v>
      </c>
      <c r="FC97" s="12">
        <f>VLOOKUP(A97,'Données projet'!$A$217:$I$237,9,0)</f>
        <v>9.1730000000000018</v>
      </c>
      <c r="FD97" s="12">
        <f t="array" ref="FD97">INDEX(FC:FC,MIN(IF(ISNUMBER(FC97:FC293),ROW(FC97:FC293),"")))</f>
        <v>9.1730000000000018</v>
      </c>
      <c r="FE97" s="12">
        <f>IF('Données projet'!$A$218&gt;35,FE96+FD97-FM96,IF(A97&lt;'Données projet'!$A$218,$FB$205^A97,IF(A97='Données projet'!$A$218,'Données projet'!$B$218,FE96+FD97-FM96)))</f>
        <v>380.13000000000051</v>
      </c>
      <c r="FF97" s="17">
        <f>FE97*VLOOKUP('Données projet'!$B$16,Paramètres!$A$1:$I$89,3,0)*VLOOKUP('Données projet'!$B$16,Paramètres!$A$1:$I$89,5,0)</f>
        <v>361.73170800000048</v>
      </c>
      <c r="FG97" s="13">
        <f t="shared" si="101"/>
        <v>83.973536969416998</v>
      </c>
      <c r="FH97" s="20">
        <f t="shared" si="76"/>
        <v>776.26996832173552</v>
      </c>
      <c r="FI97" s="59">
        <f t="shared" si="77"/>
        <v>1069.6033016550689</v>
      </c>
      <c r="FJ97" s="59">
        <f ca="1">AVERAGE(OFFSET($FI$3,0,0,'Données projet'!$E$16+1,1))-AVERAGE(OFFSET($H$3,0,0,'Données projet'!$E$16+1,1))</f>
        <v>666.1523645983184</v>
      </c>
      <c r="FK97" s="59">
        <f t="shared" si="102"/>
        <v>294.13851344047526</v>
      </c>
      <c r="FL97" s="15">
        <f>IF(ISNA(VLOOKUP(A97,'Données projet'!$A$217:$I$237,3,0)),0,VLOOKUP(A97,'Données projet'!$A$217:$I$237,3,0))</f>
        <v>7</v>
      </c>
      <c r="FM97" s="15">
        <f>IF(ISNA(VLOOKUP(A97,'Données projet'!$A$217:$I$237,4,0)),0,VLOOKUP(A97,'Données projet'!$A$217:$I$237,4,0))</f>
        <v>67.350000000000023</v>
      </c>
      <c r="FN97" s="16">
        <f>IF(ISNA(VLOOKUP(A97,'Données projet'!$A$217:$I$237,5,0)),0%,VLOOKUP(A97,'Données projet'!$A$217:$I$237,5,0)*VLOOKUP('Données projet'!$B$16,Paramètres!$A$1:$I$89,7,0))</f>
        <v>0.15049999999999999</v>
      </c>
      <c r="FO97" s="16">
        <f>IF(ISNA(VLOOKUP(A97,'Données projet'!$A$217:$I$237,6,0)),0%,VLOOKUP(A97,'Données projet'!$A$217:$I$237,6,0)*VLOOKUP('Données projet'!$B$16,Paramètres!$A$1:$I$89,7,0))</f>
        <v>8.6000000000000007E-2</v>
      </c>
      <c r="FP97" s="16">
        <f>IF(ISNA(VLOOKUP(A97,'Données projet'!$A$217:$I$237,7,0)),0%,VLOOKUP(A97,'Données projet'!$A$217:$I$237,7,0))</f>
        <v>0.1</v>
      </c>
      <c r="FQ97" s="21">
        <f>EXP(-LN(2)/35)*FQ96+(1-EXP(-LN(2)/35))/(LN(2)/35)*FM97*FN97*VLOOKUP('Données projet'!$B$16,Paramètres!$A$1:$I$89,3,0)*0.475*44/12</f>
        <v>29.67541580771578</v>
      </c>
      <c r="FR97" s="21">
        <f>EXP(-LN(2)/25)*FR96+(1-EXP(-LN(2)/25))/(LN(2)/25)*Calculateur!FM97*Calculateur!FO97*VLOOKUP('Données projet'!$B$16,Paramètres!$A$1:$I$89,3,0)*0.475*44/12</f>
        <v>29.644896587125547</v>
      </c>
      <c r="FS97" s="21">
        <f>EXP(-LN(2)/2)*FS96+(1-EXP(-LN(2)/2))/(LN(2)/2)*FM97*FP97*VLOOKUP('Données projet'!$B$16,Paramètres!$A$1:$I$89,3,0)*0.475*44/12</f>
        <v>6.2390384187492867</v>
      </c>
      <c r="FT97" s="22">
        <f t="shared" si="78"/>
        <v>65.559350813590612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328.55631138162721</v>
      </c>
      <c r="T98" s="59">
        <f t="shared" si="88"/>
        <v>321.81422611044985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28.877602461976149</v>
      </c>
      <c r="AA98" s="21">
        <f>EXP(-LN(2)/25)*AA97+(1-EXP(-LN(2)/25))/(LN(2)/25)*Calculateur!V98*Calculateur!X98*VLOOKUP('Données projet'!$B$9,Paramètres!$A$1:$I$89,3,0)*0.475*44/12</f>
        <v>25.317488685023328</v>
      </c>
      <c r="AB98" s="21">
        <f>EXP(-LN(2)/2)*AB97+(1-EXP(-LN(2)/2))/(LN(2)/2)*V98*Y98*VLOOKUP('Données projet'!$B$9,Paramètres!$A$1:$I$89,3,0)*0.475*44/12</f>
        <v>0.31778666623315216</v>
      </c>
      <c r="AC98" s="22">
        <f t="shared" si="57"/>
        <v>54.512877813232627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353.37479213497227</v>
      </c>
      <c r="AO98" s="59">
        <f t="shared" si="90"/>
        <v>345.4750813433123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38.62254302559208</v>
      </c>
      <c r="AV98" s="21">
        <f>EXP(-LN(2)/25)*AV97+(1-EXP(-LN(2)/25))/(LN(2)/25)*Calculateur!AQ98*Calculateur!AS98*VLOOKUP('Données projet'!$B$10,Paramètres!$A$1:$I$89,3,0)*0.475*44/12</f>
        <v>33.861044985461703</v>
      </c>
      <c r="AW98" s="21">
        <f>EXP(-LN(2)/2)*AW97+(1-EXP(-LN(2)/2))/(LN(2)/2)*AQ98*AT98*VLOOKUP('Données projet'!$B$10,Paramètres!$A$1:$I$89,3,0)*0.475*44/12</f>
        <v>0.34483233995512252</v>
      </c>
      <c r="AX98" s="21">
        <f t="shared" si="60"/>
        <v>72.828420351008901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359.57284550600366</v>
      </c>
      <c r="BJ98" s="59">
        <f t="shared" si="92"/>
        <v>351.38386928091433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39.379847790799758</v>
      </c>
      <c r="BQ98" s="21">
        <f>EXP(-LN(2)/25)*BQ97+(1-EXP(-LN(2)/25))/(LN(2)/25)*Calculateur!BL98*Calculateur!BN98*VLOOKUP('Données projet'!$B$11,Paramètres!$A$1:$I$89,3,0)*0.475*44/12</f>
        <v>34.524987044000163</v>
      </c>
      <c r="BR98" s="21">
        <f>EXP(-LN(2)/2)*BR97+(1-EXP(-LN(2)/2))/(LN(2)/2)*BL98*BO98*VLOOKUP('Données projet'!$B$11,Paramètres!$A$1:$I$89,3,0)*0.475*44/12</f>
        <v>0.35159375838561518</v>
      </c>
      <c r="BS98" s="22">
        <f t="shared" si="63"/>
        <v>74.256428593185532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-8.5265128291212022E-14</v>
      </c>
      <c r="BZ98" s="13">
        <f>BY98*VLOOKUP('Données projet'!$B$12,Paramètres!$A$1:$I$89,3,0)*VLOOKUP('Données projet'!$B$12,Paramètres!$A$1:$I$89,5,0)</f>
        <v>-6.9167072069831198E-14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159.4660488566085</v>
      </c>
      <c r="CE98" s="59">
        <f t="shared" si="94"/>
        <v>135.33030558297088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14.084925733663693</v>
      </c>
      <c r="CM98" s="21">
        <f>EXP(-LN(2)/2)*CM97+(1-EXP(-LN(2)/2))/(LN(2)/2)*CG98*CJ98*VLOOKUP('Données projet'!$B$12,Paramètres!$A$1:$I$89,3,0)*0.475*44/12</f>
        <v>4.4273840757834835</v>
      </c>
      <c r="CN98" s="22">
        <f t="shared" si="66"/>
        <v>18.512309809447178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353.37479213497227</v>
      </c>
      <c r="CZ98" s="59">
        <f t="shared" si="96"/>
        <v>345.4750813433123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38.62254302559208</v>
      </c>
      <c r="DG98" s="21">
        <f>EXP(-LN(2)/25)*DG97+(1-EXP(-LN(2)/25))/(LN(2)/25)*Calculateur!DB98*Calculateur!DD98*VLOOKUP('Données projet'!$B$13,Paramètres!$A$1:$I$89,3,0)*0.475*44/12</f>
        <v>33.861044985461703</v>
      </c>
      <c r="DH98" s="21">
        <f>EXP(-LN(2)/2)*DH97+(1-EXP(-LN(2)/2))/(LN(2)/2)*DB98*DE98*VLOOKUP('Données projet'!$B$13,Paramètres!$A$1:$I$89,3,0)*0.475*44/12</f>
        <v>0.34483233995512252</v>
      </c>
      <c r="DI98" s="22">
        <f t="shared" si="69"/>
        <v>72.828420351008901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8.9420000000000019</v>
      </c>
      <c r="DO98" s="12">
        <f>IF('Données projet'!$A$166&gt;35,DO97+DN98-DW97,IF(A98&lt;'Données projet'!$A$166,$DL$205^A98,IF(A98='Données projet'!$A$166,'Données projet'!$B$166,DO97+DN98-DW97)))</f>
        <v>321.72200000000049</v>
      </c>
      <c r="DP98" s="17">
        <f>DO98*VLOOKUP('Données projet'!$B$14,Paramètres!$A$1:$I$89,3,0)*VLOOKUP('Données projet'!$B$14,Paramètres!$A$1:$I$89,5,0)</f>
        <v>291.09406560000048</v>
      </c>
      <c r="DQ98" s="13">
        <f t="shared" si="97"/>
        <v>69.306175582041092</v>
      </c>
      <c r="DR98" s="20">
        <f t="shared" si="70"/>
        <v>627.697086725389</v>
      </c>
      <c r="DS98" s="59">
        <f t="shared" si="71"/>
        <v>921.03042005872226</v>
      </c>
      <c r="DT98" s="59">
        <f ca="1">AVERAGE(OFFSET($DS$3,0,0,'Données projet'!$E$14+1,1))-AVERAGE(OFFSET($H$3,0,0,'Données projet'!$E$14+1,1))</f>
        <v>635.71275911100679</v>
      </c>
      <c r="DU98" s="59">
        <f t="shared" si="98"/>
        <v>281.7776857269169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27.662671184076828</v>
      </c>
      <c r="EB98" s="21">
        <f>EXP(-LN(2)/25)*EB97+(1-EXP(-LN(2)/25))/(LN(2)/25)*Calculateur!DW98*Calculateur!DY98*VLOOKUP('Données projet'!$B$14,Paramètres!$A$1:$I$89,3,0)*0.475*44/12</f>
        <v>27.416177199960789</v>
      </c>
      <c r="EC98" s="21">
        <f>EXP(-LN(2)/2)*EC97+(1-EXP(-LN(2)/2))/(LN(2)/2)*DW98*DZ98*VLOOKUP('Données projet'!$B$14,Paramètres!$A$1:$I$89,3,0)*0.475*44/12</f>
        <v>4.1946991752606371</v>
      </c>
      <c r="ED98" s="22">
        <f t="shared" si="72"/>
        <v>59.273547559298251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8.9420000000000019</v>
      </c>
      <c r="EJ98" s="12">
        <f>IF('Données projet'!$A$192&gt;35,EJ97+EI98-ER97,IF(A98&lt;'Données projet'!$A$192,$EG$205^A98,IF(A98='Données projet'!$A$192,'Données projet'!$B$192,EJ97+EI98-ER97)))</f>
        <v>321.72200000000049</v>
      </c>
      <c r="EK98" s="17">
        <f>EJ98*VLOOKUP('Données projet'!$B$15,Paramètres!$A$1:$I$89,3,0)*VLOOKUP('Données projet'!$B$15,Paramètres!$A$1:$I$89,5,0)</f>
        <v>215.81111760000033</v>
      </c>
      <c r="EL98" s="13">
        <f t="shared" si="99"/>
        <v>53.203436709909298</v>
      </c>
      <c r="EM98" s="20">
        <f t="shared" si="73"/>
        <v>468.53368208975917</v>
      </c>
      <c r="EN98" s="59">
        <f t="shared" si="74"/>
        <v>761.86701542309243</v>
      </c>
      <c r="EO98" s="59">
        <f ca="1">AVERAGE(OFFSET($EN$3,0,0,'Données projet'!$E$15+1,1))-AVERAGE(OFFSET($H$3,0,0,'Données projet'!$E$15+1,1))</f>
        <v>482.99915419700773</v>
      </c>
      <c r="EP98" s="59">
        <f t="shared" si="100"/>
        <v>219.74157899604279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25.27795815096675</v>
      </c>
      <c r="EW98" s="21">
        <f>EXP(-LN(2)/25)*EW97+(1-EXP(-LN(2)/25))/(LN(2)/25)*Calculateur!ER98*Calculateur!ET98*VLOOKUP('Données projet'!$B$15,Paramètres!$A$1:$I$89,3,0)*0.475*44/12</f>
        <v>25.052713648240033</v>
      </c>
      <c r="EX98" s="21">
        <f>EXP(-LN(2)/2)*EX97+(1-EXP(-LN(2)/2))/(LN(2)/2)*ER98*EU98*VLOOKUP('Données projet'!$B$15,Paramètres!$A$1:$I$89,3,0)*0.475*44/12</f>
        <v>3.1098631816587488</v>
      </c>
      <c r="EY98" s="22">
        <f t="shared" si="75"/>
        <v>53.440534980865529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8.9420000000000019</v>
      </c>
      <c r="FE98" s="12">
        <f>IF('Données projet'!$A$218&gt;35,FE97+FD98-FM97,IF(A98&lt;'Données projet'!$A$218,$FB$205^A98,IF(A98='Données projet'!$A$218,'Données projet'!$B$218,FE97+FD98-FM97)))</f>
        <v>321.72200000000049</v>
      </c>
      <c r="FF98" s="17">
        <f>FE98*VLOOKUP('Données projet'!$B$16,Paramètres!$A$1:$I$89,3,0)*VLOOKUP('Données projet'!$B$16,Paramètres!$A$1:$I$89,5,0)</f>
        <v>306.15065520000047</v>
      </c>
      <c r="FG98" s="13">
        <f t="shared" si="101"/>
        <v>72.464350104451199</v>
      </c>
      <c r="FH98" s="20">
        <f t="shared" si="76"/>
        <v>659.42113423858666</v>
      </c>
      <c r="FI98" s="59">
        <f t="shared" si="77"/>
        <v>952.75446757192003</v>
      </c>
      <c r="FJ98" s="59">
        <f ca="1">AVERAGE(OFFSET($FI$3,0,0,'Données projet'!$E$16+1,1))-AVERAGE(OFFSET($H$3,0,0,'Données projet'!$E$16+1,1))</f>
        <v>666.1523645983184</v>
      </c>
      <c r="FK98" s="59">
        <f t="shared" si="102"/>
        <v>294.13851344047526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29.093499003942867</v>
      </c>
      <c r="FR98" s="21">
        <f>EXP(-LN(2)/25)*FR97+(1-EXP(-LN(2)/25))/(LN(2)/25)*Calculateur!FM98*Calculateur!FO98*VLOOKUP('Données projet'!$B$16,Paramètres!$A$1:$I$89,3,0)*0.475*44/12</f>
        <v>28.834255330993241</v>
      </c>
      <c r="FS98" s="21">
        <f>EXP(-LN(2)/2)*FS97+(1-EXP(-LN(2)/2))/(LN(2)/2)*FM98*FP98*VLOOKUP('Données projet'!$B$16,Paramètres!$A$1:$I$89,3,0)*0.475*44/12</f>
        <v>4.4116663739810154</v>
      </c>
      <c r="FT98" s="22">
        <f t="shared" si="78"/>
        <v>62.339420708917125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328.55631138162721</v>
      </c>
      <c r="T99" s="59">
        <f t="shared" si="88"/>
        <v>321.81422611044985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28.3113302912951</v>
      </c>
      <c r="AA99" s="21">
        <f>EXP(-LN(2)/25)*AA98+(1-EXP(-LN(2)/25))/(LN(2)/25)*Calculateur!V99*Calculateur!X99*VLOOKUP('Données projet'!$B$9,Paramètres!$A$1:$I$89,3,0)*0.475*44/12</f>
        <v>24.625180625542498</v>
      </c>
      <c r="AB99" s="21">
        <f>EXP(-LN(2)/2)*AB98+(1-EXP(-LN(2)/2))/(LN(2)/2)*V99*Y99*VLOOKUP('Données projet'!$B$9,Paramètres!$A$1:$I$89,3,0)*0.475*44/12</f>
        <v>0.22470910666412794</v>
      </c>
      <c r="AC99" s="22">
        <f t="shared" si="57"/>
        <v>53.161220023501727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353.37479213497227</v>
      </c>
      <c r="AO99" s="59">
        <f t="shared" si="90"/>
        <v>345.4750813433123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37.865178514285361</v>
      </c>
      <c r="AV99" s="21">
        <f>EXP(-LN(2)/25)*AV98+(1-EXP(-LN(2)/25))/(LN(2)/25)*Calculateur!AQ99*Calculateur!AS99*VLOOKUP('Données projet'!$B$10,Paramètres!$A$1:$I$89,3,0)*0.475*44/12</f>
        <v>32.93511292965929</v>
      </c>
      <c r="AW99" s="21">
        <f>EXP(-LN(2)/2)*AW98+(1-EXP(-LN(2)/2))/(LN(2)/2)*AQ99*AT99*VLOOKUP('Données projet'!$B$10,Paramètres!$A$1:$I$89,3,0)*0.475*44/12</f>
        <v>0.243833285954692</v>
      </c>
      <c r="AX99" s="21">
        <f t="shared" si="60"/>
        <v>71.044124729899337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359.57284550600366</v>
      </c>
      <c r="BJ99" s="59">
        <f t="shared" si="92"/>
        <v>351.38386928091433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38.607632994957612</v>
      </c>
      <c r="BQ99" s="21">
        <f>EXP(-LN(2)/25)*BQ98+(1-EXP(-LN(2)/25))/(LN(2)/25)*Calculateur!BL99*Calculateur!BN99*VLOOKUP('Données projet'!$B$11,Paramètres!$A$1:$I$89,3,0)*0.475*44/12</f>
        <v>33.580899457691821</v>
      </c>
      <c r="BR99" s="21">
        <f>EXP(-LN(2)/2)*BR98+(1-EXP(-LN(2)/2))/(LN(2)/2)*BL99*BO99*VLOOKUP('Données projet'!$B$11,Paramètres!$A$1:$I$89,3,0)*0.475*44/12</f>
        <v>0.24861433077733308</v>
      </c>
      <c r="BS99" s="22">
        <f t="shared" si="63"/>
        <v>72.437146783426769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-8.5265128291212022E-14</v>
      </c>
      <c r="BZ99" s="13">
        <f>BY99*VLOOKUP('Données projet'!$B$12,Paramètres!$A$1:$I$89,3,0)*VLOOKUP('Données projet'!$B$12,Paramètres!$A$1:$I$89,5,0)</f>
        <v>-6.9167072069831198E-14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159.4660488566085</v>
      </c>
      <c r="CE99" s="59">
        <f t="shared" si="94"/>
        <v>135.33030558297088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13.699772698782606</v>
      </c>
      <c r="CM99" s="21">
        <f>EXP(-LN(2)/2)*CM98+(1-EXP(-LN(2)/2))/(LN(2)/2)*CG99*CJ99*VLOOKUP('Données projet'!$B$12,Paramètres!$A$1:$I$89,3,0)*0.475*44/12</f>
        <v>3.1306333029038367</v>
      </c>
      <c r="CN99" s="22">
        <f t="shared" si="66"/>
        <v>16.830406001686441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353.37479213497227</v>
      </c>
      <c r="CZ99" s="59">
        <f t="shared" si="96"/>
        <v>345.4750813433123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37.865178514285361</v>
      </c>
      <c r="DG99" s="21">
        <f>EXP(-LN(2)/25)*DG98+(1-EXP(-LN(2)/25))/(LN(2)/25)*Calculateur!DB99*Calculateur!DD99*VLOOKUP('Données projet'!$B$13,Paramètres!$A$1:$I$89,3,0)*0.475*44/12</f>
        <v>32.93511292965929</v>
      </c>
      <c r="DH99" s="21">
        <f>EXP(-LN(2)/2)*DH98+(1-EXP(-LN(2)/2))/(LN(2)/2)*DB99*DE99*VLOOKUP('Données projet'!$B$13,Paramètres!$A$1:$I$89,3,0)*0.475*44/12</f>
        <v>0.243833285954692</v>
      </c>
      <c r="DI99" s="22">
        <f t="shared" si="69"/>
        <v>71.044124729899337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8.9420000000000019</v>
      </c>
      <c r="DO99" s="12">
        <f>IF('Données projet'!$A$166&gt;35,DO98+DN99-DW98,IF(A99&lt;'Données projet'!$A$166,$DL$205^A99,IF(A99='Données projet'!$A$166,'Données projet'!$B$166,DO98+DN99-DW98)))</f>
        <v>330.6640000000005</v>
      </c>
      <c r="DP99" s="17">
        <f>DO99*VLOOKUP('Données projet'!$B$14,Paramètres!$A$1:$I$89,3,0)*VLOOKUP('Données projet'!$B$14,Paramètres!$A$1:$I$89,5,0)</f>
        <v>299.18478720000041</v>
      </c>
      <c r="DQ99" s="13">
        <f t="shared" si="97"/>
        <v>71.005536504727559</v>
      </c>
      <c r="DR99" s="20">
        <f t="shared" si="70"/>
        <v>644.74814711906788</v>
      </c>
      <c r="DS99" s="59">
        <f t="shared" si="71"/>
        <v>938.08148045240114</v>
      </c>
      <c r="DT99" s="59">
        <f ca="1">AVERAGE(OFFSET($DS$3,0,0,'Données projet'!$E$14+1,1))-AVERAGE(OFFSET($H$3,0,0,'Données projet'!$E$14+1,1))</f>
        <v>635.71275911100679</v>
      </c>
      <c r="DU99" s="59">
        <f t="shared" si="98"/>
        <v>281.7776857269169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27.120223074720478</v>
      </c>
      <c r="EB99" s="21">
        <f>EXP(-LN(2)/25)*EB98+(1-EXP(-LN(2)/25))/(LN(2)/25)*Calculateur!DW99*Calculateur!DY99*VLOOKUP('Données projet'!$B$14,Paramètres!$A$1:$I$89,3,0)*0.475*44/12</f>
        <v>26.666480392673762</v>
      </c>
      <c r="EC99" s="21">
        <f>EXP(-LN(2)/2)*EC98+(1-EXP(-LN(2)/2))/(LN(2)/2)*DW99*DZ99*VLOOKUP('Données projet'!$B$14,Paramètres!$A$1:$I$89,3,0)*0.475*44/12</f>
        <v>2.9661002318644147</v>
      </c>
      <c r="ED99" s="22">
        <f t="shared" si="72"/>
        <v>56.752803699258656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8.9420000000000019</v>
      </c>
      <c r="EJ99" s="12">
        <f>IF('Données projet'!$A$192&gt;35,EJ98+EI99-ER98,IF(A99&lt;'Données projet'!$A$192,$EG$205^A99,IF(A99='Données projet'!$A$192,'Données projet'!$B$192,EJ98+EI99-ER98)))</f>
        <v>330.6640000000005</v>
      </c>
      <c r="EK99" s="17">
        <f>EJ99*VLOOKUP('Données projet'!$B$15,Paramètres!$A$1:$I$89,3,0)*VLOOKUP('Données projet'!$B$15,Paramètres!$A$1:$I$89,5,0)</f>
        <v>221.80941120000037</v>
      </c>
      <c r="EL99" s="13">
        <f t="shared" si="99"/>
        <v>54.507964633116046</v>
      </c>
      <c r="EM99" s="20">
        <f t="shared" si="73"/>
        <v>481.25276290934448</v>
      </c>
      <c r="EN99" s="59">
        <f t="shared" si="74"/>
        <v>774.58609624267774</v>
      </c>
      <c r="EO99" s="59">
        <f ca="1">AVERAGE(OFFSET($EN$3,0,0,'Données projet'!$E$15+1,1))-AVERAGE(OFFSET($H$3,0,0,'Données projet'!$E$15+1,1))</f>
        <v>482.99915419700773</v>
      </c>
      <c r="EP99" s="59">
        <f t="shared" si="100"/>
        <v>219.74157899604279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24.782272809658359</v>
      </c>
      <c r="EW99" s="21">
        <f>EXP(-LN(2)/25)*EW98+(1-EXP(-LN(2)/25))/(LN(2)/25)*Calculateur!ER99*Calculateur!ET99*VLOOKUP('Données projet'!$B$15,Paramètres!$A$1:$I$89,3,0)*0.475*44/12</f>
        <v>24.367645876063957</v>
      </c>
      <c r="EX99" s="21">
        <f>EXP(-LN(2)/2)*EX98+(1-EXP(-LN(2)/2))/(LN(2)/2)*ER99*EU99*VLOOKUP('Données projet'!$B$15,Paramètres!$A$1:$I$89,3,0)*0.475*44/12</f>
        <v>2.1990053443132735</v>
      </c>
      <c r="EY99" s="22">
        <f t="shared" si="75"/>
        <v>51.348924030035583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8.9420000000000019</v>
      </c>
      <c r="FE99" s="12">
        <f>IF('Données projet'!$A$218&gt;35,FE98+FD99-FM98,IF(A99&lt;'Données projet'!$A$218,$FB$205^A99,IF(A99='Données projet'!$A$218,'Données projet'!$B$218,FE98+FD99-FM98)))</f>
        <v>330.6640000000005</v>
      </c>
      <c r="FF99" s="17">
        <f>FE99*VLOOKUP('Données projet'!$B$16,Paramètres!$A$1:$I$89,3,0)*VLOOKUP('Données projet'!$B$16,Paramètres!$A$1:$I$89,5,0)</f>
        <v>314.65986240000052</v>
      </c>
      <c r="FG99" s="13">
        <f t="shared" si="101"/>
        <v>74.241148258745596</v>
      </c>
      <c r="FH99" s="20">
        <f t="shared" si="76"/>
        <v>677.3359268973162</v>
      </c>
      <c r="FI99" s="59">
        <f t="shared" si="77"/>
        <v>970.66926023064957</v>
      </c>
      <c r="FJ99" s="59">
        <f ca="1">AVERAGE(OFFSET($FI$3,0,0,'Données projet'!$E$16+1,1))-AVERAGE(OFFSET($H$3,0,0,'Données projet'!$E$16+1,1))</f>
        <v>666.1523645983184</v>
      </c>
      <c r="FK99" s="59">
        <f t="shared" si="102"/>
        <v>294.13851344047526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28.522993233757738</v>
      </c>
      <c r="FR99" s="21">
        <f>EXP(-LN(2)/25)*FR98+(1-EXP(-LN(2)/25))/(LN(2)/25)*Calculateur!FM99*Calculateur!FO99*VLOOKUP('Données projet'!$B$16,Paramètres!$A$1:$I$89,3,0)*0.475*44/12</f>
        <v>28.045781102639644</v>
      </c>
      <c r="FS99" s="21">
        <f>EXP(-LN(2)/2)*FS98+(1-EXP(-LN(2)/2))/(LN(2)/2)*FM99*FP99*VLOOKUP('Données projet'!$B$16,Paramètres!$A$1:$I$89,3,0)*0.475*44/12</f>
        <v>3.1195192093746438</v>
      </c>
      <c r="FT99" s="22">
        <f t="shared" si="78"/>
        <v>59.688293545772027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328.55631138162721</v>
      </c>
      <c r="T100" s="59">
        <f t="shared" si="88"/>
        <v>321.81422611044985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27.756162372489186</v>
      </c>
      <c r="AA100" s="21">
        <f>EXP(-LN(2)/25)*AA99+(1-EXP(-LN(2)/25))/(LN(2)/25)*Calculateur!V100*Calculateur!X100*VLOOKUP('Données projet'!$B$9,Paramètres!$A$1:$I$89,3,0)*0.475*44/12</f>
        <v>23.95180376635507</v>
      </c>
      <c r="AB100" s="21">
        <f>EXP(-LN(2)/2)*AB99+(1-EXP(-LN(2)/2))/(LN(2)/2)*V100*Y100*VLOOKUP('Données projet'!$B$9,Paramètres!$A$1:$I$89,3,0)*0.475*44/12</f>
        <v>0.15889333311657608</v>
      </c>
      <c r="AC100" s="22">
        <f t="shared" si="57"/>
        <v>51.866859471960829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353.37479213497227</v>
      </c>
      <c r="AO100" s="59">
        <f t="shared" si="90"/>
        <v>345.4750813433123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37.122665459098627</v>
      </c>
      <c r="AV100" s="21">
        <f>EXP(-LN(2)/25)*AV99+(1-EXP(-LN(2)/25))/(LN(2)/25)*Calculateur!AQ100*Calculateur!AS100*VLOOKUP('Données projet'!$B$10,Paramètres!$A$1:$I$89,3,0)*0.475*44/12</f>
        <v>32.034500534615439</v>
      </c>
      <c r="AW100" s="21">
        <f>EXP(-LN(2)/2)*AW99+(1-EXP(-LN(2)/2))/(LN(2)/2)*AQ100*AT100*VLOOKUP('Données projet'!$B$10,Paramètres!$A$1:$I$89,3,0)*0.475*44/12</f>
        <v>0.17241616997756129</v>
      </c>
      <c r="AX100" s="21">
        <f t="shared" si="60"/>
        <v>69.32958216369164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359.57284550600366</v>
      </c>
      <c r="BJ100" s="59">
        <f t="shared" si="92"/>
        <v>351.38386928091433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37.850560860257417</v>
      </c>
      <c r="BQ100" s="21">
        <f>EXP(-LN(2)/25)*BQ99+(1-EXP(-LN(2)/25))/(LN(2)/25)*Calculateur!BL100*Calculateur!BN100*VLOOKUP('Données projet'!$B$11,Paramètres!$A$1:$I$89,3,0)*0.475*44/12</f>
        <v>32.662627996078484</v>
      </c>
      <c r="BR100" s="21">
        <f>EXP(-LN(2)/2)*BR99+(1-EXP(-LN(2)/2))/(LN(2)/2)*BL100*BO100*VLOOKUP('Données projet'!$B$11,Paramètres!$A$1:$I$89,3,0)*0.475*44/12</f>
        <v>0.17579687919280762</v>
      </c>
      <c r="BS100" s="22">
        <f t="shared" si="63"/>
        <v>70.688985735528703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-8.5265128291212022E-14</v>
      </c>
      <c r="BZ100" s="13">
        <f>BY100*VLOOKUP('Données projet'!$B$12,Paramètres!$A$1:$I$89,3,0)*VLOOKUP('Données projet'!$B$12,Paramètres!$A$1:$I$89,5,0)</f>
        <v>-6.9167072069831198E-14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159.4660488566085</v>
      </c>
      <c r="CE100" s="59">
        <f t="shared" si="94"/>
        <v>135.33030558297088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13.325151693894661</v>
      </c>
      <c r="CM100" s="21">
        <f>EXP(-LN(2)/2)*CM99+(1-EXP(-LN(2)/2))/(LN(2)/2)*CG100*CJ100*VLOOKUP('Données projet'!$B$12,Paramètres!$A$1:$I$89,3,0)*0.475*44/12</f>
        <v>2.2136920378917417</v>
      </c>
      <c r="CN100" s="22">
        <f t="shared" si="66"/>
        <v>15.538843731786402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353.37479213497227</v>
      </c>
      <c r="CZ100" s="59">
        <f t="shared" si="96"/>
        <v>345.4750813433123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37.122665459098627</v>
      </c>
      <c r="DG100" s="21">
        <f>EXP(-LN(2)/25)*DG99+(1-EXP(-LN(2)/25))/(LN(2)/25)*Calculateur!DB100*Calculateur!DD100*VLOOKUP('Données projet'!$B$13,Paramètres!$A$1:$I$89,3,0)*0.475*44/12</f>
        <v>32.034500534615439</v>
      </c>
      <c r="DH100" s="21">
        <f>EXP(-LN(2)/2)*DH99+(1-EXP(-LN(2)/2))/(LN(2)/2)*DB100*DE100*VLOOKUP('Données projet'!$B$13,Paramètres!$A$1:$I$89,3,0)*0.475*44/12</f>
        <v>0.17241616997756129</v>
      </c>
      <c r="DI100" s="22">
        <f t="shared" si="69"/>
        <v>69.32958216369164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8.9420000000000019</v>
      </c>
      <c r="DO100" s="12">
        <f>IF('Données projet'!$A$166&gt;35,DO99+DN100-DW99,IF(A100&lt;'Données projet'!$A$166,$DL$205^A100,IF(A100='Données projet'!$A$166,'Données projet'!$B$166,DO99+DN100-DW99)))</f>
        <v>339.60600000000051</v>
      </c>
      <c r="DP100" s="17">
        <f>DO100*VLOOKUP('Données projet'!$B$14,Paramètres!$A$1:$I$89,3,0)*VLOOKUP('Données projet'!$B$14,Paramètres!$A$1:$I$89,5,0)</f>
        <v>307.27550880000041</v>
      </c>
      <c r="DQ100" s="13">
        <f t="shared" si="97"/>
        <v>72.699555980078841</v>
      </c>
      <c r="DR100" s="20">
        <f t="shared" si="70"/>
        <v>661.78990449197136</v>
      </c>
      <c r="DS100" s="59">
        <f t="shared" si="71"/>
        <v>955.12323782530461</v>
      </c>
      <c r="DT100" s="59">
        <f ca="1">AVERAGE(OFFSET($DS$3,0,0,'Données projet'!$E$14+1,1))-AVERAGE(OFFSET($H$3,0,0,'Données projet'!$E$14+1,1))</f>
        <v>635.71275911100679</v>
      </c>
      <c r="DU100" s="59">
        <f t="shared" si="98"/>
        <v>281.7776857269169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26.588412041927928</v>
      </c>
      <c r="EB100" s="21">
        <f>EXP(-LN(2)/25)*EB99+(1-EXP(-LN(2)/25))/(LN(2)/25)*Calculateur!DW100*Calculateur!DY100*VLOOKUP('Données projet'!$B$14,Paramètres!$A$1:$I$89,3,0)*0.475*44/12</f>
        <v>25.937284084006841</v>
      </c>
      <c r="EC100" s="21">
        <f>EXP(-LN(2)/2)*EC99+(1-EXP(-LN(2)/2))/(LN(2)/2)*DW100*DZ100*VLOOKUP('Données projet'!$B$14,Paramètres!$A$1:$I$89,3,0)*0.475*44/12</f>
        <v>2.0973495876303185</v>
      </c>
      <c r="ED100" s="22">
        <f t="shared" si="72"/>
        <v>54.623045713565091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8.9420000000000019</v>
      </c>
      <c r="EJ100" s="12">
        <f>IF('Données projet'!$A$192&gt;35,EJ99+EI100-ER99,IF(A100&lt;'Données projet'!$A$192,$EG$205^A100,IF(A100='Données projet'!$A$192,'Données projet'!$B$192,EJ99+EI100-ER99)))</f>
        <v>339.60600000000051</v>
      </c>
      <c r="EK100" s="17">
        <f>EJ100*VLOOKUP('Données projet'!$B$15,Paramètres!$A$1:$I$89,3,0)*VLOOKUP('Données projet'!$B$15,Paramètres!$A$1:$I$89,5,0)</f>
        <v>227.80770480000035</v>
      </c>
      <c r="EL100" s="13">
        <f t="shared" si="99"/>
        <v>55.808392151808334</v>
      </c>
      <c r="EM100" s="20">
        <f t="shared" si="73"/>
        <v>493.96470219106681</v>
      </c>
      <c r="EN100" s="59">
        <f t="shared" si="74"/>
        <v>787.29803552440012</v>
      </c>
      <c r="EO100" s="59">
        <f ca="1">AVERAGE(OFFSET($EN$3,0,0,'Données projet'!$E$15+1,1))-AVERAGE(OFFSET($H$3,0,0,'Données projet'!$E$15+1,1))</f>
        <v>482.99915419700773</v>
      </c>
      <c r="EP100" s="59">
        <f t="shared" si="100"/>
        <v>219.74157899604279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24.296307555554822</v>
      </c>
      <c r="EW100" s="21">
        <f>EXP(-LN(2)/25)*EW99+(1-EXP(-LN(2)/25))/(LN(2)/25)*Calculateur!ER100*Calculateur!ET100*VLOOKUP('Données projet'!$B$15,Paramètres!$A$1:$I$89,3,0)*0.475*44/12</f>
        <v>23.701311318144185</v>
      </c>
      <c r="EX100" s="21">
        <f>EXP(-LN(2)/2)*EX99+(1-EXP(-LN(2)/2))/(LN(2)/2)*ER100*EU100*VLOOKUP('Données projet'!$B$15,Paramètres!$A$1:$I$89,3,0)*0.475*44/12</f>
        <v>1.5549315908293746</v>
      </c>
      <c r="EY100" s="22">
        <f t="shared" si="75"/>
        <v>49.552550464528387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8.9420000000000019</v>
      </c>
      <c r="FE100" s="12">
        <f>IF('Données projet'!$A$218&gt;35,FE99+FD100-FM99,IF(A100&lt;'Données projet'!$A$218,$FB$205^A100,IF(A100='Données projet'!$A$218,'Données projet'!$B$218,FE99+FD100-FM99)))</f>
        <v>339.60600000000051</v>
      </c>
      <c r="FF100" s="17">
        <f>FE100*VLOOKUP('Données projet'!$B$16,Paramètres!$A$1:$I$89,3,0)*VLOOKUP('Données projet'!$B$16,Paramètres!$A$1:$I$89,5,0)</f>
        <v>323.16906960000051</v>
      </c>
      <c r="FG100" s="13">
        <f t="shared" si="101"/>
        <v>76.012361564265504</v>
      </c>
      <c r="FH100" s="20">
        <f t="shared" si="76"/>
        <v>695.24099261109666</v>
      </c>
      <c r="FI100" s="59">
        <f t="shared" si="77"/>
        <v>988.57432594443003</v>
      </c>
      <c r="FJ100" s="59">
        <f ca="1">AVERAGE(OFFSET($FI$3,0,0,'Données projet'!$E$16+1,1))-AVERAGE(OFFSET($H$3,0,0,'Données projet'!$E$16+1,1))</f>
        <v>666.1523645983184</v>
      </c>
      <c r="FK100" s="59">
        <f t="shared" si="102"/>
        <v>294.13851344047526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27.96367473375178</v>
      </c>
      <c r="FR100" s="21">
        <f>EXP(-LN(2)/25)*FR99+(1-EXP(-LN(2)/25))/(LN(2)/25)*Calculateur!FM100*Calculateur!FO100*VLOOKUP('Données projet'!$B$16,Paramètres!$A$1:$I$89,3,0)*0.475*44/12</f>
        <v>27.278867743524433</v>
      </c>
      <c r="FS100" s="21">
        <f>EXP(-LN(2)/2)*FS99+(1-EXP(-LN(2)/2))/(LN(2)/2)*FM100*FP100*VLOOKUP('Données projet'!$B$16,Paramètres!$A$1:$I$89,3,0)*0.475*44/12</f>
        <v>2.2058331869905081</v>
      </c>
      <c r="FT100" s="22">
        <f t="shared" si="78"/>
        <v>57.448375664266727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328.55631138162721</v>
      </c>
      <c r="T101" s="59">
        <f t="shared" si="88"/>
        <v>321.81422611044985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27.211880957952062</v>
      </c>
      <c r="AA101" s="21">
        <f>EXP(-LN(2)/25)*AA100+(1-EXP(-LN(2)/25))/(LN(2)/25)*Calculateur!V101*Calculateur!X101*VLOOKUP('Données projet'!$B$9,Paramètres!$A$1:$I$89,3,0)*0.475*44/12</f>
        <v>23.296840432793473</v>
      </c>
      <c r="AB101" s="21">
        <f>EXP(-LN(2)/2)*AB100+(1-EXP(-LN(2)/2))/(LN(2)/2)*V101*Y101*VLOOKUP('Données projet'!$B$9,Paramètres!$A$1:$I$89,3,0)*0.475*44/12</f>
        <v>0.11235455333206397</v>
      </c>
      <c r="AC101" s="22">
        <f t="shared" si="57"/>
        <v>50.621075944077596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353.37479213497227</v>
      </c>
      <c r="AO101" s="59">
        <f t="shared" si="90"/>
        <v>345.4750813433123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36.394712632035862</v>
      </c>
      <c r="AV101" s="21">
        <f>EXP(-LN(2)/25)*AV100+(1-EXP(-LN(2)/25))/(LN(2)/25)*Calculateur!AQ101*Calculateur!AS101*VLOOKUP('Données projet'!$B$10,Paramètres!$A$1:$I$89,3,0)*0.475*44/12</f>
        <v>31.158515432875213</v>
      </c>
      <c r="AW101" s="21">
        <f>EXP(-LN(2)/2)*AW100+(1-EXP(-LN(2)/2))/(LN(2)/2)*AQ101*AT101*VLOOKUP('Données projet'!$B$10,Paramètres!$A$1:$I$89,3,0)*0.475*44/12</f>
        <v>0.12191664297734603</v>
      </c>
      <c r="AX101" s="21">
        <f t="shared" si="60"/>
        <v>67.675144707888421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359.57284550600366</v>
      </c>
      <c r="BJ101" s="59">
        <f t="shared" si="92"/>
        <v>351.38386928091433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37.108334448350284</v>
      </c>
      <c r="BQ101" s="21">
        <f>EXP(-LN(2)/25)*BQ100+(1-EXP(-LN(2)/25))/(LN(2)/25)*Calculateur!BL101*Calculateur!BN101*VLOOKUP('Données projet'!$B$11,Paramètres!$A$1:$I$89,3,0)*0.475*44/12</f>
        <v>31.769466715872763</v>
      </c>
      <c r="BR101" s="21">
        <f>EXP(-LN(2)/2)*BR100+(1-EXP(-LN(2)/2))/(LN(2)/2)*BL101*BO101*VLOOKUP('Données projet'!$B$11,Paramètres!$A$1:$I$89,3,0)*0.475*44/12</f>
        <v>0.12430716538866655</v>
      </c>
      <c r="BS101" s="22">
        <f t="shared" si="63"/>
        <v>69.002108329611715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-8.5265128291212022E-14</v>
      </c>
      <c r="BZ101" s="13">
        <f>BY101*VLOOKUP('Données projet'!$B$12,Paramètres!$A$1:$I$89,3,0)*VLOOKUP('Données projet'!$B$12,Paramètres!$A$1:$I$89,5,0)</f>
        <v>-6.9167072069831198E-14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159.4660488566085</v>
      </c>
      <c r="CE101" s="59">
        <f t="shared" si="94"/>
        <v>135.33030558297088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12.960774720085839</v>
      </c>
      <c r="CM101" s="21">
        <f>EXP(-LN(2)/2)*CM100+(1-EXP(-LN(2)/2))/(LN(2)/2)*CG101*CJ101*VLOOKUP('Données projet'!$B$12,Paramètres!$A$1:$I$89,3,0)*0.475*44/12</f>
        <v>1.5653166514519183</v>
      </c>
      <c r="CN101" s="22">
        <f t="shared" si="66"/>
        <v>14.526091371537756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353.37479213497227</v>
      </c>
      <c r="CZ101" s="59">
        <f t="shared" si="96"/>
        <v>345.4750813433123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36.394712632035862</v>
      </c>
      <c r="DG101" s="21">
        <f>EXP(-LN(2)/25)*DG100+(1-EXP(-LN(2)/25))/(LN(2)/25)*Calculateur!DB101*Calculateur!DD101*VLOOKUP('Données projet'!$B$13,Paramètres!$A$1:$I$89,3,0)*0.475*44/12</f>
        <v>31.158515432875213</v>
      </c>
      <c r="DH101" s="21">
        <f>EXP(-LN(2)/2)*DH100+(1-EXP(-LN(2)/2))/(LN(2)/2)*DB101*DE101*VLOOKUP('Données projet'!$B$13,Paramètres!$A$1:$I$89,3,0)*0.475*44/12</f>
        <v>0.12191664297734603</v>
      </c>
      <c r="DI101" s="22">
        <f t="shared" si="69"/>
        <v>67.675144707888421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8.9420000000000019</v>
      </c>
      <c r="DO101" s="12">
        <f>IF('Données projet'!$A$166&gt;35,DO100+DN101-DW100,IF(A101&lt;'Données projet'!$A$166,$DL$205^A101,IF(A101='Données projet'!$A$166,'Données projet'!$B$166,DO100+DN101-DW100)))</f>
        <v>348.54800000000051</v>
      </c>
      <c r="DP101" s="17">
        <f>DO101*VLOOKUP('Données projet'!$B$14,Paramètres!$A$1:$I$89,3,0)*VLOOKUP('Données projet'!$B$14,Paramètres!$A$1:$I$89,5,0)</f>
        <v>315.36623040000046</v>
      </c>
      <c r="DQ101" s="13">
        <f t="shared" si="97"/>
        <v>74.38839081830163</v>
      </c>
      <c r="DR101" s="20">
        <f t="shared" si="70"/>
        <v>678.82263195520943</v>
      </c>
      <c r="DS101" s="59">
        <f t="shared" si="71"/>
        <v>972.1559652885428</v>
      </c>
      <c r="DT101" s="59">
        <f ca="1">AVERAGE(OFFSET($DS$3,0,0,'Données projet'!$E$14+1,1))-AVERAGE(OFFSET($H$3,0,0,'Données projet'!$E$14+1,1))</f>
        <v>635.71275911100679</v>
      </c>
      <c r="DU101" s="59">
        <f t="shared" si="98"/>
        <v>281.7776857269169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26.067029499115737</v>
      </c>
      <c r="EB101" s="21">
        <f>EXP(-LN(2)/25)*EB100+(1-EXP(-LN(2)/25))/(LN(2)/25)*Calculateur!DW101*Calculateur!DY101*VLOOKUP('Données projet'!$B$14,Paramètres!$A$1:$I$89,3,0)*0.475*44/12</f>
        <v>25.228027686747183</v>
      </c>
      <c r="EC101" s="21">
        <f>EXP(-LN(2)/2)*EC100+(1-EXP(-LN(2)/2))/(LN(2)/2)*DW101*DZ101*VLOOKUP('Données projet'!$B$14,Paramètres!$A$1:$I$89,3,0)*0.475*44/12</f>
        <v>1.4830501159322074</v>
      </c>
      <c r="ED101" s="22">
        <f t="shared" si="72"/>
        <v>52.778107301795124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8.9420000000000019</v>
      </c>
      <c r="EJ101" s="12">
        <f>IF('Données projet'!$A$192&gt;35,EJ100+EI101-ER100,IF(A101&lt;'Données projet'!$A$192,$EG$205^A101,IF(A101='Données projet'!$A$192,'Données projet'!$B$192,EJ100+EI101-ER100)))</f>
        <v>348.54800000000051</v>
      </c>
      <c r="EK101" s="17">
        <f>EJ101*VLOOKUP('Données projet'!$B$15,Paramètres!$A$1:$I$89,3,0)*VLOOKUP('Données projet'!$B$15,Paramètres!$A$1:$I$89,5,0)</f>
        <v>233.80599840000036</v>
      </c>
      <c r="EL101" s="13">
        <f t="shared" si="99"/>
        <v>57.104839642588111</v>
      </c>
      <c r="EM101" s="20">
        <f t="shared" si="73"/>
        <v>506.66970959084148</v>
      </c>
      <c r="EN101" s="59">
        <f t="shared" si="74"/>
        <v>800.00304292417479</v>
      </c>
      <c r="EO101" s="59">
        <f ca="1">AVERAGE(OFFSET($EN$3,0,0,'Données projet'!$E$15+1,1))-AVERAGE(OFFSET($H$3,0,0,'Données projet'!$E$15+1,1))</f>
        <v>482.99915419700773</v>
      </c>
      <c r="EP101" s="59">
        <f t="shared" si="100"/>
        <v>219.74157899604279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23.819871783674717</v>
      </c>
      <c r="EW101" s="21">
        <f>EXP(-LN(2)/25)*EW100+(1-EXP(-LN(2)/25))/(LN(2)/25)*Calculateur!ER101*Calculateur!ET101*VLOOKUP('Données projet'!$B$15,Paramètres!$A$1:$I$89,3,0)*0.475*44/12</f>
        <v>23.053197713751739</v>
      </c>
      <c r="EX101" s="21">
        <f>EXP(-LN(2)/2)*EX100+(1-EXP(-LN(2)/2))/(LN(2)/2)*ER101*EU101*VLOOKUP('Données projet'!$B$15,Paramètres!$A$1:$I$89,3,0)*0.475*44/12</f>
        <v>1.099502672156637</v>
      </c>
      <c r="EY101" s="22">
        <f t="shared" si="75"/>
        <v>47.972572169583096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8.9420000000000019</v>
      </c>
      <c r="FE101" s="12">
        <f>IF('Données projet'!$A$218&gt;35,FE100+FD101-FM100,IF(A101&lt;'Données projet'!$A$218,$FB$205^A101,IF(A101='Données projet'!$A$218,'Données projet'!$B$218,FE100+FD101-FM100)))</f>
        <v>348.54800000000051</v>
      </c>
      <c r="FF101" s="17">
        <f>FE101*VLOOKUP('Données projet'!$B$16,Paramètres!$A$1:$I$89,3,0)*VLOOKUP('Données projet'!$B$16,Paramètres!$A$1:$I$89,5,0)</f>
        <v>331.6782768000005</v>
      </c>
      <c r="FG101" s="13">
        <f t="shared" si="101"/>
        <v>77.778153976814764</v>
      </c>
      <c r="FH101" s="20">
        <f t="shared" si="76"/>
        <v>713.13661693628671</v>
      </c>
      <c r="FI101" s="59">
        <f t="shared" si="77"/>
        <v>1006.4699502696201</v>
      </c>
      <c r="FJ101" s="59">
        <f ca="1">AVERAGE(OFFSET($FI$3,0,0,'Données projet'!$E$16+1,1))-AVERAGE(OFFSET($H$3,0,0,'Données projet'!$E$16+1,1))</f>
        <v>666.1523645983184</v>
      </c>
      <c r="FK101" s="59">
        <f t="shared" si="102"/>
        <v>294.13851344047526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27.415324128380341</v>
      </c>
      <c r="FR101" s="21">
        <f>EXP(-LN(2)/25)*FR100+(1-EXP(-LN(2)/25))/(LN(2)/25)*Calculateur!FM101*Calculateur!FO101*VLOOKUP('Données projet'!$B$16,Paramètres!$A$1:$I$89,3,0)*0.475*44/12</f>
        <v>26.532925670544451</v>
      </c>
      <c r="FS101" s="21">
        <f>EXP(-LN(2)/2)*FS100+(1-EXP(-LN(2)/2))/(LN(2)/2)*FM101*FP101*VLOOKUP('Données projet'!$B$16,Paramètres!$A$1:$I$89,3,0)*0.475*44/12</f>
        <v>1.5597596046873221</v>
      </c>
      <c r="FT101" s="22">
        <f t="shared" si="78"/>
        <v>55.508009403612114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328.55631138162721</v>
      </c>
      <c r="T102" s="59">
        <f t="shared" si="88"/>
        <v>321.81422611044985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26.678272569975128</v>
      </c>
      <c r="AA102" s="21">
        <f>EXP(-LN(2)/25)*AA101+(1-EXP(-LN(2)/25))/(LN(2)/25)*Calculateur!V102*Calculateur!X102*VLOOKUP('Données projet'!$B$9,Paramètres!$A$1:$I$89,3,0)*0.475*44/12</f>
        <v>22.659787106031143</v>
      </c>
      <c r="AB102" s="21">
        <f>EXP(-LN(2)/2)*AB101+(1-EXP(-LN(2)/2))/(LN(2)/2)*V102*Y102*VLOOKUP('Données projet'!$B$9,Paramètres!$A$1:$I$89,3,0)*0.475*44/12</f>
        <v>7.944666655828804E-2</v>
      </c>
      <c r="AC102" s="22">
        <f t="shared" si="57"/>
        <v>49.417506342564558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353.37479213497227</v>
      </c>
      <c r="AO102" s="59">
        <f t="shared" si="90"/>
        <v>345.4750813433123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35.681034515904415</v>
      </c>
      <c r="AV102" s="21">
        <f>EXP(-LN(2)/25)*AV101+(1-EXP(-LN(2)/25))/(LN(2)/25)*Calculateur!AQ102*Calculateur!AS102*VLOOKUP('Données projet'!$B$10,Paramètres!$A$1:$I$89,3,0)*0.475*44/12</f>
        <v>30.306484189808128</v>
      </c>
      <c r="AW102" s="21">
        <f>EXP(-LN(2)/2)*AW101+(1-EXP(-LN(2)/2))/(LN(2)/2)*AQ102*AT102*VLOOKUP('Données projet'!$B$10,Paramètres!$A$1:$I$89,3,0)*0.475*44/12</f>
        <v>8.6208084988780659E-2</v>
      </c>
      <c r="AX102" s="21">
        <f t="shared" si="60"/>
        <v>66.073726790701329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359.57284550600366</v>
      </c>
      <c r="BJ102" s="59">
        <f t="shared" si="92"/>
        <v>351.38386928091433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36.380662643667243</v>
      </c>
      <c r="BQ102" s="21">
        <f>EXP(-LN(2)/25)*BQ101+(1-EXP(-LN(2)/25))/(LN(2)/25)*Calculateur!BL102*Calculateur!BN102*VLOOKUP('Données projet'!$B$11,Paramètres!$A$1:$I$89,3,0)*0.475*44/12</f>
        <v>30.900728977843578</v>
      </c>
      <c r="BR102" s="21">
        <f>EXP(-LN(2)/2)*BR101+(1-EXP(-LN(2)/2))/(LN(2)/2)*BL102*BO102*VLOOKUP('Données projet'!$B$11,Paramètres!$A$1:$I$89,3,0)*0.475*44/12</f>
        <v>8.7898439596403824E-2</v>
      </c>
      <c r="BS102" s="22">
        <f t="shared" si="63"/>
        <v>67.369290061107222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-8.5265128291212022E-14</v>
      </c>
      <c r="BZ102" s="13">
        <f>BY102*VLOOKUP('Données projet'!$B$12,Paramètres!$A$1:$I$89,3,0)*VLOOKUP('Données projet'!$B$12,Paramètres!$A$1:$I$89,5,0)</f>
        <v>-6.9167072069831198E-14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159.4660488566085</v>
      </c>
      <c r="CE102" s="59">
        <f t="shared" si="94"/>
        <v>135.33030558297088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12.606361653787571</v>
      </c>
      <c r="CM102" s="21">
        <f>EXP(-LN(2)/2)*CM101+(1-EXP(-LN(2)/2))/(LN(2)/2)*CG102*CJ102*VLOOKUP('Données projet'!$B$12,Paramètres!$A$1:$I$89,3,0)*0.475*44/12</f>
        <v>1.1068460189458709</v>
      </c>
      <c r="CN102" s="22">
        <f t="shared" si="66"/>
        <v>13.713207672733443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353.37479213497227</v>
      </c>
      <c r="CZ102" s="59">
        <f t="shared" si="96"/>
        <v>345.4750813433123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35.681034515904415</v>
      </c>
      <c r="DG102" s="21">
        <f>EXP(-LN(2)/25)*DG101+(1-EXP(-LN(2)/25))/(LN(2)/25)*Calculateur!DB102*Calculateur!DD102*VLOOKUP('Données projet'!$B$13,Paramètres!$A$1:$I$89,3,0)*0.475*44/12</f>
        <v>30.306484189808128</v>
      </c>
      <c r="DH102" s="21">
        <f>EXP(-LN(2)/2)*DH101+(1-EXP(-LN(2)/2))/(LN(2)/2)*DB102*DE102*VLOOKUP('Données projet'!$B$13,Paramètres!$A$1:$I$89,3,0)*0.475*44/12</f>
        <v>8.6208084988780659E-2</v>
      </c>
      <c r="DI102" s="22">
        <f t="shared" si="69"/>
        <v>66.073726790701329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8.9420000000000019</v>
      </c>
      <c r="DO102" s="12">
        <f>IF('Données projet'!$A$166&gt;35,DO101+DN102-DW101,IF(A102&lt;'Données projet'!$A$166,$DL$205^A102,IF(A102='Données projet'!$A$166,'Données projet'!$B$166,DO101+DN102-DW101)))</f>
        <v>357.49000000000052</v>
      </c>
      <c r="DP102" s="17">
        <f>DO102*VLOOKUP('Données projet'!$B$14,Paramètres!$A$1:$I$89,3,0)*VLOOKUP('Données projet'!$B$14,Paramètres!$A$1:$I$89,5,0)</f>
        <v>323.45695200000046</v>
      </c>
      <c r="DQ102" s="13">
        <f t="shared" si="97"/>
        <v>76.072189325282608</v>
      </c>
      <c r="DR102" s="20">
        <f t="shared" si="70"/>
        <v>695.84658780820121</v>
      </c>
      <c r="DS102" s="59">
        <f t="shared" si="71"/>
        <v>989.17992114153458</v>
      </c>
      <c r="DT102" s="59">
        <f ca="1">AVERAGE(OFFSET($DS$3,0,0,'Données projet'!$E$14+1,1))-AVERAGE(OFFSET($H$3,0,0,'Données projet'!$E$14+1,1))</f>
        <v>635.71275911100679</v>
      </c>
      <c r="DU102" s="59">
        <f t="shared" si="98"/>
        <v>281.7776857269169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25.555870949956144</v>
      </c>
      <c r="EB102" s="21">
        <f>EXP(-LN(2)/25)*EB101+(1-EXP(-LN(2)/25))/(LN(2)/25)*Calculateur!DW102*Calculateur!DY102*VLOOKUP('Données projet'!$B$14,Paramètres!$A$1:$I$89,3,0)*0.475*44/12</f>
        <v>24.538165942968764</v>
      </c>
      <c r="EC102" s="21">
        <f>EXP(-LN(2)/2)*EC101+(1-EXP(-LN(2)/2))/(LN(2)/2)*DW102*DZ102*VLOOKUP('Données projet'!$B$14,Paramètres!$A$1:$I$89,3,0)*0.475*44/12</f>
        <v>1.0486747938151593</v>
      </c>
      <c r="ED102" s="22">
        <f t="shared" si="72"/>
        <v>51.142711686740064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8.9420000000000019</v>
      </c>
      <c r="EJ102" s="12">
        <f>IF('Données projet'!$A$192&gt;35,EJ101+EI102-ER101,IF(A102&lt;'Données projet'!$A$192,$EG$205^A102,IF(A102='Données projet'!$A$192,'Données projet'!$B$192,EJ101+EI102-ER101)))</f>
        <v>357.49000000000052</v>
      </c>
      <c r="EK102" s="17">
        <f>EJ102*VLOOKUP('Données projet'!$B$15,Paramètres!$A$1:$I$89,3,0)*VLOOKUP('Données projet'!$B$15,Paramètres!$A$1:$I$89,5,0)</f>
        <v>239.80429200000034</v>
      </c>
      <c r="EL102" s="13">
        <f t="shared" si="99"/>
        <v>58.397420953648293</v>
      </c>
      <c r="EM102" s="20">
        <f t="shared" si="73"/>
        <v>519.36798339427139</v>
      </c>
      <c r="EN102" s="59">
        <f t="shared" si="74"/>
        <v>812.70131672760476</v>
      </c>
      <c r="EO102" s="59">
        <f ca="1">AVERAGE(OFFSET($EN$3,0,0,'Données projet'!$E$15+1,1))-AVERAGE(OFFSET($H$3,0,0,'Données projet'!$E$15+1,1))</f>
        <v>482.99915419700773</v>
      </c>
      <c r="EP102" s="59">
        <f t="shared" si="100"/>
        <v>219.74157899604279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23.352778626684056</v>
      </c>
      <c r="EW102" s="21">
        <f>EXP(-LN(2)/25)*EW101+(1-EXP(-LN(2)/25))/(LN(2)/25)*Calculateur!ER102*Calculateur!ET102*VLOOKUP('Données projet'!$B$15,Paramètres!$A$1:$I$89,3,0)*0.475*44/12</f>
        <v>22.422806809954221</v>
      </c>
      <c r="EX102" s="21">
        <f>EXP(-LN(2)/2)*EX101+(1-EXP(-LN(2)/2))/(LN(2)/2)*ER102*EU102*VLOOKUP('Données projet'!$B$15,Paramètres!$A$1:$I$89,3,0)*0.475*44/12</f>
        <v>0.77746579541468752</v>
      </c>
      <c r="EY102" s="22">
        <f t="shared" si="75"/>
        <v>46.553051232052965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8.9420000000000019</v>
      </c>
      <c r="FE102" s="12">
        <f>IF('Données projet'!$A$218&gt;35,FE101+FD102-FM101,IF(A102&lt;'Données projet'!$A$218,$FB$205^A102,IF(A102='Données projet'!$A$218,'Données projet'!$B$218,FE101+FD102-FM101)))</f>
        <v>357.49000000000052</v>
      </c>
      <c r="FF102" s="17">
        <f>FE102*VLOOKUP('Données projet'!$B$16,Paramètres!$A$1:$I$89,3,0)*VLOOKUP('Données projet'!$B$16,Paramètres!$A$1:$I$89,5,0)</f>
        <v>340.1874840000005</v>
      </c>
      <c r="FG102" s="13">
        <f t="shared" si="101"/>
        <v>79.538680560348226</v>
      </c>
      <c r="FH102" s="20">
        <f t="shared" si="76"/>
        <v>731.02306994260732</v>
      </c>
      <c r="FI102" s="59">
        <f t="shared" si="77"/>
        <v>1024.3564032759407</v>
      </c>
      <c r="FJ102" s="59">
        <f ca="1">AVERAGE(OFFSET($FI$3,0,0,'Données projet'!$E$16+1,1))-AVERAGE(OFFSET($H$3,0,0,'Données projet'!$E$16+1,1))</f>
        <v>666.1523645983184</v>
      </c>
      <c r="FK102" s="59">
        <f t="shared" si="102"/>
        <v>294.13851344047526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26.877726343919392</v>
      </c>
      <c r="FR102" s="21">
        <f>EXP(-LN(2)/25)*FR101+(1-EXP(-LN(2)/25))/(LN(2)/25)*Calculateur!FM102*Calculateur!FO102*VLOOKUP('Données projet'!$B$16,Paramètres!$A$1:$I$89,3,0)*0.475*44/12</f>
        <v>25.807381422777492</v>
      </c>
      <c r="FS102" s="21">
        <f>EXP(-LN(2)/2)*FS101+(1-EXP(-LN(2)/2))/(LN(2)/2)*FM102*FP102*VLOOKUP('Données projet'!$B$16,Paramètres!$A$1:$I$89,3,0)*0.475*44/12</f>
        <v>1.1029165934952543</v>
      </c>
      <c r="FT102" s="22">
        <f t="shared" si="78"/>
        <v>53.788024360192139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328.55631138162721</v>
      </c>
      <c r="T103" s="59">
        <f t="shared" si="88"/>
        <v>321.81422611044985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26.155127917017442</v>
      </c>
      <c r="AA103" s="21">
        <f>EXP(-LN(2)/25)*AA102+(1-EXP(-LN(2)/25))/(LN(2)/25)*Calculateur!V103*Calculateur!X103*VLOOKUP('Données projet'!$B$9,Paramètres!$A$1:$I$89,3,0)*0.475*44/12</f>
        <v>22.040154035990305</v>
      </c>
      <c r="AB103" s="21">
        <f>EXP(-LN(2)/2)*AB102+(1-EXP(-LN(2)/2))/(LN(2)/2)*V103*Y103*VLOOKUP('Données projet'!$B$9,Paramètres!$A$1:$I$89,3,0)*0.475*44/12</f>
        <v>5.6177276666031985E-2</v>
      </c>
      <c r="AC103" s="22">
        <f t="shared" si="57"/>
        <v>48.251459229673785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353.37479213497227</v>
      </c>
      <c r="AO103" s="59">
        <f t="shared" si="90"/>
        <v>345.4750813433123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34.98135119232964</v>
      </c>
      <c r="AV103" s="21">
        <f>EXP(-LN(2)/25)*AV102+(1-EXP(-LN(2)/25))/(LN(2)/25)*Calculateur!AQ103*Calculateur!AS103*VLOOKUP('Données projet'!$B$10,Paramètres!$A$1:$I$89,3,0)*0.475*44/12</f>
        <v>29.477751785889087</v>
      </c>
      <c r="AW103" s="21">
        <f>EXP(-LN(2)/2)*AW102+(1-EXP(-LN(2)/2))/(LN(2)/2)*AQ103*AT103*VLOOKUP('Données projet'!$B$10,Paramètres!$A$1:$I$89,3,0)*0.475*44/12</f>
        <v>6.0958321488673022E-2</v>
      </c>
      <c r="AX103" s="21">
        <f t="shared" si="60"/>
        <v>64.520061299707393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359.57284550600366</v>
      </c>
      <c r="BJ103" s="59">
        <f t="shared" si="92"/>
        <v>351.38386928091433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35.667260039238059</v>
      </c>
      <c r="BQ103" s="21">
        <f>EXP(-LN(2)/25)*BQ102+(1-EXP(-LN(2)/25))/(LN(2)/25)*Calculateur!BL103*Calculateur!BN103*VLOOKUP('Données projet'!$B$11,Paramètres!$A$1:$I$89,3,0)*0.475*44/12</f>
        <v>30.055746918945733</v>
      </c>
      <c r="BR103" s="21">
        <f>EXP(-LN(2)/2)*BR102+(1-EXP(-LN(2)/2))/(LN(2)/2)*BL103*BO103*VLOOKUP('Données projet'!$B$11,Paramètres!$A$1:$I$89,3,0)*0.475*44/12</f>
        <v>6.2153582694333291E-2</v>
      </c>
      <c r="BS103" s="22">
        <f t="shared" si="63"/>
        <v>65.785160540878124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-8.5265128291212022E-14</v>
      </c>
      <c r="BZ103" s="13">
        <f>BY103*VLOOKUP('Données projet'!$B$12,Paramètres!$A$1:$I$89,3,0)*VLOOKUP('Données projet'!$B$12,Paramètres!$A$1:$I$89,5,0)</f>
        <v>-6.9167072069831198E-14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159.4660488566085</v>
      </c>
      <c r="CE103" s="59">
        <f t="shared" si="94"/>
        <v>135.33030558297088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12.261640031425003</v>
      </c>
      <c r="CM103" s="21">
        <f>EXP(-LN(2)/2)*CM102+(1-EXP(-LN(2)/2))/(LN(2)/2)*CG103*CJ103*VLOOKUP('Données projet'!$B$12,Paramètres!$A$1:$I$89,3,0)*0.475*44/12</f>
        <v>0.78265832572595917</v>
      </c>
      <c r="CN103" s="22">
        <f t="shared" si="66"/>
        <v>13.044298357150963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353.37479213497227</v>
      </c>
      <c r="CZ103" s="59">
        <f t="shared" si="96"/>
        <v>345.4750813433123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34.98135119232964</v>
      </c>
      <c r="DG103" s="21">
        <f>EXP(-LN(2)/25)*DG102+(1-EXP(-LN(2)/25))/(LN(2)/25)*Calculateur!DB103*Calculateur!DD103*VLOOKUP('Données projet'!$B$13,Paramètres!$A$1:$I$89,3,0)*0.475*44/12</f>
        <v>29.477751785889087</v>
      </c>
      <c r="DH103" s="21">
        <f>EXP(-LN(2)/2)*DH102+(1-EXP(-LN(2)/2))/(LN(2)/2)*DB103*DE103*VLOOKUP('Données projet'!$B$13,Paramètres!$A$1:$I$89,3,0)*0.475*44/12</f>
        <v>6.0958321488673022E-2</v>
      </c>
      <c r="DI103" s="22">
        <f t="shared" si="69"/>
        <v>64.520061299707393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8.9420000000000019</v>
      </c>
      <c r="DO103" s="12">
        <f>IF('Données projet'!$A$166&gt;35,DO102+DN103-DW102,IF(A103&lt;'Données projet'!$A$166,$DL$205^A103,IF(A103='Données projet'!$A$166,'Données projet'!$B$166,DO102+DN103-DW102)))</f>
        <v>366.43200000000053</v>
      </c>
      <c r="DP103" s="17">
        <f>DO103*VLOOKUP('Données projet'!$B$14,Paramètres!$A$1:$I$89,3,0)*VLOOKUP('Données projet'!$B$14,Paramètres!$A$1:$I$89,5,0)</f>
        <v>331.54767360000045</v>
      </c>
      <c r="DQ103" s="13">
        <f t="shared" si="97"/>
        <v>77.751091964826287</v>
      </c>
      <c r="DR103" s="20">
        <f t="shared" si="70"/>
        <v>712.86201669207321</v>
      </c>
      <c r="DS103" s="59">
        <f t="shared" si="71"/>
        <v>1006.1953500254065</v>
      </c>
      <c r="DT103" s="59">
        <f ca="1">AVERAGE(OFFSET($DS$3,0,0,'Données projet'!$E$14+1,1))-AVERAGE(OFFSET($H$3,0,0,'Données projet'!$E$14+1,1))</f>
        <v>635.71275911100679</v>
      </c>
      <c r="DU103" s="59">
        <f t="shared" si="98"/>
        <v>281.7776857269169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25.054735908169643</v>
      </c>
      <c r="EB103" s="21">
        <f>EXP(-LN(2)/25)*EB102+(1-EXP(-LN(2)/25))/(LN(2)/25)*Calculateur!DW103*Calculateur!DY103*VLOOKUP('Données projet'!$B$14,Paramètres!$A$1:$I$89,3,0)*0.475*44/12</f>
        <v>23.86716850485222</v>
      </c>
      <c r="EC103" s="21">
        <f>EXP(-LN(2)/2)*EC102+(1-EXP(-LN(2)/2))/(LN(2)/2)*DW103*DZ103*VLOOKUP('Données projet'!$B$14,Paramètres!$A$1:$I$89,3,0)*0.475*44/12</f>
        <v>0.74152505796610368</v>
      </c>
      <c r="ED103" s="22">
        <f t="shared" si="72"/>
        <v>49.663429470987964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8.9420000000000019</v>
      </c>
      <c r="EJ103" s="12">
        <f>IF('Données projet'!$A$192&gt;35,EJ102+EI103-ER102,IF(A103&lt;'Données projet'!$A$192,$EG$205^A103,IF(A103='Données projet'!$A$192,'Données projet'!$B$192,EJ102+EI103-ER102)))</f>
        <v>366.43200000000053</v>
      </c>
      <c r="EK103" s="17">
        <f>EJ103*VLOOKUP('Données projet'!$B$15,Paramètres!$A$1:$I$89,3,0)*VLOOKUP('Données projet'!$B$15,Paramètres!$A$1:$I$89,5,0)</f>
        <v>245.80258560000033</v>
      </c>
      <c r="EL103" s="13">
        <f t="shared" si="99"/>
        <v>59.686243913145297</v>
      </c>
      <c r="EM103" s="20">
        <f t="shared" si="73"/>
        <v>532.05971140206191</v>
      </c>
      <c r="EN103" s="59">
        <f t="shared" si="74"/>
        <v>825.39304473539528</v>
      </c>
      <c r="EO103" s="59">
        <f ca="1">AVERAGE(OFFSET($EN$3,0,0,'Données projet'!$E$15+1,1))-AVERAGE(OFFSET($H$3,0,0,'Données projet'!$E$15+1,1))</f>
        <v>482.99915419700773</v>
      </c>
      <c r="EP103" s="59">
        <f t="shared" si="100"/>
        <v>219.74157899604279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22.894844881603287</v>
      </c>
      <c r="EW103" s="21">
        <f>EXP(-LN(2)/25)*EW102+(1-EXP(-LN(2)/25))/(LN(2)/25)*Calculateur!ER103*Calculateur!ET103*VLOOKUP('Données projet'!$B$15,Paramètres!$A$1:$I$89,3,0)*0.475*44/12</f>
        <v>21.809653978571859</v>
      </c>
      <c r="EX103" s="21">
        <f>EXP(-LN(2)/2)*EX102+(1-EXP(-LN(2)/2))/(LN(2)/2)*ER103*EU103*VLOOKUP('Données projet'!$B$15,Paramètres!$A$1:$I$89,3,0)*0.475*44/12</f>
        <v>0.54975133607831861</v>
      </c>
      <c r="EY103" s="22">
        <f t="shared" si="75"/>
        <v>45.254250196253466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8.9420000000000019</v>
      </c>
      <c r="FE103" s="12">
        <f>IF('Données projet'!$A$218&gt;35,FE102+FD103-FM102,IF(A103&lt;'Données projet'!$A$218,$FB$205^A103,IF(A103='Données projet'!$A$218,'Données projet'!$B$218,FE102+FD103-FM102)))</f>
        <v>366.43200000000053</v>
      </c>
      <c r="FF103" s="17">
        <f>FE103*VLOOKUP('Données projet'!$B$16,Paramètres!$A$1:$I$89,3,0)*VLOOKUP('Données projet'!$B$16,Paramètres!$A$1:$I$89,5,0)</f>
        <v>348.69669120000049</v>
      </c>
      <c r="FG103" s="13">
        <f t="shared" si="101"/>
        <v>81.294088179387458</v>
      </c>
      <c r="FH103" s="20">
        <f t="shared" si="76"/>
        <v>748.90060741910065</v>
      </c>
      <c r="FI103" s="59">
        <f t="shared" si="77"/>
        <v>1042.2339407524339</v>
      </c>
      <c r="FJ103" s="59">
        <f ca="1">AVERAGE(OFFSET($FI$3,0,0,'Données projet'!$E$16+1,1))-AVERAGE(OFFSET($H$3,0,0,'Données projet'!$E$16+1,1))</f>
        <v>666.1523645983184</v>
      </c>
      <c r="FK103" s="59">
        <f t="shared" si="102"/>
        <v>294.13851344047526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26.35067052410945</v>
      </c>
      <c r="FR103" s="21">
        <f>EXP(-LN(2)/25)*FR102+(1-EXP(-LN(2)/25))/(LN(2)/25)*Calculateur!FM103*Calculateur!FO103*VLOOKUP('Données projet'!$B$16,Paramètres!$A$1:$I$89,3,0)*0.475*44/12</f>
        <v>25.101677220620438</v>
      </c>
      <c r="FS103" s="21">
        <f>EXP(-LN(2)/2)*FS102+(1-EXP(-LN(2)/2))/(LN(2)/2)*FM103*FP103*VLOOKUP('Données projet'!$B$16,Paramètres!$A$1:$I$89,3,0)*0.475*44/12</f>
        <v>0.77987980234366117</v>
      </c>
      <c r="FT103" s="22">
        <f t="shared" si="78"/>
        <v>52.232227547073556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328.55631138162721</v>
      </c>
      <c r="T104" s="59">
        <f t="shared" si="88"/>
        <v>321.81422611044985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25.642241811617527</v>
      </c>
      <c r="AA104" s="21">
        <f>EXP(-LN(2)/25)*AA103+(1-EXP(-LN(2)/25))/(LN(2)/25)*Calculateur!V104*Calculateur!X104*VLOOKUP('Données projet'!$B$9,Paramètres!$A$1:$I$89,3,0)*0.475*44/12</f>
        <v>21.437464864834823</v>
      </c>
      <c r="AB104" s="21">
        <f>EXP(-LN(2)/2)*AB103+(1-EXP(-LN(2)/2))/(LN(2)/2)*V104*Y104*VLOOKUP('Données projet'!$B$9,Paramètres!$A$1:$I$89,3,0)*0.475*44/12</f>
        <v>3.972333327914402E-2</v>
      </c>
      <c r="AC104" s="22">
        <f t="shared" si="57"/>
        <v>47.119430009731488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353.37479213497227</v>
      </c>
      <c r="AO104" s="59">
        <f t="shared" si="90"/>
        <v>345.4750813433123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34.295388231965475</v>
      </c>
      <c r="AV104" s="21">
        <f>EXP(-LN(2)/25)*AV103+(1-EXP(-LN(2)/25))/(LN(2)/25)*Calculateur!AQ104*Calculateur!AS104*VLOOKUP('Données projet'!$B$10,Paramètres!$A$1:$I$89,3,0)*0.475*44/12</f>
        <v>28.671681113136355</v>
      </c>
      <c r="AW104" s="21">
        <f>EXP(-LN(2)/2)*AW103+(1-EXP(-LN(2)/2))/(LN(2)/2)*AQ104*AT104*VLOOKUP('Données projet'!$B$10,Paramètres!$A$1:$I$89,3,0)*0.475*44/12</f>
        <v>4.3104042494390336E-2</v>
      </c>
      <c r="AX104" s="21">
        <f t="shared" si="60"/>
        <v>63.010173387596225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359.57284550600366</v>
      </c>
      <c r="BJ104" s="59">
        <f t="shared" si="92"/>
        <v>351.38386928091433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34.96784682474911</v>
      </c>
      <c r="BQ104" s="21">
        <f>EXP(-LN(2)/25)*BQ103+(1-EXP(-LN(2)/25))/(LN(2)/25)*Calculateur!BL104*Calculateur!BN104*VLOOKUP('Données projet'!$B$11,Paramètres!$A$1:$I$89,3,0)*0.475*44/12</f>
        <v>29.233870938884124</v>
      </c>
      <c r="BR104" s="21">
        <f>EXP(-LN(2)/2)*BR103+(1-EXP(-LN(2)/2))/(LN(2)/2)*BL104*BO104*VLOOKUP('Données projet'!$B$11,Paramètres!$A$1:$I$89,3,0)*0.475*44/12</f>
        <v>4.3949219798201919E-2</v>
      </c>
      <c r="BS104" s="22">
        <f t="shared" si="63"/>
        <v>64.245666983431448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-8.5265128291212022E-14</v>
      </c>
      <c r="BZ104" s="13">
        <f>BY104*VLOOKUP('Données projet'!$B$12,Paramètres!$A$1:$I$89,3,0)*VLOOKUP('Données projet'!$B$12,Paramètres!$A$1:$I$89,5,0)</f>
        <v>-6.9167072069831198E-14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159.4660488566085</v>
      </c>
      <c r="CE104" s="59">
        <f t="shared" si="94"/>
        <v>135.33030558297088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11.926344839954062</v>
      </c>
      <c r="CM104" s="21">
        <f>EXP(-LN(2)/2)*CM103+(1-EXP(-LN(2)/2))/(LN(2)/2)*CG104*CJ104*VLOOKUP('Données projet'!$B$12,Paramètres!$A$1:$I$89,3,0)*0.475*44/12</f>
        <v>0.55342300947293543</v>
      </c>
      <c r="CN104" s="22">
        <f t="shared" si="66"/>
        <v>12.479767849426997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353.37479213497227</v>
      </c>
      <c r="CZ104" s="59">
        <f t="shared" si="96"/>
        <v>345.4750813433123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34.295388231965475</v>
      </c>
      <c r="DG104" s="21">
        <f>EXP(-LN(2)/25)*DG103+(1-EXP(-LN(2)/25))/(LN(2)/25)*Calculateur!DB104*Calculateur!DD104*VLOOKUP('Données projet'!$B$13,Paramètres!$A$1:$I$89,3,0)*0.475*44/12</f>
        <v>28.671681113136355</v>
      </c>
      <c r="DH104" s="21">
        <f>EXP(-LN(2)/2)*DH103+(1-EXP(-LN(2)/2))/(LN(2)/2)*DB104*DE104*VLOOKUP('Données projet'!$B$13,Paramètres!$A$1:$I$89,3,0)*0.475*44/12</f>
        <v>4.3104042494390336E-2</v>
      </c>
      <c r="DI104" s="22">
        <f t="shared" si="69"/>
        <v>63.010173387596225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8.9420000000000019</v>
      </c>
      <c r="DO104" s="12">
        <f>IF('Données projet'!$A$166&gt;35,DO103+DN104-DW103,IF(A104&lt;'Données projet'!$A$166,$DL$205^A104,IF(A104='Données projet'!$A$166,'Données projet'!$B$166,DO103+DN104-DW103)))</f>
        <v>375.37400000000054</v>
      </c>
      <c r="DP104" s="17">
        <f>DO104*VLOOKUP('Données projet'!$B$14,Paramètres!$A$1:$I$89,3,0)*VLOOKUP('Données projet'!$B$14,Paramètres!$A$1:$I$89,5,0)</f>
        <v>339.6383952000005</v>
      </c>
      <c r="DQ104" s="13">
        <f t="shared" si="97"/>
        <v>79.425231954431325</v>
      </c>
      <c r="DR104" s="20">
        <f t="shared" si="70"/>
        <v>729.86915062730213</v>
      </c>
      <c r="DS104" s="59">
        <f t="shared" si="71"/>
        <v>1023.2024839606354</v>
      </c>
      <c r="DT104" s="59">
        <f ca="1">AVERAGE(OFFSET($DS$3,0,0,'Données projet'!$E$14+1,1))-AVERAGE(OFFSET($H$3,0,0,'Données projet'!$E$14+1,1))</f>
        <v>635.71275911100679</v>
      </c>
      <c r="DU104" s="59">
        <f t="shared" si="98"/>
        <v>281.7776857269169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24.563427818890382</v>
      </c>
      <c r="EB104" s="21">
        <f>EXP(-LN(2)/25)*EB103+(1-EXP(-LN(2)/25))/(LN(2)/25)*Calculateur!DW104*Calculateur!DY104*VLOOKUP('Données projet'!$B$14,Paramètres!$A$1:$I$89,3,0)*0.475*44/12</f>
        <v>23.214519526967194</v>
      </c>
      <c r="EC104" s="21">
        <f>EXP(-LN(2)/2)*EC103+(1-EXP(-LN(2)/2))/(LN(2)/2)*DW104*DZ104*VLOOKUP('Données projet'!$B$14,Paramètres!$A$1:$I$89,3,0)*0.475*44/12</f>
        <v>0.52433739690757963</v>
      </c>
      <c r="ED104" s="22">
        <f t="shared" si="72"/>
        <v>48.302284742765153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8.9420000000000019</v>
      </c>
      <c r="EJ104" s="12">
        <f>IF('Données projet'!$A$192&gt;35,EJ103+EI104-ER103,IF(A104&lt;'Données projet'!$A$192,$EG$205^A104,IF(A104='Données projet'!$A$192,'Données projet'!$B$192,EJ103+EI104-ER103)))</f>
        <v>375.37400000000054</v>
      </c>
      <c r="EK104" s="17">
        <f>EJ104*VLOOKUP('Données projet'!$B$15,Paramètres!$A$1:$I$89,3,0)*VLOOKUP('Données projet'!$B$15,Paramètres!$A$1:$I$89,5,0)</f>
        <v>251.80087920000037</v>
      </c>
      <c r="EL104" s="13">
        <f t="shared" si="99"/>
        <v>60.971410786550926</v>
      </c>
      <c r="EM104" s="20">
        <f t="shared" si="73"/>
        <v>544.74507172657684</v>
      </c>
      <c r="EN104" s="59">
        <f t="shared" si="74"/>
        <v>838.07840505991021</v>
      </c>
      <c r="EO104" s="59">
        <f ca="1">AVERAGE(OFFSET($EN$3,0,0,'Données projet'!$E$15+1,1))-AVERAGE(OFFSET($H$3,0,0,'Données projet'!$E$15+1,1))</f>
        <v>482.99915419700773</v>
      </c>
      <c r="EP104" s="59">
        <f t="shared" si="100"/>
        <v>219.74157899604279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22.445890937951546</v>
      </c>
      <c r="EW104" s="21">
        <f>EXP(-LN(2)/25)*EW103+(1-EXP(-LN(2)/25))/(LN(2)/25)*Calculateur!ER104*Calculateur!ET104*VLOOKUP('Données projet'!$B$15,Paramètres!$A$1:$I$89,3,0)*0.475*44/12</f>
        <v>21.213267843607955</v>
      </c>
      <c r="EX104" s="21">
        <f>EXP(-LN(2)/2)*EX103+(1-EXP(-LN(2)/2))/(LN(2)/2)*ER104*EU104*VLOOKUP('Données projet'!$B$15,Paramètres!$A$1:$I$89,3,0)*0.475*44/12</f>
        <v>0.38873289770734382</v>
      </c>
      <c r="EY104" s="22">
        <f t="shared" si="75"/>
        <v>44.04789167926684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8.9420000000000019</v>
      </c>
      <c r="FE104" s="12">
        <f>IF('Données projet'!$A$218&gt;35,FE103+FD104-FM103,IF(A104&lt;'Données projet'!$A$218,$FB$205^A104,IF(A104='Données projet'!$A$218,'Données projet'!$B$218,FE103+FD104-FM103)))</f>
        <v>375.37400000000054</v>
      </c>
      <c r="FF104" s="17">
        <f>FE104*VLOOKUP('Données projet'!$B$16,Paramètres!$A$1:$I$89,3,0)*VLOOKUP('Données projet'!$B$16,Paramètres!$A$1:$I$89,5,0)</f>
        <v>357.20589840000048</v>
      </c>
      <c r="FG104" s="13">
        <f t="shared" si="101"/>
        <v>83.044516121944824</v>
      </c>
      <c r="FH104" s="20">
        <f t="shared" si="76"/>
        <v>766.76947195905461</v>
      </c>
      <c r="FI104" s="59">
        <f t="shared" si="77"/>
        <v>1060.102805292388</v>
      </c>
      <c r="FJ104" s="59">
        <f ca="1">AVERAGE(OFFSET($FI$3,0,0,'Données projet'!$E$16+1,1))-AVERAGE(OFFSET($H$3,0,0,'Données projet'!$E$16+1,1))</f>
        <v>666.1523645983184</v>
      </c>
      <c r="FK104" s="59">
        <f t="shared" si="102"/>
        <v>294.13851344047526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25.833949947453675</v>
      </c>
      <c r="FR104" s="21">
        <f>EXP(-LN(2)/25)*FR103+(1-EXP(-LN(2)/25))/(LN(2)/25)*Calculateur!FM104*Calculateur!FO104*VLOOKUP('Données projet'!$B$16,Paramètres!$A$1:$I$89,3,0)*0.475*44/12</f>
        <v>24.415270536982739</v>
      </c>
      <c r="FS104" s="21">
        <f>EXP(-LN(2)/2)*FS103+(1-EXP(-LN(2)/2))/(LN(2)/2)*FM104*FP104*VLOOKUP('Données projet'!$B$16,Paramètres!$A$1:$I$89,3,0)*0.475*44/12</f>
        <v>0.55145829674762714</v>
      </c>
      <c r="FT104" s="22">
        <f t="shared" si="78"/>
        <v>50.80067878118404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328.55631138162721</v>
      </c>
      <c r="T105" s="59">
        <f t="shared" si="88"/>
        <v>321.81422611044985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25.139413089914868</v>
      </c>
      <c r="AA105" s="21">
        <f>EXP(-LN(2)/25)*AA104+(1-EXP(-LN(2)/25))/(LN(2)/25)*Calculateur!V105*Calculateur!X105*VLOOKUP('Données projet'!$B$9,Paramètres!$A$1:$I$89,3,0)*0.475*44/12</f>
        <v>20.851256260758632</v>
      </c>
      <c r="AB105" s="21">
        <f>EXP(-LN(2)/2)*AB104+(1-EXP(-LN(2)/2))/(LN(2)/2)*V105*Y105*VLOOKUP('Données projet'!$B$9,Paramètres!$A$1:$I$89,3,0)*0.475*44/12</f>
        <v>2.8088638333015992E-2</v>
      </c>
      <c r="AC105" s="22">
        <f t="shared" si="57"/>
        <v>46.018757989006517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353.37479213497227</v>
      </c>
      <c r="AO105" s="59">
        <f t="shared" si="90"/>
        <v>345.4750813433123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33.622876586857963</v>
      </c>
      <c r="AV105" s="21">
        <f>EXP(-LN(2)/25)*AV104+(1-EXP(-LN(2)/25))/(LN(2)/25)*Calculateur!AQ105*Calculateur!AS105*VLOOKUP('Données projet'!$B$10,Paramètres!$A$1:$I$89,3,0)*0.475*44/12</f>
        <v>27.88765248531946</v>
      </c>
      <c r="AW105" s="21">
        <f>EXP(-LN(2)/2)*AW104+(1-EXP(-LN(2)/2))/(LN(2)/2)*AQ105*AT105*VLOOKUP('Données projet'!$B$10,Paramètres!$A$1:$I$89,3,0)*0.475*44/12</f>
        <v>3.0479160744336514E-2</v>
      </c>
      <c r="AX105" s="21">
        <f t="shared" si="60"/>
        <v>61.541008232921754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359.57284550600366</v>
      </c>
      <c r="BJ105" s="59">
        <f t="shared" si="92"/>
        <v>351.38386928091433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34.282148676796353</v>
      </c>
      <c r="BQ105" s="21">
        <f>EXP(-LN(2)/25)*BQ104+(1-EXP(-LN(2)/25))/(LN(2)/25)*Calculateur!BL105*Calculateur!BN105*VLOOKUP('Données projet'!$B$11,Paramètres!$A$1:$I$89,3,0)*0.475*44/12</f>
        <v>28.434469200717881</v>
      </c>
      <c r="BR105" s="21">
        <f>EXP(-LN(2)/2)*BR104+(1-EXP(-LN(2)/2))/(LN(2)/2)*BL105*BO105*VLOOKUP('Données projet'!$B$11,Paramètres!$A$1:$I$89,3,0)*0.475*44/12</f>
        <v>3.1076791347166649E-2</v>
      </c>
      <c r="BS105" s="22">
        <f t="shared" si="63"/>
        <v>62.747694668861406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-8.5265128291212022E-14</v>
      </c>
      <c r="BZ105" s="13">
        <f>BY105*VLOOKUP('Données projet'!$B$12,Paramètres!$A$1:$I$89,3,0)*VLOOKUP('Données projet'!$B$12,Paramètres!$A$1:$I$89,5,0)</f>
        <v>-6.9167072069831198E-14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159.4660488566085</v>
      </c>
      <c r="CE105" s="59">
        <f t="shared" si="94"/>
        <v>135.33030558297088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11.600218313126302</v>
      </c>
      <c r="CM105" s="21">
        <f>EXP(-LN(2)/2)*CM104+(1-EXP(-LN(2)/2))/(LN(2)/2)*CG105*CJ105*VLOOKUP('Données projet'!$B$12,Paramètres!$A$1:$I$89,3,0)*0.475*44/12</f>
        <v>0.39132916286297958</v>
      </c>
      <c r="CN105" s="22">
        <f t="shared" si="66"/>
        <v>11.991547475989281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353.37479213497227</v>
      </c>
      <c r="CZ105" s="59">
        <f t="shared" si="96"/>
        <v>345.4750813433123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33.622876586857963</v>
      </c>
      <c r="DG105" s="21">
        <f>EXP(-LN(2)/25)*DG104+(1-EXP(-LN(2)/25))/(LN(2)/25)*Calculateur!DB105*Calculateur!DD105*VLOOKUP('Données projet'!$B$13,Paramètres!$A$1:$I$89,3,0)*0.475*44/12</f>
        <v>27.88765248531946</v>
      </c>
      <c r="DH105" s="21">
        <f>EXP(-LN(2)/2)*DH104+(1-EXP(-LN(2)/2))/(LN(2)/2)*DB105*DE105*VLOOKUP('Données projet'!$B$13,Paramètres!$A$1:$I$89,3,0)*0.475*44/12</f>
        <v>3.0479160744336514E-2</v>
      </c>
      <c r="DI105" s="22">
        <f t="shared" si="69"/>
        <v>61.541008232921754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8.9420000000000019</v>
      </c>
      <c r="DO105" s="12">
        <f>IF('Données projet'!$A$166&gt;35,DO104+DN105-DW104,IF(A105&lt;'Données projet'!$A$166,$DL$205^A105,IF(A105='Données projet'!$A$166,'Données projet'!$B$166,DO104+DN105-DW104)))</f>
        <v>384.31600000000054</v>
      </c>
      <c r="DP105" s="17">
        <f>DO105*VLOOKUP('Données projet'!$B$14,Paramètres!$A$1:$I$89,3,0)*VLOOKUP('Données projet'!$B$14,Paramètres!$A$1:$I$89,5,0)</f>
        <v>347.7291168000005</v>
      </c>
      <c r="DQ105" s="13">
        <f t="shared" si="97"/>
        <v>81.094735802697301</v>
      </c>
      <c r="DR105" s="20">
        <f t="shared" si="70"/>
        <v>746.86820994969855</v>
      </c>
      <c r="DS105" s="59">
        <f t="shared" si="71"/>
        <v>1040.2015432830319</v>
      </c>
      <c r="DT105" s="59">
        <f ca="1">AVERAGE(OFFSET($DS$3,0,0,'Données projet'!$E$14+1,1))-AVERAGE(OFFSET($H$3,0,0,'Données projet'!$E$14+1,1))</f>
        <v>635.71275911100679</v>
      </c>
      <c r="DU105" s="59">
        <f t="shared" si="98"/>
        <v>281.7776857269169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24.081753981573542</v>
      </c>
      <c r="EB105" s="21">
        <f>EXP(-LN(2)/25)*EB104+(1-EXP(-LN(2)/25))/(LN(2)/25)*Calculateur!DW105*Calculateur!DY105*VLOOKUP('Données projet'!$B$14,Paramètres!$A$1:$I$89,3,0)*0.475*44/12</f>
        <v>22.579717269703753</v>
      </c>
      <c r="EC105" s="21">
        <f>EXP(-LN(2)/2)*EC104+(1-EXP(-LN(2)/2))/(LN(2)/2)*DW105*DZ105*VLOOKUP('Données projet'!$B$14,Paramètres!$A$1:$I$89,3,0)*0.475*44/12</f>
        <v>0.37076252898305184</v>
      </c>
      <c r="ED105" s="22">
        <f t="shared" si="72"/>
        <v>47.032233780260341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8.9420000000000019</v>
      </c>
      <c r="EJ105" s="12">
        <f>IF('Données projet'!$A$192&gt;35,EJ104+EI105-ER104,IF(A105&lt;'Données projet'!$A$192,$EG$205^A105,IF(A105='Données projet'!$A$192,'Données projet'!$B$192,EJ104+EI105-ER104)))</f>
        <v>384.31600000000054</v>
      </c>
      <c r="EK105" s="17">
        <f>EJ105*VLOOKUP('Données projet'!$B$15,Paramètres!$A$1:$I$89,3,0)*VLOOKUP('Données projet'!$B$15,Paramètres!$A$1:$I$89,5,0)</f>
        <v>257.79917280000035</v>
      </c>
      <c r="EL105" s="13">
        <f t="shared" si="99"/>
        <v>62.253018689197752</v>
      </c>
      <c r="EM105" s="20">
        <f t="shared" si="73"/>
        <v>557.42423351035325</v>
      </c>
      <c r="EN105" s="59">
        <f t="shared" si="74"/>
        <v>850.75756684368662</v>
      </c>
      <c r="EO105" s="59">
        <f ca="1">AVERAGE(OFFSET($EN$3,0,0,'Données projet'!$E$15+1,1))-AVERAGE(OFFSET($H$3,0,0,'Données projet'!$E$15+1,1))</f>
        <v>482.99915419700773</v>
      </c>
      <c r="EP105" s="59">
        <f t="shared" si="100"/>
        <v>219.74157899604279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22.00574070729995</v>
      </c>
      <c r="EW105" s="21">
        <f>EXP(-LN(2)/25)*EW104+(1-EXP(-LN(2)/25))/(LN(2)/25)*Calculateur!ER105*Calculateur!ET105*VLOOKUP('Données projet'!$B$15,Paramètres!$A$1:$I$89,3,0)*0.475*44/12</f>
        <v>20.633189918867224</v>
      </c>
      <c r="EX105" s="21">
        <f>EXP(-LN(2)/2)*EX104+(1-EXP(-LN(2)/2))/(LN(2)/2)*ER105*EU105*VLOOKUP('Données projet'!$B$15,Paramètres!$A$1:$I$89,3,0)*0.475*44/12</f>
        <v>0.27487566803915936</v>
      </c>
      <c r="EY105" s="22">
        <f t="shared" si="75"/>
        <v>42.913806294206331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8.9420000000000019</v>
      </c>
      <c r="FE105" s="12">
        <f>IF('Données projet'!$A$218&gt;35,FE104+FD105-FM104,IF(A105&lt;'Données projet'!$A$218,$FB$205^A105,IF(A105='Données projet'!$A$218,'Données projet'!$B$218,FE104+FD105-FM104)))</f>
        <v>384.31600000000054</v>
      </c>
      <c r="FF105" s="17">
        <f>FE105*VLOOKUP('Données projet'!$B$16,Paramètres!$A$1:$I$89,3,0)*VLOOKUP('Données projet'!$B$16,Paramètres!$A$1:$I$89,5,0)</f>
        <v>365.71510560000053</v>
      </c>
      <c r="FG105" s="13">
        <f t="shared" si="101"/>
        <v>84.790096661420279</v>
      </c>
      <c r="FH105" s="20">
        <f t="shared" si="76"/>
        <v>784.62989393864109</v>
      </c>
      <c r="FI105" s="59">
        <f t="shared" si="77"/>
        <v>1077.9632272719743</v>
      </c>
      <c r="FJ105" s="59">
        <f ca="1">AVERAGE(OFFSET($FI$3,0,0,'Données projet'!$E$16+1,1))-AVERAGE(OFFSET($H$3,0,0,'Données projet'!$E$16+1,1))</f>
        <v>666.1523645983184</v>
      </c>
      <c r="FK105" s="59">
        <f t="shared" si="102"/>
        <v>294.13851344047526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25.327361946137685</v>
      </c>
      <c r="FR105" s="21">
        <f>EXP(-LN(2)/25)*FR104+(1-EXP(-LN(2)/25))/(LN(2)/25)*Calculateur!FM105*Calculateur!FO105*VLOOKUP('Données projet'!$B$16,Paramètres!$A$1:$I$89,3,0)*0.475*44/12</f>
        <v>23.74763368020567</v>
      </c>
      <c r="FS105" s="21">
        <f>EXP(-LN(2)/2)*FS104+(1-EXP(-LN(2)/2))/(LN(2)/2)*FM105*FP105*VLOOKUP('Données projet'!$B$16,Paramètres!$A$1:$I$89,3,0)*0.475*44/12</f>
        <v>0.38993990117183058</v>
      </c>
      <c r="FT105" s="22">
        <f t="shared" si="78"/>
        <v>49.464935527515181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328.55631138162721</v>
      </c>
      <c r="T106" s="59">
        <f t="shared" si="88"/>
        <v>321.81422611044985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24.646444532749562</v>
      </c>
      <c r="AA106" s="21">
        <f>EXP(-LN(2)/25)*AA105+(1-EXP(-LN(2)/25))/(LN(2)/25)*Calculateur!V106*Calculateur!X106*VLOOKUP('Données projet'!$B$9,Paramètres!$A$1:$I$89,3,0)*0.475*44/12</f>
        <v>20.281077561788276</v>
      </c>
      <c r="AB106" s="21">
        <f>EXP(-LN(2)/2)*AB105+(1-EXP(-LN(2)/2))/(LN(2)/2)*V106*Y106*VLOOKUP('Données projet'!$B$9,Paramètres!$A$1:$I$89,3,0)*0.475*44/12</f>
        <v>1.986166663957201E-2</v>
      </c>
      <c r="AC106" s="22">
        <f t="shared" si="57"/>
        <v>44.947383761177406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353.37479213497227</v>
      </c>
      <c r="AO106" s="59">
        <f t="shared" si="90"/>
        <v>345.4750813433123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32.963552484919404</v>
      </c>
      <c r="AV106" s="21">
        <f>EXP(-LN(2)/25)*AV105+(1-EXP(-LN(2)/25))/(LN(2)/25)*Calculateur!AQ106*Calculateur!AS106*VLOOKUP('Données projet'!$B$10,Paramètres!$A$1:$I$89,3,0)*0.475*44/12</f>
        <v>27.125063161560494</v>
      </c>
      <c r="AW106" s="21">
        <f>EXP(-LN(2)/2)*AW105+(1-EXP(-LN(2)/2))/(LN(2)/2)*AQ106*AT106*VLOOKUP('Données projet'!$B$10,Paramètres!$A$1:$I$89,3,0)*0.475*44/12</f>
        <v>2.1552021247195172E-2</v>
      </c>
      <c r="AX106" s="21">
        <f t="shared" si="60"/>
        <v>60.11016766772709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359.57284550600366</v>
      </c>
      <c r="BJ106" s="59">
        <f t="shared" si="92"/>
        <v>351.38386928091433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33.609896651290377</v>
      </c>
      <c r="BQ106" s="21">
        <f>EXP(-LN(2)/25)*BQ105+(1-EXP(-LN(2)/25))/(LN(2)/25)*Calculateur!BL106*Calculateur!BN106*VLOOKUP('Données projet'!$B$11,Paramètres!$A$1:$I$89,3,0)*0.475*44/12</f>
        <v>27.656927145120502</v>
      </c>
      <c r="BR106" s="21">
        <f>EXP(-LN(2)/2)*BR105+(1-EXP(-LN(2)/2))/(LN(2)/2)*BL106*BO106*VLOOKUP('Données projet'!$B$11,Paramètres!$A$1:$I$89,3,0)*0.475*44/12</f>
        <v>2.1974609899100963E-2</v>
      </c>
      <c r="BS106" s="22">
        <f t="shared" si="63"/>
        <v>61.288798406309979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-8.5265128291212022E-14</v>
      </c>
      <c r="BZ106" s="13">
        <f>BY106*VLOOKUP('Données projet'!$B$12,Paramètres!$A$1:$I$89,3,0)*VLOOKUP('Données projet'!$B$12,Paramètres!$A$1:$I$89,5,0)</f>
        <v>-6.9167072069831198E-14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159.4660488566085</v>
      </c>
      <c r="CE106" s="59">
        <f t="shared" si="94"/>
        <v>135.33030558297088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11.283009733324894</v>
      </c>
      <c r="CM106" s="21">
        <f>EXP(-LN(2)/2)*CM105+(1-EXP(-LN(2)/2))/(LN(2)/2)*CG106*CJ106*VLOOKUP('Données projet'!$B$12,Paramètres!$A$1:$I$89,3,0)*0.475*44/12</f>
        <v>0.27671150473646772</v>
      </c>
      <c r="CN106" s="22">
        <f t="shared" si="66"/>
        <v>11.559721238061362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353.37479213497227</v>
      </c>
      <c r="CZ106" s="59">
        <f t="shared" si="96"/>
        <v>345.4750813433123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32.963552484919404</v>
      </c>
      <c r="DG106" s="21">
        <f>EXP(-LN(2)/25)*DG105+(1-EXP(-LN(2)/25))/(LN(2)/25)*Calculateur!DB106*Calculateur!DD106*VLOOKUP('Données projet'!$B$13,Paramètres!$A$1:$I$89,3,0)*0.475*44/12</f>
        <v>27.125063161560494</v>
      </c>
      <c r="DH106" s="21">
        <f>EXP(-LN(2)/2)*DH105+(1-EXP(-LN(2)/2))/(LN(2)/2)*DB106*DE106*VLOOKUP('Données projet'!$B$13,Paramètres!$A$1:$I$89,3,0)*0.475*44/12</f>
        <v>2.1552021247195172E-2</v>
      </c>
      <c r="DI106" s="22">
        <f t="shared" si="69"/>
        <v>60.11016766772709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8.9420000000000019</v>
      </c>
      <c r="DO106" s="12">
        <f>IF('Données projet'!$A$166&gt;35,DO105+DN106-DW105,IF(A106&lt;'Données projet'!$A$166,$DL$205^A106,IF(A106='Données projet'!$A$166,'Données projet'!$B$166,DO105+DN106-DW105)))</f>
        <v>393.25800000000055</v>
      </c>
      <c r="DP106" s="17">
        <f>DO106*VLOOKUP('Données projet'!$B$14,Paramètres!$A$1:$I$89,3,0)*VLOOKUP('Données projet'!$B$14,Paramètres!$A$1:$I$89,5,0)</f>
        <v>355.81983840000049</v>
      </c>
      <c r="DQ106" s="13">
        <f t="shared" si="97"/>
        <v>82.759723795307863</v>
      </c>
      <c r="DR106" s="20">
        <f t="shared" si="70"/>
        <v>763.85940415682887</v>
      </c>
      <c r="DS106" s="59">
        <f t="shared" si="71"/>
        <v>1057.1927374901622</v>
      </c>
      <c r="DT106" s="59">
        <f ca="1">AVERAGE(OFFSET($DS$3,0,0,'Données projet'!$E$14+1,1))-AVERAGE(OFFSET($H$3,0,0,'Données projet'!$E$14+1,1))</f>
        <v>635.71275911100679</v>
      </c>
      <c r="DU106" s="59">
        <f t="shared" si="98"/>
        <v>281.7776857269169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23.60952547441445</v>
      </c>
      <c r="EB106" s="21">
        <f>EXP(-LN(2)/25)*EB105+(1-EXP(-LN(2)/25))/(LN(2)/25)*Calculateur!DW106*Calculateur!DY106*VLOOKUP('Données projet'!$B$14,Paramètres!$A$1:$I$89,3,0)*0.475*44/12</f>
        <v>21.96227371354798</v>
      </c>
      <c r="EC106" s="21">
        <f>EXP(-LN(2)/2)*EC105+(1-EXP(-LN(2)/2))/(LN(2)/2)*DW106*DZ106*VLOOKUP('Données projet'!$B$14,Paramètres!$A$1:$I$89,3,0)*0.475*44/12</f>
        <v>0.26216869845378982</v>
      </c>
      <c r="ED106" s="22">
        <f t="shared" si="72"/>
        <v>45.833967886416218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8.9420000000000019</v>
      </c>
      <c r="EJ106" s="12">
        <f>IF('Données projet'!$A$192&gt;35,EJ105+EI106-ER105,IF(A106&lt;'Données projet'!$A$192,$EG$205^A106,IF(A106='Données projet'!$A$192,'Données projet'!$B$192,EJ105+EI106-ER105)))</f>
        <v>393.25800000000055</v>
      </c>
      <c r="EK106" s="17">
        <f>EJ106*VLOOKUP('Données projet'!$B$15,Paramètres!$A$1:$I$89,3,0)*VLOOKUP('Données projet'!$B$15,Paramètres!$A$1:$I$89,5,0)</f>
        <v>263.79746640000036</v>
      </c>
      <c r="EL106" s="13">
        <f t="shared" si="99"/>
        <v>63.531159959346972</v>
      </c>
      <c r="EM106" s="20">
        <f t="shared" si="73"/>
        <v>570.09735757586316</v>
      </c>
      <c r="EN106" s="59">
        <f t="shared" si="74"/>
        <v>863.43069090919653</v>
      </c>
      <c r="EO106" s="59">
        <f ca="1">AVERAGE(OFFSET($EN$3,0,0,'Données projet'!$E$15+1,1))-AVERAGE(OFFSET($H$3,0,0,'Données projet'!$E$15+1,1))</f>
        <v>482.99915419700773</v>
      </c>
      <c r="EP106" s="59">
        <f t="shared" si="100"/>
        <v>219.74157899604279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21.5742215542063</v>
      </c>
      <c r="EW106" s="21">
        <f>EXP(-LN(2)/25)*EW105+(1-EXP(-LN(2)/25))/(LN(2)/25)*Calculateur!ER106*Calculateur!ET106*VLOOKUP('Données projet'!$B$15,Paramètres!$A$1:$I$89,3,0)*0.475*44/12</f>
        <v>20.0689742554835</v>
      </c>
      <c r="EX106" s="21">
        <f>EXP(-LN(2)/2)*EX105+(1-EXP(-LN(2)/2))/(LN(2)/2)*ER106*EU106*VLOOKUP('Données projet'!$B$15,Paramètres!$A$1:$I$89,3,0)*0.475*44/12</f>
        <v>0.19436644885367194</v>
      </c>
      <c r="EY106" s="22">
        <f t="shared" si="75"/>
        <v>41.837562258543471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8.9420000000000019</v>
      </c>
      <c r="FE106" s="12">
        <f>IF('Données projet'!$A$218&gt;35,FE105+FD106-FM105,IF(A106&lt;'Données projet'!$A$218,$FB$205^A106,IF(A106='Données projet'!$A$218,'Données projet'!$B$218,FE105+FD106-FM105)))</f>
        <v>393.25800000000055</v>
      </c>
      <c r="FF106" s="17">
        <f>FE106*VLOOKUP('Données projet'!$B$16,Paramètres!$A$1:$I$89,3,0)*VLOOKUP('Données projet'!$B$16,Paramètres!$A$1:$I$89,5,0)</f>
        <v>374.22431280000052</v>
      </c>
      <c r="FG106" s="13">
        <f t="shared" si="101"/>
        <v>86.530955564728501</v>
      </c>
      <c r="FH106" s="20">
        <f t="shared" si="76"/>
        <v>802.48209240190306</v>
      </c>
      <c r="FI106" s="59">
        <f t="shared" si="77"/>
        <v>1095.8154257352364</v>
      </c>
      <c r="FJ106" s="59">
        <f ca="1">AVERAGE(OFFSET($FI$3,0,0,'Données projet'!$E$16+1,1))-AVERAGE(OFFSET($H$3,0,0,'Données projet'!$E$16+1,1))</f>
        <v>666.1523645983184</v>
      </c>
      <c r="FK106" s="59">
        <f t="shared" si="102"/>
        <v>294.13851344047526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24.830707826539332</v>
      </c>
      <c r="FR106" s="21">
        <f>EXP(-LN(2)/25)*FR105+(1-EXP(-LN(2)/25))/(LN(2)/25)*Calculateur!FM106*Calculateur!FO106*VLOOKUP('Données projet'!$B$16,Paramètres!$A$1:$I$89,3,0)*0.475*44/12</f>
        <v>23.098253388386667</v>
      </c>
      <c r="FS106" s="21">
        <f>EXP(-LN(2)/2)*FS105+(1-EXP(-LN(2)/2))/(LN(2)/2)*FM106*FP106*VLOOKUP('Données projet'!$B$16,Paramètres!$A$1:$I$89,3,0)*0.475*44/12</f>
        <v>0.27572914837381357</v>
      </c>
      <c r="FT106" s="22">
        <f t="shared" si="78"/>
        <v>48.204690363299811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328.55631138162721</v>
      </c>
      <c r="T107" s="59">
        <f t="shared" si="88"/>
        <v>321.81422611044985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24.163142788309138</v>
      </c>
      <c r="AA107" s="21">
        <f>EXP(-LN(2)/25)*AA106+(1-EXP(-LN(2)/25))/(LN(2)/25)*Calculateur!V107*Calculateur!X107*VLOOKUP('Données projet'!$B$9,Paramètres!$A$1:$I$89,3,0)*0.475*44/12</f>
        <v>19.726490429325661</v>
      </c>
      <c r="AB107" s="21">
        <f>EXP(-LN(2)/2)*AB106+(1-EXP(-LN(2)/2))/(LN(2)/2)*V107*Y107*VLOOKUP('Données projet'!$B$9,Paramètres!$A$1:$I$89,3,0)*0.475*44/12</f>
        <v>1.4044319166507996E-2</v>
      </c>
      <c r="AC107" s="22">
        <f t="shared" si="57"/>
        <v>43.903677536801304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353.37479213497227</v>
      </c>
      <c r="AO107" s="59">
        <f t="shared" si="90"/>
        <v>345.4750813433123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32.317157326471872</v>
      </c>
      <c r="AV107" s="21">
        <f>EXP(-LN(2)/25)*AV106+(1-EXP(-LN(2)/25))/(LN(2)/25)*Calculateur!AQ107*Calculateur!AS107*VLOOKUP('Données projet'!$B$10,Paramètres!$A$1:$I$89,3,0)*0.475*44/12</f>
        <v>26.383326882962546</v>
      </c>
      <c r="AW107" s="21">
        <f>EXP(-LN(2)/2)*AW106+(1-EXP(-LN(2)/2))/(LN(2)/2)*AQ107*AT107*VLOOKUP('Données projet'!$B$10,Paramètres!$A$1:$I$89,3,0)*0.475*44/12</f>
        <v>1.5239580372168261E-2</v>
      </c>
      <c r="AX107" s="21">
        <f t="shared" si="60"/>
        <v>58.715723789806589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359.57284550600366</v>
      </c>
      <c r="BJ107" s="59">
        <f t="shared" si="92"/>
        <v>351.38386928091433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32.950827077971319</v>
      </c>
      <c r="BQ107" s="21">
        <f>EXP(-LN(2)/25)*BQ106+(1-EXP(-LN(2)/25))/(LN(2)/25)*Calculateur!BL107*Calculateur!BN107*VLOOKUP('Données projet'!$B$11,Paramètres!$A$1:$I$89,3,0)*0.475*44/12</f>
        <v>26.900647017922594</v>
      </c>
      <c r="BR107" s="21">
        <f>EXP(-LN(2)/2)*BR106+(1-EXP(-LN(2)/2))/(LN(2)/2)*BL107*BO107*VLOOKUP('Données projet'!$B$11,Paramètres!$A$1:$I$89,3,0)*0.475*44/12</f>
        <v>1.5538395673583326E-2</v>
      </c>
      <c r="BS107" s="22">
        <f t="shared" si="63"/>
        <v>59.867012491567493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-8.5265128291212022E-14</v>
      </c>
      <c r="BZ107" s="13">
        <f>BY107*VLOOKUP('Données projet'!$B$12,Paramètres!$A$1:$I$89,3,0)*VLOOKUP('Données projet'!$B$12,Paramètres!$A$1:$I$89,5,0)</f>
        <v>-6.9167072069831198E-14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159.4660488566085</v>
      </c>
      <c r="CE107" s="59">
        <f t="shared" si="94"/>
        <v>135.33030558297088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10.97447523881943</v>
      </c>
      <c r="CM107" s="21">
        <f>EXP(-LN(2)/2)*CM106+(1-EXP(-LN(2)/2))/(LN(2)/2)*CG107*CJ107*VLOOKUP('Données projet'!$B$12,Paramètres!$A$1:$I$89,3,0)*0.475*44/12</f>
        <v>0.19566458143148979</v>
      </c>
      <c r="CN107" s="22">
        <f t="shared" si="66"/>
        <v>11.17013982025092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353.37479213497227</v>
      </c>
      <c r="CZ107" s="59">
        <f t="shared" si="96"/>
        <v>345.4750813433123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32.317157326471872</v>
      </c>
      <c r="DG107" s="21">
        <f>EXP(-LN(2)/25)*DG106+(1-EXP(-LN(2)/25))/(LN(2)/25)*Calculateur!DB107*Calculateur!DD107*VLOOKUP('Données projet'!$B$13,Paramètres!$A$1:$I$89,3,0)*0.475*44/12</f>
        <v>26.383326882962546</v>
      </c>
      <c r="DH107" s="21">
        <f>EXP(-LN(2)/2)*DH106+(1-EXP(-LN(2)/2))/(LN(2)/2)*DB107*DE107*VLOOKUP('Données projet'!$B$13,Paramètres!$A$1:$I$89,3,0)*0.475*44/12</f>
        <v>1.5239580372168261E-2</v>
      </c>
      <c r="DI107" s="22">
        <f t="shared" si="69"/>
        <v>58.715723789806589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>
        <f>VLOOKUP(A107,'Données projet'!$A$165:$I$185,2,0)</f>
        <v>402.2</v>
      </c>
      <c r="DM107" s="12">
        <f>VLOOKUP(A107,'Données projet'!$A$165:$I$185,9,0)</f>
        <v>8.9420000000000019</v>
      </c>
      <c r="DN107" s="12">
        <f t="array" ref="DN107">INDEX(DM:DM,MIN(IF(ISNUMBER(DM107:DM303),ROW(DM107:DM303),"")))</f>
        <v>8.9420000000000019</v>
      </c>
      <c r="DO107" s="12">
        <f>IF('Données projet'!$A$166&gt;35,DO106+DN107-DW106,IF(A107&lt;'Données projet'!$A$166,$DL$205^A107,IF(A107='Données projet'!$A$166,'Données projet'!$B$166,DO106+DN107-DW106)))</f>
        <v>402.20000000000056</v>
      </c>
      <c r="DP107" s="17">
        <f>DO107*VLOOKUP('Données projet'!$B$14,Paramètres!$A$1:$I$89,3,0)*VLOOKUP('Données projet'!$B$14,Paramètres!$A$1:$I$89,5,0)</f>
        <v>363.91056000000049</v>
      </c>
      <c r="DQ107" s="13">
        <f t="shared" si="97"/>
        <v>84.42031043556446</v>
      </c>
      <c r="DR107" s="20">
        <f t="shared" si="70"/>
        <v>780.84293267527562</v>
      </c>
      <c r="DS107" s="59">
        <f t="shared" si="71"/>
        <v>1074.176266008609</v>
      </c>
      <c r="DT107" s="59">
        <f ca="1">AVERAGE(OFFSET($DS$3,0,0,'Données projet'!$E$14+1,1))-AVERAGE(OFFSET($H$3,0,0,'Données projet'!$E$14+1,1))</f>
        <v>635.71275911100679</v>
      </c>
      <c r="DU107" s="59">
        <f t="shared" si="98"/>
        <v>281.7776857269169</v>
      </c>
      <c r="DV107" s="15">
        <f>IF(ISNA(VLOOKUP(A107,'Données projet'!$A$165:$I$185,3,0)),0,VLOOKUP(A107,'Données projet'!$A$165:$I$185,3,0))</f>
        <v>8</v>
      </c>
      <c r="DW107" s="15">
        <f>IF(ISNA(VLOOKUP(A107,'Données projet'!$A$165:$I$185,4,0)),0,VLOOKUP(A107,'Données projet'!$A$165:$I$185,4,0))</f>
        <v>66.089999999999975</v>
      </c>
      <c r="DX107" s="16">
        <f>IF(ISNA(VLOOKUP(A107,'Données projet'!$A$165:$I$185,5,0)),0%,VLOOKUP(A107,'Données projet'!$A$165:$I$185,5,0)*VLOOKUP('Données projet'!$B$14,Paramètres!$A$1:$I$89,7,0))</f>
        <v>0.15049999999999999</v>
      </c>
      <c r="DY107" s="16">
        <f>IF(ISNA(VLOOKUP(A107,'Données projet'!$A$165:$I$185,6,0)),0%,VLOOKUP(A107,'Données projet'!$A$165:$I$185,6,0)*VLOOKUP('Données projet'!$B$14,Paramètres!$A$1:$I$89,7,0))</f>
        <v>8.6000000000000007E-2</v>
      </c>
      <c r="DZ107" s="16">
        <f>IF(ISNA(VLOOKUP(A107,'Données projet'!$A$165:$I$185,7,0)),0%,VLOOKUP(A107,'Données projet'!$A$165:$I$185,7,0))</f>
        <v>0.1</v>
      </c>
      <c r="EA107" s="21">
        <f>EXP(-LN(2)/35)*EA106+(1-EXP(-LN(2)/35))/(LN(2)/35)*DW107*DX107*VLOOKUP('Données projet'!$B$14,Paramètres!$A$1:$I$89,3,0)*0.475*44/12</f>
        <v>33.09538580102793</v>
      </c>
      <c r="EB107" s="21">
        <f>EXP(-LN(2)/25)*EB106+(1-EXP(-LN(2)/25))/(LN(2)/25)*Calculateur!DW107*Calculateur!DY107*VLOOKUP('Données projet'!$B$14,Paramètres!$A$1:$I$89,3,0)*0.475*44/12</f>
        <v>27.024374978935796</v>
      </c>
      <c r="EC107" s="21">
        <f>EXP(-LN(2)/2)*EC106+(1-EXP(-LN(2)/2))/(LN(2)/2)*DW107*DZ107*VLOOKUP('Données projet'!$B$14,Paramètres!$A$1:$I$89,3,0)*0.475*44/12</f>
        <v>5.8275053982732432</v>
      </c>
      <c r="ED107" s="22">
        <f t="shared" si="72"/>
        <v>65.947266178236973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>
        <f>VLOOKUP(A107,'Données projet'!$A$191:$I$211,2,0)</f>
        <v>402.2</v>
      </c>
      <c r="EH107" s="12">
        <f>VLOOKUP(A107,'Données projet'!$A$191:$I$211,9,0)</f>
        <v>8.9420000000000019</v>
      </c>
      <c r="EI107" s="12">
        <f t="array" ref="EI107">INDEX(EH:EH,MIN(IF(ISNUMBER(EH107:EH303),ROW(EH107:EH303),"")))</f>
        <v>8.9420000000000019</v>
      </c>
      <c r="EJ107" s="12">
        <f>IF('Données projet'!$A$192&gt;35,EJ106+EI107-ER106,IF(A107&lt;'Données projet'!$A$192,$EG$205^A107,IF(A107='Données projet'!$A$192,'Données projet'!$B$192,EJ106+EI107-ER106)))</f>
        <v>402.20000000000056</v>
      </c>
      <c r="EK107" s="17">
        <f>EJ107*VLOOKUP('Données projet'!$B$15,Paramètres!$A$1:$I$89,3,0)*VLOOKUP('Données projet'!$B$15,Paramètres!$A$1:$I$89,5,0)</f>
        <v>269.79576000000037</v>
      </c>
      <c r="EL107" s="13">
        <f t="shared" si="99"/>
        <v>64.805922496368368</v>
      </c>
      <c r="EM107" s="20">
        <f t="shared" si="73"/>
        <v>582.76459701450892</v>
      </c>
      <c r="EN107" s="59">
        <f t="shared" si="74"/>
        <v>876.09793034784229</v>
      </c>
      <c r="EO107" s="59">
        <f ca="1">AVERAGE(OFFSET($EN$3,0,0,'Données projet'!$E$15+1,1))-AVERAGE(OFFSET($H$3,0,0,'Données projet'!$E$15+1,1))</f>
        <v>482.99915419700773</v>
      </c>
      <c r="EP107" s="59">
        <f t="shared" si="100"/>
        <v>219.74157899604279</v>
      </c>
      <c r="EQ107" s="15">
        <f>IF(ISNA(VLOOKUP(A107,'Données projet'!$A$191:$I$211,3,0)),0,VLOOKUP(A107,'Données projet'!$A$191:$I$211,3,0))</f>
        <v>8</v>
      </c>
      <c r="ER107" s="15">
        <f>IF(ISNA(VLOOKUP(A107,'Données projet'!$A$191:$I$211,4,0)),0,VLOOKUP(A107,'Données projet'!$A$191:$I$211,4,0))</f>
        <v>66.089999999999975</v>
      </c>
      <c r="ES107" s="16">
        <f>IF(ISNA(VLOOKUP(A107,'Données projet'!$A$191:$I$211,5,0)),0%,VLOOKUP(A107,'Données projet'!$A$191:$I$211,5,0)*VLOOKUP('Données projet'!$B$15,Paramètres!$A$1:$I$89,7,0))</f>
        <v>0.1855</v>
      </c>
      <c r="ET107" s="16">
        <f>IF(ISNA(VLOOKUP(A107,'Données projet'!$A$191:$I$211,6,0)),0%,VLOOKUP(A107,'Données projet'!$A$191:$I$211,6,0)*VLOOKUP('Données projet'!$B$15,Paramètres!$A$1:$I$89,7,0))</f>
        <v>0.10600000000000001</v>
      </c>
      <c r="EU107" s="16">
        <f>IF(ISNA(VLOOKUP(A107,'Données projet'!$A$191:$I$211,7,0)),0%,VLOOKUP(A107,'Données projet'!$A$191:$I$211,7,0))</f>
        <v>0.1</v>
      </c>
      <c r="EV107" s="21">
        <f>EXP(-LN(2)/35)*EV106+(1-EXP(-LN(2)/35))/(LN(2)/35)*ER107*ES107*VLOOKUP('Données projet'!$B$15,Paramètres!$A$1:$I$89,3,0)*0.475*44/12</f>
        <v>30.242335300939306</v>
      </c>
      <c r="EW107" s="21">
        <f>EXP(-LN(2)/25)*EW106+(1-EXP(-LN(2)/25))/(LN(2)/25)*Calculateur!ER107*Calculateur!ET107*VLOOKUP('Données projet'!$B$15,Paramètres!$A$1:$I$89,3,0)*0.475*44/12</f>
        <v>24.694687480751675</v>
      </c>
      <c r="EX107" s="21">
        <f>EXP(-LN(2)/2)*EX106+(1-EXP(-LN(2)/2))/(LN(2)/2)*ER107*EU107*VLOOKUP('Données projet'!$B$15,Paramètres!$A$1:$I$89,3,0)*0.475*44/12</f>
        <v>4.3203919332025773</v>
      </c>
      <c r="EY107" s="22">
        <f t="shared" si="75"/>
        <v>59.257414714893564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>
        <f>VLOOKUP(A107,'Données projet'!$A$217:$I$237,2,0)</f>
        <v>402.2</v>
      </c>
      <c r="FC107" s="12">
        <f>VLOOKUP(A107,'Données projet'!$A$217:$I$237,9,0)</f>
        <v>8.9420000000000019</v>
      </c>
      <c r="FD107" s="12">
        <f t="array" ref="FD107">INDEX(FC:FC,MIN(IF(ISNUMBER(FC107:FC303),ROW(FC107:FC303),"")))</f>
        <v>8.9420000000000019</v>
      </c>
      <c r="FE107" s="12">
        <f>IF('Données projet'!$A$218&gt;35,FE106+FD107-FM106,IF(A107&lt;'Données projet'!$A$218,$FB$205^A107,IF(A107='Données projet'!$A$218,'Données projet'!$B$218,FE106+FD107-FM106)))</f>
        <v>402.20000000000056</v>
      </c>
      <c r="FF107" s="17">
        <f>FE107*VLOOKUP('Données projet'!$B$16,Paramètres!$A$1:$I$89,3,0)*VLOOKUP('Données projet'!$B$16,Paramètres!$A$1:$I$89,5,0)</f>
        <v>382.73352000000051</v>
      </c>
      <c r="FG107" s="13">
        <f t="shared" si="101"/>
        <v>88.267212552908205</v>
      </c>
      <c r="FH107" s="20">
        <f t="shared" si="76"/>
        <v>820.3262758629827</v>
      </c>
      <c r="FI107" s="59">
        <f t="shared" si="77"/>
        <v>1113.6596091963161</v>
      </c>
      <c r="FJ107" s="59">
        <f ca="1">AVERAGE(OFFSET($FI$3,0,0,'Données projet'!$E$16+1,1))-AVERAGE(OFFSET($H$3,0,0,'Données projet'!$E$16+1,1))</f>
        <v>666.1523645983184</v>
      </c>
      <c r="FK107" s="59">
        <f t="shared" si="102"/>
        <v>294.13851344047526</v>
      </c>
      <c r="FL107" s="15">
        <f>IF(ISNA(VLOOKUP(A107,'Données projet'!$A$217:$I$237,3,0)),0,VLOOKUP(A107,'Données projet'!$A$217:$I$237,3,0))</f>
        <v>8</v>
      </c>
      <c r="FM107" s="15">
        <f>IF(ISNA(VLOOKUP(A107,'Données projet'!$A$217:$I$237,4,0)),0,VLOOKUP(A107,'Données projet'!$A$217:$I$237,4,0))</f>
        <v>66.089999999999975</v>
      </c>
      <c r="FN107" s="16">
        <f>IF(ISNA(VLOOKUP(A107,'Données projet'!$A$217:$I$237,5,0)),0%,VLOOKUP(A107,'Données projet'!$A$217:$I$237,5,0)*VLOOKUP('Données projet'!$B$16,Paramètres!$A$1:$I$89,7,0))</f>
        <v>0.15049999999999999</v>
      </c>
      <c r="FO107" s="16">
        <f>IF(ISNA(VLOOKUP(A107,'Données projet'!$A$217:$I$237,6,0)),0%,VLOOKUP(A107,'Données projet'!$A$217:$I$237,6,0)*VLOOKUP('Données projet'!$B$16,Paramètres!$A$1:$I$89,7,0))</f>
        <v>8.6000000000000007E-2</v>
      </c>
      <c r="FP107" s="16">
        <f>IF(ISNA(VLOOKUP(A107,'Données projet'!$A$217:$I$237,7,0)),0%,VLOOKUP(A107,'Données projet'!$A$217:$I$237,7,0))</f>
        <v>0.1</v>
      </c>
      <c r="FQ107" s="21">
        <f>EXP(-LN(2)/35)*FQ106+(1-EXP(-LN(2)/35))/(LN(2)/35)*FM107*FN107*VLOOKUP('Données projet'!$B$16,Paramètres!$A$1:$I$89,3,0)*0.475*44/12</f>
        <v>34.807216101081096</v>
      </c>
      <c r="FR107" s="21">
        <f>EXP(-LN(2)/25)*FR106+(1-EXP(-LN(2)/25))/(LN(2)/25)*Calculateur!FM107*Calculateur!FO107*VLOOKUP('Données projet'!$B$16,Paramètres!$A$1:$I$89,3,0)*0.475*44/12</f>
        <v>28.422187477846265</v>
      </c>
      <c r="FS107" s="21">
        <f>EXP(-LN(2)/2)*FS106+(1-EXP(-LN(2)/2))/(LN(2)/2)*FM107*FP107*VLOOKUP('Données projet'!$B$16,Paramètres!$A$1:$I$89,3,0)*0.475*44/12</f>
        <v>6.128928091287376</v>
      </c>
      <c r="FT107" s="22">
        <f t="shared" si="78"/>
        <v>69.358331670214739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328.55631138162721</v>
      </c>
      <c r="T108" s="59">
        <f t="shared" si="88"/>
        <v>321.81422611044985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23.689318296292235</v>
      </c>
      <c r="AA108" s="21">
        <f>EXP(-LN(2)/25)*AA107+(1-EXP(-LN(2)/25))/(LN(2)/25)*Calculateur!V108*Calculateur!X108*VLOOKUP('Données projet'!$B$9,Paramètres!$A$1:$I$89,3,0)*0.475*44/12</f>
        <v>19.187068511164703</v>
      </c>
      <c r="AB108" s="21">
        <f>EXP(-LN(2)/2)*AB107+(1-EXP(-LN(2)/2))/(LN(2)/2)*V108*Y108*VLOOKUP('Données projet'!$B$9,Paramètres!$A$1:$I$89,3,0)*0.475*44/12</f>
        <v>9.930833319786005E-3</v>
      </c>
      <c r="AC108" s="22">
        <f t="shared" si="57"/>
        <v>42.886317640776724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353.37479213497227</v>
      </c>
      <c r="AO108" s="59">
        <f t="shared" si="90"/>
        <v>345.4750813433123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31.683437582819376</v>
      </c>
      <c r="AV108" s="21">
        <f>EXP(-LN(2)/25)*AV107+(1-EXP(-LN(2)/25))/(LN(2)/25)*Calculateur!AQ108*Calculateur!AS108*VLOOKUP('Données projet'!$B$10,Paramètres!$A$1:$I$89,3,0)*0.475*44/12</f>
        <v>25.661873421909075</v>
      </c>
      <c r="AW108" s="21">
        <f>EXP(-LN(2)/2)*AW107+(1-EXP(-LN(2)/2))/(LN(2)/2)*AQ108*AT108*VLOOKUP('Données projet'!$B$10,Paramètres!$A$1:$I$89,3,0)*0.475*44/12</f>
        <v>1.0776010623597588E-2</v>
      </c>
      <c r="AX108" s="21">
        <f t="shared" si="60"/>
        <v>57.356087015352045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359.57284550600366</v>
      </c>
      <c r="BJ108" s="59">
        <f t="shared" si="92"/>
        <v>351.38386928091433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32.304681456992306</v>
      </c>
      <c r="BQ108" s="21">
        <f>EXP(-LN(2)/25)*BQ107+(1-EXP(-LN(2)/25))/(LN(2)/25)*Calculateur!BL108*Calculateur!BN108*VLOOKUP('Données projet'!$B$11,Paramètres!$A$1:$I$89,3,0)*0.475*44/12</f>
        <v>26.165047410573955</v>
      </c>
      <c r="BR108" s="21">
        <f>EXP(-LN(2)/2)*BR107+(1-EXP(-LN(2)/2))/(LN(2)/2)*BL108*BO108*VLOOKUP('Données projet'!$B$11,Paramètres!$A$1:$I$89,3,0)*0.475*44/12</f>
        <v>1.0987304949550483E-2</v>
      </c>
      <c r="BS108" s="22">
        <f t="shared" si="63"/>
        <v>58.480716172515812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-8.5265128291212022E-14</v>
      </c>
      <c r="BZ108" s="13">
        <f>BY108*VLOOKUP('Données projet'!$B$12,Paramètres!$A$1:$I$89,3,0)*VLOOKUP('Données projet'!$B$12,Paramètres!$A$1:$I$89,5,0)</f>
        <v>-6.9167072069831198E-14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159.4660488566085</v>
      </c>
      <c r="CE108" s="59">
        <f t="shared" si="94"/>
        <v>135.33030558297088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10.674377636291343</v>
      </c>
      <c r="CM108" s="21">
        <f>EXP(-LN(2)/2)*CM107+(1-EXP(-LN(2)/2))/(LN(2)/2)*CG108*CJ108*VLOOKUP('Données projet'!$B$12,Paramètres!$A$1:$I$89,3,0)*0.475*44/12</f>
        <v>0.13835575236823386</v>
      </c>
      <c r="CN108" s="22">
        <f t="shared" si="66"/>
        <v>10.812733388659577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353.37479213497227</v>
      </c>
      <c r="CZ108" s="59">
        <f t="shared" si="96"/>
        <v>345.4750813433123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31.683437582819376</v>
      </c>
      <c r="DG108" s="21">
        <f>EXP(-LN(2)/25)*DG107+(1-EXP(-LN(2)/25))/(LN(2)/25)*Calculateur!DB108*Calculateur!DD108*VLOOKUP('Données projet'!$B$13,Paramètres!$A$1:$I$89,3,0)*0.475*44/12</f>
        <v>25.661873421909075</v>
      </c>
      <c r="DH108" s="21">
        <f>EXP(-LN(2)/2)*DH107+(1-EXP(-LN(2)/2))/(LN(2)/2)*DB108*DE108*VLOOKUP('Données projet'!$B$13,Paramètres!$A$1:$I$89,3,0)*0.475*44/12</f>
        <v>1.0776010623597588E-2</v>
      </c>
      <c r="DI108" s="22">
        <f t="shared" si="69"/>
        <v>57.356087015352045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8.8449999999999989</v>
      </c>
      <c r="DO108" s="12">
        <f>IF('Données projet'!$A$166&gt;35,DO107+DN108-DW107,IF(A108&lt;'Données projet'!$A$166,$DL$205^A108,IF(A108='Données projet'!$A$166,'Données projet'!$B$166,DO107+DN108-DW107)))</f>
        <v>344.95500000000055</v>
      </c>
      <c r="DP108" s="17">
        <f>DO108*VLOOKUP('Données projet'!$B$14,Paramètres!$A$1:$I$89,3,0)*VLOOKUP('Données projet'!$B$14,Paramètres!$A$1:$I$89,5,0)</f>
        <v>312.11528400000049</v>
      </c>
      <c r="DQ108" s="13">
        <f t="shared" si="97"/>
        <v>73.71041067221141</v>
      </c>
      <c r="DR108" s="20">
        <f t="shared" si="70"/>
        <v>671.97975155410234</v>
      </c>
      <c r="DS108" s="59">
        <f t="shared" si="71"/>
        <v>965.31308488743571</v>
      </c>
      <c r="DT108" s="59">
        <f ca="1">AVERAGE(OFFSET($DS$3,0,0,'Données projet'!$E$14+1,1))-AVERAGE(OFFSET($H$3,0,0,'Données projet'!$E$14+1,1))</f>
        <v>635.71275911100679</v>
      </c>
      <c r="DU108" s="59">
        <f t="shared" si="98"/>
        <v>281.7776857269169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32.44640547166189</v>
      </c>
      <c r="EB108" s="21">
        <f>EXP(-LN(2)/25)*EB107+(1-EXP(-LN(2)/25))/(LN(2)/25)*Calculateur!DW108*Calculateur!DY108*VLOOKUP('Données projet'!$B$14,Paramètres!$A$1:$I$89,3,0)*0.475*44/12</f>
        <v>26.285392023986681</v>
      </c>
      <c r="EC108" s="21">
        <f>EXP(-LN(2)/2)*EC107+(1-EXP(-LN(2)/2))/(LN(2)/2)*DW108*DZ108*VLOOKUP('Données projet'!$B$14,Paramètres!$A$1:$I$89,3,0)*0.475*44/12</f>
        <v>4.1206685845202227</v>
      </c>
      <c r="ED108" s="22">
        <f t="shared" si="72"/>
        <v>62.852466080168796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8.8449999999999989</v>
      </c>
      <c r="EJ108" s="12">
        <f>IF('Données projet'!$A$192&gt;35,EJ107+EI108-ER107,IF(A108&lt;'Données projet'!$A$192,$EG$205^A108,IF(A108='Données projet'!$A$192,'Données projet'!$B$192,EJ107+EI108-ER107)))</f>
        <v>344.95500000000055</v>
      </c>
      <c r="EK108" s="17">
        <f>EJ108*VLOOKUP('Données projet'!$B$15,Paramètres!$A$1:$I$89,3,0)*VLOOKUP('Données projet'!$B$15,Paramètres!$A$1:$I$89,5,0)</f>
        <v>231.3958140000004</v>
      </c>
      <c r="EL108" s="13">
        <f t="shared" si="99"/>
        <v>56.584382793105945</v>
      </c>
      <c r="EM108" s="20">
        <f t="shared" si="73"/>
        <v>501.56550941466026</v>
      </c>
      <c r="EN108" s="59">
        <f t="shared" si="74"/>
        <v>794.89884274799351</v>
      </c>
      <c r="EO108" s="59">
        <f ca="1">AVERAGE(OFFSET($EN$3,0,0,'Données projet'!$E$15+1,1))-AVERAGE(OFFSET($H$3,0,0,'Données projet'!$E$15+1,1))</f>
        <v>482.99915419700773</v>
      </c>
      <c r="EP108" s="59">
        <f t="shared" si="100"/>
        <v>219.74157899604279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29.649301551691028</v>
      </c>
      <c r="EW108" s="21">
        <f>EXP(-LN(2)/25)*EW107+(1-EXP(-LN(2)/25))/(LN(2)/25)*Calculateur!ER108*Calculateur!ET108*VLOOKUP('Données projet'!$B$15,Paramètres!$A$1:$I$89,3,0)*0.475*44/12</f>
        <v>24.019409952953346</v>
      </c>
      <c r="EX108" s="21">
        <f>EXP(-LN(2)/2)*EX107+(1-EXP(-LN(2)/2))/(LN(2)/2)*ER108*EU108*VLOOKUP('Données projet'!$B$15,Paramètres!$A$1:$I$89,3,0)*0.475*44/12</f>
        <v>3.0549784333512</v>
      </c>
      <c r="EY108" s="22">
        <f t="shared" si="75"/>
        <v>56.72368993799558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8.8449999999999989</v>
      </c>
      <c r="FE108" s="12">
        <f>IF('Données projet'!$A$218&gt;35,FE107+FD108-FM107,IF(A108&lt;'Données projet'!$A$218,$FB$205^A108,IF(A108='Données projet'!$A$218,'Données projet'!$B$218,FE107+FD108-FM107)))</f>
        <v>344.95500000000055</v>
      </c>
      <c r="FF108" s="17">
        <f>FE108*VLOOKUP('Données projet'!$B$16,Paramètres!$A$1:$I$89,3,0)*VLOOKUP('Données projet'!$B$16,Paramètres!$A$1:$I$89,5,0)</f>
        <v>328.25917800000053</v>
      </c>
      <c r="FG108" s="13">
        <f t="shared" si="101"/>
        <v>77.069279330976201</v>
      </c>
      <c r="FH108" s="20">
        <f t="shared" si="76"/>
        <v>705.94706318478438</v>
      </c>
      <c r="FI108" s="59">
        <f t="shared" si="77"/>
        <v>999.28039651811764</v>
      </c>
      <c r="FJ108" s="59">
        <f ca="1">AVERAGE(OFFSET($FI$3,0,0,'Données projet'!$E$16+1,1))-AVERAGE(OFFSET($H$3,0,0,'Données projet'!$E$16+1,1))</f>
        <v>666.1523645983184</v>
      </c>
      <c r="FK108" s="59">
        <f t="shared" si="102"/>
        <v>294.13851344047526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34.124667823644401</v>
      </c>
      <c r="FR108" s="21">
        <f>EXP(-LN(2)/25)*FR107+(1-EXP(-LN(2)/25))/(LN(2)/25)*Calculateur!FM108*Calculateur!FO108*VLOOKUP('Données projet'!$B$16,Paramètres!$A$1:$I$89,3,0)*0.475*44/12</f>
        <v>27.644981266606678</v>
      </c>
      <c r="FS108" s="21">
        <f>EXP(-LN(2)/2)*FS107+(1-EXP(-LN(2)/2))/(LN(2)/2)*FM108*FP108*VLOOKUP('Données projet'!$B$16,Paramètres!$A$1:$I$89,3,0)*0.475*44/12</f>
        <v>4.3338066147540273</v>
      </c>
      <c r="FT108" s="22">
        <f t="shared" si="78"/>
        <v>66.103455705005103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328.55631138162721</v>
      </c>
      <c r="T109" s="59">
        <f t="shared" si="88"/>
        <v>321.81422611044985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23.224785213559379</v>
      </c>
      <c r="AA109" s="21">
        <f>EXP(-LN(2)/25)*AA108+(1-EXP(-LN(2)/25))/(LN(2)/25)*Calculateur!V109*Calculateur!X109*VLOOKUP('Données projet'!$B$9,Paramètres!$A$1:$I$89,3,0)*0.475*44/12</f>
        <v>18.662397113722825</v>
      </c>
      <c r="AB109" s="21">
        <f>EXP(-LN(2)/2)*AB108+(1-EXP(-LN(2)/2))/(LN(2)/2)*V109*Y109*VLOOKUP('Données projet'!$B$9,Paramètres!$A$1:$I$89,3,0)*0.475*44/12</f>
        <v>7.0221595832539981E-3</v>
      </c>
      <c r="AC109" s="22">
        <f t="shared" si="57"/>
        <v>41.894204486865455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353.37479213497227</v>
      </c>
      <c r="AO109" s="59">
        <f t="shared" si="90"/>
        <v>345.4750813433123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31.062144696809028</v>
      </c>
      <c r="AV109" s="21">
        <f>EXP(-LN(2)/25)*AV108+(1-EXP(-LN(2)/25))/(LN(2)/25)*Calculateur!AQ109*Calculateur!AS109*VLOOKUP('Données projet'!$B$10,Paramètres!$A$1:$I$89,3,0)*0.475*44/12</f>
        <v>24.9601481436877</v>
      </c>
      <c r="AW109" s="21">
        <f>EXP(-LN(2)/2)*AW108+(1-EXP(-LN(2)/2))/(LN(2)/2)*AQ109*AT109*VLOOKUP('Données projet'!$B$10,Paramètres!$A$1:$I$89,3,0)*0.475*44/12</f>
        <v>7.6197901860841312E-3</v>
      </c>
      <c r="AX109" s="21">
        <f t="shared" si="60"/>
        <v>56.029912630682816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359.57284550600366</v>
      </c>
      <c r="BJ109" s="59">
        <f t="shared" si="92"/>
        <v>351.38386928091433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31.671206357530775</v>
      </c>
      <c r="BQ109" s="21">
        <f>EXP(-LN(2)/25)*BQ108+(1-EXP(-LN(2)/25))/(LN(2)/25)*Calculateur!BL109*Calculateur!BN109*VLOOKUP('Données projet'!$B$11,Paramètres!$A$1:$I$89,3,0)*0.475*44/12</f>
        <v>25.449562813171767</v>
      </c>
      <c r="BR109" s="21">
        <f>EXP(-LN(2)/2)*BR108+(1-EXP(-LN(2)/2))/(LN(2)/2)*BL109*BO109*VLOOKUP('Données projet'!$B$11,Paramètres!$A$1:$I$89,3,0)*0.475*44/12</f>
        <v>7.7691978367916649E-3</v>
      </c>
      <c r="BS109" s="22">
        <f t="shared" si="63"/>
        <v>57.128538368539338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-8.5265128291212022E-14</v>
      </c>
      <c r="BZ109" s="13">
        <f>BY109*VLOOKUP('Données projet'!$B$12,Paramètres!$A$1:$I$89,3,0)*VLOOKUP('Données projet'!$B$12,Paramètres!$A$1:$I$89,5,0)</f>
        <v>-6.9167072069831198E-14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159.4660488566085</v>
      </c>
      <c r="CE109" s="59">
        <f t="shared" si="94"/>
        <v>135.33030558297088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10.382486218485832</v>
      </c>
      <c r="CM109" s="21">
        <f>EXP(-LN(2)/2)*CM108+(1-EXP(-LN(2)/2))/(LN(2)/2)*CG109*CJ109*VLOOKUP('Données projet'!$B$12,Paramètres!$A$1:$I$89,3,0)*0.475*44/12</f>
        <v>9.7832290715744896E-2</v>
      </c>
      <c r="CN109" s="22">
        <f t="shared" si="66"/>
        <v>10.480318509201577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353.37479213497227</v>
      </c>
      <c r="CZ109" s="59">
        <f t="shared" si="96"/>
        <v>345.4750813433123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31.062144696809028</v>
      </c>
      <c r="DG109" s="21">
        <f>EXP(-LN(2)/25)*DG108+(1-EXP(-LN(2)/25))/(LN(2)/25)*Calculateur!DB109*Calculateur!DD109*VLOOKUP('Données projet'!$B$13,Paramètres!$A$1:$I$89,3,0)*0.475*44/12</f>
        <v>24.9601481436877</v>
      </c>
      <c r="DH109" s="21">
        <f>EXP(-LN(2)/2)*DH108+(1-EXP(-LN(2)/2))/(LN(2)/2)*DB109*DE109*VLOOKUP('Données projet'!$B$13,Paramètres!$A$1:$I$89,3,0)*0.475*44/12</f>
        <v>7.6197901860841312E-3</v>
      </c>
      <c r="DI109" s="22">
        <f t="shared" si="69"/>
        <v>56.029912630682816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8.8449999999999989</v>
      </c>
      <c r="DO109" s="12">
        <f>IF('Données projet'!$A$166&gt;35,DO108+DN109-DW108,IF(A109&lt;'Données projet'!$A$166,$DL$205^A109,IF(A109='Données projet'!$A$166,'Données projet'!$B$166,DO108+DN109-DW108)))</f>
        <v>353.80000000000052</v>
      </c>
      <c r="DP109" s="17">
        <f>DO109*VLOOKUP('Données projet'!$B$14,Paramètres!$A$1:$I$89,3,0)*VLOOKUP('Données projet'!$B$14,Paramètres!$A$1:$I$89,5,0)</f>
        <v>320.11824000000047</v>
      </c>
      <c r="DQ109" s="13">
        <f t="shared" si="97"/>
        <v>75.377955265343587</v>
      </c>
      <c r="DR109" s="20">
        <f t="shared" si="70"/>
        <v>688.82254008714096</v>
      </c>
      <c r="DS109" s="59">
        <f t="shared" si="71"/>
        <v>982.15587342047434</v>
      </c>
      <c r="DT109" s="59">
        <f ca="1">AVERAGE(OFFSET($DS$3,0,0,'Données projet'!$E$14+1,1))-AVERAGE(OFFSET($H$3,0,0,'Données projet'!$E$14+1,1))</f>
        <v>635.71275911100679</v>
      </c>
      <c r="DU109" s="59">
        <f t="shared" si="98"/>
        <v>281.7776857269169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31.810151250715805</v>
      </c>
      <c r="EB109" s="21">
        <f>EXP(-LN(2)/25)*EB108+(1-EXP(-LN(2)/25))/(LN(2)/25)*Calculateur!DW109*Calculateur!DY109*VLOOKUP('Données projet'!$B$14,Paramètres!$A$1:$I$89,3,0)*0.475*44/12</f>
        <v>25.566616596802074</v>
      </c>
      <c r="EC109" s="21">
        <f>EXP(-LN(2)/2)*EC108+(1-EXP(-LN(2)/2))/(LN(2)/2)*DW109*DZ109*VLOOKUP('Données projet'!$B$14,Paramètres!$A$1:$I$89,3,0)*0.475*44/12</f>
        <v>2.9137526991366216</v>
      </c>
      <c r="ED109" s="22">
        <f t="shared" si="72"/>
        <v>60.290520546654506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8.8449999999999989</v>
      </c>
      <c r="EJ109" s="12">
        <f>IF('Données projet'!$A$192&gt;35,EJ108+EI109-ER108,IF(A109&lt;'Données projet'!$A$192,$EG$205^A109,IF(A109='Données projet'!$A$192,'Données projet'!$B$192,EJ108+EI109-ER108)))</f>
        <v>353.80000000000052</v>
      </c>
      <c r="EK109" s="17">
        <f>EJ109*VLOOKUP('Données projet'!$B$15,Paramètres!$A$1:$I$89,3,0)*VLOOKUP('Données projet'!$B$15,Paramètres!$A$1:$I$89,5,0)</f>
        <v>237.32904000000033</v>
      </c>
      <c r="EL109" s="13">
        <f t="shared" si="99"/>
        <v>57.864486657972051</v>
      </c>
      <c r="EM109" s="20">
        <f t="shared" si="73"/>
        <v>514.1287255959686</v>
      </c>
      <c r="EN109" s="59">
        <f t="shared" si="74"/>
        <v>807.46205892930197</v>
      </c>
      <c r="EO109" s="59">
        <f ca="1">AVERAGE(OFFSET($EN$3,0,0,'Données projet'!$E$15+1,1))-AVERAGE(OFFSET($H$3,0,0,'Données projet'!$E$15+1,1))</f>
        <v>482.99915419700773</v>
      </c>
      <c r="EP109" s="59">
        <f t="shared" si="100"/>
        <v>219.74157899604279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29.067896832550637</v>
      </c>
      <c r="EW109" s="21">
        <f>EXP(-LN(2)/25)*EW108+(1-EXP(-LN(2)/25))/(LN(2)/25)*Calculateur!ER109*Calculateur!ET109*VLOOKUP('Données projet'!$B$15,Paramètres!$A$1:$I$89,3,0)*0.475*44/12</f>
        <v>23.362597924663966</v>
      </c>
      <c r="EX109" s="21">
        <f>EXP(-LN(2)/2)*EX108+(1-EXP(-LN(2)/2))/(LN(2)/2)*ER109*EU109*VLOOKUP('Données projet'!$B$15,Paramètres!$A$1:$I$89,3,0)*0.475*44/12</f>
        <v>2.1601959666012891</v>
      </c>
      <c r="EY109" s="22">
        <f t="shared" si="75"/>
        <v>54.590690723815889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8.8449999999999989</v>
      </c>
      <c r="FE109" s="12">
        <f>IF('Données projet'!$A$218&gt;35,FE108+FD109-FM108,IF(A109&lt;'Données projet'!$A$218,$FB$205^A109,IF(A109='Données projet'!$A$218,'Données projet'!$B$218,FE108+FD109-FM108)))</f>
        <v>353.80000000000052</v>
      </c>
      <c r="FF109" s="17">
        <f>FE109*VLOOKUP('Données projet'!$B$16,Paramètres!$A$1:$I$89,3,0)*VLOOKUP('Données projet'!$B$16,Paramètres!$A$1:$I$89,5,0)</f>
        <v>336.67608000000052</v>
      </c>
      <c r="FG109" s="13">
        <f t="shared" si="101"/>
        <v>78.81281133511159</v>
      </c>
      <c r="FH109" s="20">
        <f t="shared" si="76"/>
        <v>723.64315240865346</v>
      </c>
      <c r="FI109" s="59">
        <f t="shared" si="77"/>
        <v>1016.9764857419868</v>
      </c>
      <c r="FJ109" s="59">
        <f ca="1">AVERAGE(OFFSET($FI$3,0,0,'Données projet'!$E$16+1,1))-AVERAGE(OFFSET($H$3,0,0,'Données projet'!$E$16+1,1))</f>
        <v>666.1523645983184</v>
      </c>
      <c r="FK109" s="59">
        <f t="shared" si="102"/>
        <v>294.13851344047526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33.455503901614897</v>
      </c>
      <c r="FR109" s="21">
        <f>EXP(-LN(2)/25)*FR108+(1-EXP(-LN(2)/25))/(LN(2)/25)*Calculateur!FM109*Calculateur!FO109*VLOOKUP('Données projet'!$B$16,Paramètres!$A$1:$I$89,3,0)*0.475*44/12</f>
        <v>26.889027800084936</v>
      </c>
      <c r="FS109" s="21">
        <f>EXP(-LN(2)/2)*FS108+(1-EXP(-LN(2)/2))/(LN(2)/2)*FM109*FP109*VLOOKUP('Données projet'!$B$16,Paramètres!$A$1:$I$89,3,0)*0.475*44/12</f>
        <v>3.0644640456436885</v>
      </c>
      <c r="FT109" s="22">
        <f t="shared" si="78"/>
        <v>63.408995747343525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328.55631138162721</v>
      </c>
      <c r="T110" s="59">
        <f t="shared" si="88"/>
        <v>321.81422611044985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22.769361341241712</v>
      </c>
      <c r="AA110" s="21">
        <f>EXP(-LN(2)/25)*AA109+(1-EXP(-LN(2)/25))/(LN(2)/25)*Calculateur!V110*Calculateur!X110*VLOOKUP('Données projet'!$B$9,Paramètres!$A$1:$I$89,3,0)*0.475*44/12</f>
        <v>18.152072883235263</v>
      </c>
      <c r="AB110" s="21">
        <f>EXP(-LN(2)/2)*AB109+(1-EXP(-LN(2)/2))/(LN(2)/2)*V110*Y110*VLOOKUP('Données projet'!$B$9,Paramètres!$A$1:$I$89,3,0)*0.475*44/12</f>
        <v>4.9654166598930025E-3</v>
      </c>
      <c r="AC110" s="22">
        <f t="shared" si="57"/>
        <v>40.926399641136868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353.37479213497227</v>
      </c>
      <c r="AO110" s="59">
        <f t="shared" si="90"/>
        <v>345.4750813433123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30.453034985342104</v>
      </c>
      <c r="AV110" s="21">
        <f>EXP(-LN(2)/25)*AV109+(1-EXP(-LN(2)/25))/(LN(2)/25)*Calculateur!AQ110*Calculateur!AS110*VLOOKUP('Données projet'!$B$10,Paramètres!$A$1:$I$89,3,0)*0.475*44/12</f>
        <v>24.277611580101418</v>
      </c>
      <c r="AW110" s="21">
        <f>EXP(-LN(2)/2)*AW109+(1-EXP(-LN(2)/2))/(LN(2)/2)*AQ110*AT110*VLOOKUP('Données projet'!$B$10,Paramètres!$A$1:$I$89,3,0)*0.475*44/12</f>
        <v>5.3880053117987946E-3</v>
      </c>
      <c r="AX110" s="21">
        <f t="shared" si="60"/>
        <v>54.736034570755322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359.57284550600366</v>
      </c>
      <c r="BJ110" s="59">
        <f t="shared" si="92"/>
        <v>351.38386928091433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31.050153318388027</v>
      </c>
      <c r="BQ110" s="21">
        <f>EXP(-LN(2)/25)*BQ109+(1-EXP(-LN(2)/25))/(LN(2)/25)*Calculateur!BL110*Calculateur!BN110*VLOOKUP('Données projet'!$B$11,Paramètres!$A$1:$I$89,3,0)*0.475*44/12</f>
        <v>24.753643179711244</v>
      </c>
      <c r="BR110" s="21">
        <f>EXP(-LN(2)/2)*BR109+(1-EXP(-LN(2)/2))/(LN(2)/2)*BL110*BO110*VLOOKUP('Données projet'!$B$11,Paramètres!$A$1:$I$89,3,0)*0.475*44/12</f>
        <v>5.4936524747752425E-3</v>
      </c>
      <c r="BS110" s="22">
        <f t="shared" si="63"/>
        <v>55.80929015057405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-8.5265128291212022E-14</v>
      </c>
      <c r="BZ110" s="13">
        <f>BY110*VLOOKUP('Données projet'!$B$12,Paramètres!$A$1:$I$89,3,0)*VLOOKUP('Données projet'!$B$12,Paramètres!$A$1:$I$89,5,0)</f>
        <v>-6.9167072069831198E-14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159.4660488566085</v>
      </c>
      <c r="CE110" s="59">
        <f t="shared" si="94"/>
        <v>135.33030558297088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10.098576586850116</v>
      </c>
      <c r="CM110" s="21">
        <f>EXP(-LN(2)/2)*CM109+(1-EXP(-LN(2)/2))/(LN(2)/2)*CG110*CJ110*VLOOKUP('Données projet'!$B$12,Paramètres!$A$1:$I$89,3,0)*0.475*44/12</f>
        <v>6.9177876184116929E-2</v>
      </c>
      <c r="CN110" s="22">
        <f t="shared" si="66"/>
        <v>10.167754463034234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353.37479213497227</v>
      </c>
      <c r="CZ110" s="59">
        <f t="shared" si="96"/>
        <v>345.4750813433123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30.453034985342104</v>
      </c>
      <c r="DG110" s="21">
        <f>EXP(-LN(2)/25)*DG109+(1-EXP(-LN(2)/25))/(LN(2)/25)*Calculateur!DB110*Calculateur!DD110*VLOOKUP('Données projet'!$B$13,Paramètres!$A$1:$I$89,3,0)*0.475*44/12</f>
        <v>24.277611580101418</v>
      </c>
      <c r="DH110" s="21">
        <f>EXP(-LN(2)/2)*DH109+(1-EXP(-LN(2)/2))/(LN(2)/2)*DB110*DE110*VLOOKUP('Données projet'!$B$13,Paramètres!$A$1:$I$89,3,0)*0.475*44/12</f>
        <v>5.3880053117987946E-3</v>
      </c>
      <c r="DI110" s="22">
        <f t="shared" si="69"/>
        <v>54.736034570755322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8.8449999999999989</v>
      </c>
      <c r="DO110" s="12">
        <f>IF('Données projet'!$A$166&gt;35,DO109+DN110-DW109,IF(A110&lt;'Données projet'!$A$166,$DL$205^A110,IF(A110='Données projet'!$A$166,'Données projet'!$B$166,DO109+DN110-DW109)))</f>
        <v>362.64500000000055</v>
      </c>
      <c r="DP110" s="17">
        <f>DO110*VLOOKUP('Données projet'!$B$14,Paramètres!$A$1:$I$89,3,0)*VLOOKUP('Données projet'!$B$14,Paramètres!$A$1:$I$89,5,0)</f>
        <v>328.12119600000045</v>
      </c>
      <c r="DQ110" s="13">
        <f t="shared" si="97"/>
        <v>77.040653823854953</v>
      </c>
      <c r="DR110" s="20">
        <f t="shared" si="70"/>
        <v>705.65688844321483</v>
      </c>
      <c r="DS110" s="59">
        <f t="shared" si="71"/>
        <v>998.9902217765482</v>
      </c>
      <c r="DT110" s="59">
        <f ca="1">AVERAGE(OFFSET($DS$3,0,0,'Données projet'!$E$14+1,1))-AVERAGE(OFFSET($H$3,0,0,'Données projet'!$E$14+1,1))</f>
        <v>635.71275911100679</v>
      </c>
      <c r="DU110" s="59">
        <f t="shared" si="98"/>
        <v>281.7776857269169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31.186373586965715</v>
      </c>
      <c r="EB110" s="21">
        <f>EXP(-LN(2)/25)*EB109+(1-EXP(-LN(2)/25))/(LN(2)/25)*Calculateur!DW110*Calculateur!DY110*VLOOKUP('Données projet'!$B$14,Paramètres!$A$1:$I$89,3,0)*0.475*44/12</f>
        <v>24.867496121472588</v>
      </c>
      <c r="EC110" s="21">
        <f>EXP(-LN(2)/2)*EC109+(1-EXP(-LN(2)/2))/(LN(2)/2)*DW110*DZ110*VLOOKUP('Données projet'!$B$14,Paramètres!$A$1:$I$89,3,0)*0.475*44/12</f>
        <v>2.0603342922601113</v>
      </c>
      <c r="ED110" s="22">
        <f t="shared" si="72"/>
        <v>58.114204000698408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8.8449999999999989</v>
      </c>
      <c r="EJ110" s="12">
        <f>IF('Données projet'!$A$192&gt;35,EJ109+EI110-ER109,IF(A110&lt;'Données projet'!$A$192,$EG$205^A110,IF(A110='Données projet'!$A$192,'Données projet'!$B$192,EJ109+EI110-ER109)))</f>
        <v>362.64500000000055</v>
      </c>
      <c r="EK110" s="17">
        <f>EJ110*VLOOKUP('Données projet'!$B$15,Paramètres!$A$1:$I$89,3,0)*VLOOKUP('Données projet'!$B$15,Paramètres!$A$1:$I$89,5,0)</f>
        <v>243.26226600000038</v>
      </c>
      <c r="EL110" s="13">
        <f t="shared" si="99"/>
        <v>59.140870425832752</v>
      </c>
      <c r="EM110" s="20">
        <f t="shared" si="73"/>
        <v>526.68546260832591</v>
      </c>
      <c r="EN110" s="59">
        <f t="shared" si="74"/>
        <v>820.01879594165916</v>
      </c>
      <c r="EO110" s="59">
        <f ca="1">AVERAGE(OFFSET($EN$3,0,0,'Données projet'!$E$15+1,1))-AVERAGE(OFFSET($H$3,0,0,'Données projet'!$E$15+1,1))</f>
        <v>482.99915419700773</v>
      </c>
      <c r="EP110" s="59">
        <f t="shared" si="100"/>
        <v>219.74157899604279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28.497893105330729</v>
      </c>
      <c r="EW110" s="21">
        <f>EXP(-LN(2)/25)*EW109+(1-EXP(-LN(2)/25))/(LN(2)/25)*Calculateur!ER110*Calculateur!ET110*VLOOKUP('Données projet'!$B$15,Paramètres!$A$1:$I$89,3,0)*0.475*44/12</f>
        <v>22.723746455828401</v>
      </c>
      <c r="EX110" s="21">
        <f>EXP(-LN(2)/2)*EX109+(1-EXP(-LN(2)/2))/(LN(2)/2)*ER110*EU110*VLOOKUP('Données projet'!$B$15,Paramètres!$A$1:$I$89,3,0)*0.475*44/12</f>
        <v>1.5274892166756004</v>
      </c>
      <c r="EY110" s="22">
        <f t="shared" si="75"/>
        <v>52.749128777834727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8.8449999999999989</v>
      </c>
      <c r="FE110" s="12">
        <f>IF('Données projet'!$A$218&gt;35,FE109+FD110-FM109,IF(A110&lt;'Données projet'!$A$218,$FB$205^A110,IF(A110='Données projet'!$A$218,'Données projet'!$B$218,FE109+FD110-FM109)))</f>
        <v>362.64500000000055</v>
      </c>
      <c r="FF110" s="17">
        <f>FE110*VLOOKUP('Données projet'!$B$16,Paramètres!$A$1:$I$89,3,0)*VLOOKUP('Données projet'!$B$16,Paramètres!$A$1:$I$89,5,0)</f>
        <v>345.09298200000052</v>
      </c>
      <c r="FG110" s="13">
        <f t="shared" si="101"/>
        <v>80.551276478373012</v>
      </c>
      <c r="FH110" s="20">
        <f t="shared" si="76"/>
        <v>741.33041684983391</v>
      </c>
      <c r="FI110" s="59">
        <f t="shared" si="77"/>
        <v>1034.6637501831672</v>
      </c>
      <c r="FJ110" s="59">
        <f ca="1">AVERAGE(OFFSET($FI$3,0,0,'Données projet'!$E$16+1,1))-AVERAGE(OFFSET($H$3,0,0,'Données projet'!$E$16+1,1))</f>
        <v>666.1523645983184</v>
      </c>
      <c r="FK110" s="59">
        <f t="shared" si="102"/>
        <v>294.13851344047526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32.799461875946697</v>
      </c>
      <c r="FR110" s="21">
        <f>EXP(-LN(2)/25)*FR109+(1-EXP(-LN(2)/25))/(LN(2)/25)*Calculateur!FM110*Calculateur!FO110*VLOOKUP('Données projet'!$B$16,Paramètres!$A$1:$I$89,3,0)*0.475*44/12</f>
        <v>26.153745920859098</v>
      </c>
      <c r="FS110" s="21">
        <f>EXP(-LN(2)/2)*FS109+(1-EXP(-LN(2)/2))/(LN(2)/2)*FM110*FP110*VLOOKUP('Données projet'!$B$16,Paramètres!$A$1:$I$89,3,0)*0.475*44/12</f>
        <v>2.1669033073770141</v>
      </c>
      <c r="FT110" s="22">
        <f t="shared" si="78"/>
        <v>61.120111104182811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328.55631138162721</v>
      </c>
      <c r="T111" s="59">
        <f t="shared" si="88"/>
        <v>321.81422611044985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22.322868053279059</v>
      </c>
      <c r="AA111" s="21">
        <f>EXP(-LN(2)/25)*AA110+(1-EXP(-LN(2)/25))/(LN(2)/25)*Calculateur!V111*Calculateur!X111*VLOOKUP('Données projet'!$B$9,Paramètres!$A$1:$I$89,3,0)*0.475*44/12</f>
        <v>17.655703495667169</v>
      </c>
      <c r="AB111" s="21">
        <f>EXP(-LN(2)/2)*AB110+(1-EXP(-LN(2)/2))/(LN(2)/2)*V111*Y111*VLOOKUP('Données projet'!$B$9,Paramètres!$A$1:$I$89,3,0)*0.475*44/12</f>
        <v>3.511079791626999E-3</v>
      </c>
      <c r="AC111" s="22">
        <f t="shared" si="57"/>
        <v>39.982082628737857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353.37479213497227</v>
      </c>
      <c r="AO111" s="59">
        <f t="shared" si="90"/>
        <v>345.4750813433123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29.855869543796803</v>
      </c>
      <c r="AV111" s="21">
        <f>EXP(-LN(2)/25)*AV110+(1-EXP(-LN(2)/25))/(LN(2)/25)*Calculateur!AQ111*Calculateur!AS111*VLOOKUP('Données projet'!$B$10,Paramètres!$A$1:$I$89,3,0)*0.475*44/12</f>
        <v>23.613739014739437</v>
      </c>
      <c r="AW111" s="21">
        <f>EXP(-LN(2)/2)*AW110+(1-EXP(-LN(2)/2))/(LN(2)/2)*AQ111*AT111*VLOOKUP('Données projet'!$B$10,Paramètres!$A$1:$I$89,3,0)*0.475*44/12</f>
        <v>3.8098950930420664E-3</v>
      </c>
      <c r="AX111" s="21">
        <f t="shared" si="60"/>
        <v>53.473418453629279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359.57284550600366</v>
      </c>
      <c r="BJ111" s="59">
        <f t="shared" si="92"/>
        <v>351.38386928091433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30.441278750537919</v>
      </c>
      <c r="BQ111" s="21">
        <f>EXP(-LN(2)/25)*BQ110+(1-EXP(-LN(2)/25))/(LN(2)/25)*Calculateur!BL111*Calculateur!BN111*VLOOKUP('Données projet'!$B$11,Paramètres!$A$1:$I$89,3,0)*0.475*44/12</f>
        <v>24.07675350522452</v>
      </c>
      <c r="BR111" s="21">
        <f>EXP(-LN(2)/2)*BR110+(1-EXP(-LN(2)/2))/(LN(2)/2)*BL111*BO111*VLOOKUP('Données projet'!$B$11,Paramètres!$A$1:$I$89,3,0)*0.475*44/12</f>
        <v>3.8845989183958329E-3</v>
      </c>
      <c r="BS111" s="22">
        <f t="shared" si="63"/>
        <v>54.521916854680832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-8.5265128291212022E-14</v>
      </c>
      <c r="BZ111" s="13">
        <f>BY111*VLOOKUP('Données projet'!$B$12,Paramètres!$A$1:$I$89,3,0)*VLOOKUP('Données projet'!$B$12,Paramètres!$A$1:$I$89,5,0)</f>
        <v>-6.9167072069831198E-14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159.4660488566085</v>
      </c>
      <c r="CE111" s="59">
        <f t="shared" si="94"/>
        <v>135.33030558297088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9.8224304790216372</v>
      </c>
      <c r="CM111" s="21">
        <f>EXP(-LN(2)/2)*CM110+(1-EXP(-LN(2)/2))/(LN(2)/2)*CG111*CJ111*VLOOKUP('Données projet'!$B$12,Paramètres!$A$1:$I$89,3,0)*0.475*44/12</f>
        <v>4.8916145357872448E-2</v>
      </c>
      <c r="CN111" s="22">
        <f t="shared" si="66"/>
        <v>9.8713466243795089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353.37479213497227</v>
      </c>
      <c r="CZ111" s="59">
        <f t="shared" si="96"/>
        <v>345.4750813433123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29.855869543796803</v>
      </c>
      <c r="DG111" s="21">
        <f>EXP(-LN(2)/25)*DG110+(1-EXP(-LN(2)/25))/(LN(2)/25)*Calculateur!DB111*Calculateur!DD111*VLOOKUP('Données projet'!$B$13,Paramètres!$A$1:$I$89,3,0)*0.475*44/12</f>
        <v>23.613739014739437</v>
      </c>
      <c r="DH111" s="21">
        <f>EXP(-LN(2)/2)*DH110+(1-EXP(-LN(2)/2))/(LN(2)/2)*DB111*DE111*VLOOKUP('Données projet'!$B$13,Paramètres!$A$1:$I$89,3,0)*0.475*44/12</f>
        <v>3.8098950930420664E-3</v>
      </c>
      <c r="DI111" s="22">
        <f t="shared" si="69"/>
        <v>53.473418453629279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8.8449999999999989</v>
      </c>
      <c r="DO111" s="12">
        <f>IF('Données projet'!$A$166&gt;35,DO110+DN111-DW110,IF(A111&lt;'Données projet'!$A$166,$DL$205^A111,IF(A111='Données projet'!$A$166,'Données projet'!$B$166,DO110+DN111-DW110)))</f>
        <v>371.49000000000058</v>
      </c>
      <c r="DP111" s="17">
        <f>DO111*VLOOKUP('Données projet'!$B$14,Paramètres!$A$1:$I$89,3,0)*VLOOKUP('Données projet'!$B$14,Paramètres!$A$1:$I$89,5,0)</f>
        <v>336.12415200000049</v>
      </c>
      <c r="DQ111" s="13">
        <f t="shared" si="97"/>
        <v>78.698638141016232</v>
      </c>
      <c r="DR111" s="20">
        <f t="shared" si="70"/>
        <v>722.4830261622709</v>
      </c>
      <c r="DS111" s="59">
        <f t="shared" si="71"/>
        <v>1015.8163594956043</v>
      </c>
      <c r="DT111" s="59">
        <f ca="1">AVERAGE(OFFSET($DS$3,0,0,'Données projet'!$E$14+1,1))-AVERAGE(OFFSET($H$3,0,0,'Données projet'!$E$14+1,1))</f>
        <v>635.71275911100679</v>
      </c>
      <c r="DU111" s="59">
        <f t="shared" si="98"/>
        <v>281.7776857269169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30.574827822734957</v>
      </c>
      <c r="EB111" s="21">
        <f>EXP(-LN(2)/25)*EB110+(1-EXP(-LN(2)/25))/(LN(2)/25)*Calculateur!DW111*Calculateur!DY111*VLOOKUP('Données projet'!$B$14,Paramètres!$A$1:$I$89,3,0)*0.475*44/12</f>
        <v>24.187493132306134</v>
      </c>
      <c r="EC111" s="21">
        <f>EXP(-LN(2)/2)*EC110+(1-EXP(-LN(2)/2))/(LN(2)/2)*DW111*DZ111*VLOOKUP('Données projet'!$B$14,Paramètres!$A$1:$I$89,3,0)*0.475*44/12</f>
        <v>1.4568763495683108</v>
      </c>
      <c r="ED111" s="22">
        <f t="shared" si="72"/>
        <v>56.219197304609402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8.8449999999999989</v>
      </c>
      <c r="EJ111" s="12">
        <f>IF('Données projet'!$A$192&gt;35,EJ110+EI111-ER110,IF(A111&lt;'Données projet'!$A$192,$EG$205^A111,IF(A111='Données projet'!$A$192,'Données projet'!$B$192,EJ110+EI111-ER110)))</f>
        <v>371.49000000000058</v>
      </c>
      <c r="EK111" s="17">
        <f>EJ111*VLOOKUP('Données projet'!$B$15,Paramètres!$A$1:$I$89,3,0)*VLOOKUP('Données projet'!$B$15,Paramètres!$A$1:$I$89,5,0)</f>
        <v>249.1954920000004</v>
      </c>
      <c r="EL111" s="13">
        <f t="shared" si="99"/>
        <v>60.413635268839982</v>
      </c>
      <c r="EM111" s="20">
        <f t="shared" si="73"/>
        <v>539.23589665989698</v>
      </c>
      <c r="EN111" s="59">
        <f t="shared" si="74"/>
        <v>832.56922999323024</v>
      </c>
      <c r="EO111" s="59">
        <f ca="1">AVERAGE(OFFSET($EN$3,0,0,'Données projet'!$E$15+1,1))-AVERAGE(OFFSET($H$3,0,0,'Données projet'!$E$15+1,1))</f>
        <v>482.99915419700773</v>
      </c>
      <c r="EP111" s="59">
        <f t="shared" si="100"/>
        <v>219.74157899604279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27.939066803533656</v>
      </c>
      <c r="EW111" s="21">
        <f>EXP(-LN(2)/25)*EW110+(1-EXP(-LN(2)/25))/(LN(2)/25)*Calculateur!ER111*Calculateur!ET111*VLOOKUP('Données projet'!$B$15,Paramètres!$A$1:$I$89,3,0)*0.475*44/12</f>
        <v>22.102364414003883</v>
      </c>
      <c r="EX111" s="21">
        <f>EXP(-LN(2)/2)*EX110+(1-EXP(-LN(2)/2))/(LN(2)/2)*ER111*EU111*VLOOKUP('Données projet'!$B$15,Paramètres!$A$1:$I$89,3,0)*0.475*44/12</f>
        <v>1.0800979833006448</v>
      </c>
      <c r="EY111" s="22">
        <f t="shared" si="75"/>
        <v>51.121529200838182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8.8449999999999989</v>
      </c>
      <c r="FE111" s="12">
        <f>IF('Données projet'!$A$218&gt;35,FE110+FD111-FM110,IF(A111&lt;'Données projet'!$A$218,$FB$205^A111,IF(A111='Données projet'!$A$218,'Données projet'!$B$218,FE110+FD111-FM110)))</f>
        <v>371.49000000000058</v>
      </c>
      <c r="FF111" s="17">
        <f>FE111*VLOOKUP('Données projet'!$B$16,Paramètres!$A$1:$I$89,3,0)*VLOOKUP('Données projet'!$B$16,Paramètres!$A$1:$I$89,5,0)</f>
        <v>353.50988400000057</v>
      </c>
      <c r="FG111" s="13">
        <f t="shared" si="101"/>
        <v>82.284812559645275</v>
      </c>
      <c r="FH111" s="20">
        <f t="shared" si="76"/>
        <v>759.00909650804977</v>
      </c>
      <c r="FI111" s="59">
        <f t="shared" si="77"/>
        <v>1052.3424298413831</v>
      </c>
      <c r="FJ111" s="59">
        <f ca="1">AVERAGE(OFFSET($FI$3,0,0,'Données projet'!$E$16+1,1))-AVERAGE(OFFSET($H$3,0,0,'Données projet'!$E$16+1,1))</f>
        <v>666.1523645983184</v>
      </c>
      <c r="FK111" s="59">
        <f t="shared" si="102"/>
        <v>294.13851344047526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32.156284434255731</v>
      </c>
      <c r="FR111" s="21">
        <f>EXP(-LN(2)/25)*FR110+(1-EXP(-LN(2)/25))/(LN(2)/25)*Calculateur!FM111*Calculateur!FO111*VLOOKUP('Données projet'!$B$16,Paramètres!$A$1:$I$89,3,0)*0.475*44/12</f>
        <v>25.438570363287482</v>
      </c>
      <c r="FS111" s="21">
        <f>EXP(-LN(2)/2)*FS110+(1-EXP(-LN(2)/2))/(LN(2)/2)*FM111*FP111*VLOOKUP('Données projet'!$B$16,Paramètres!$A$1:$I$89,3,0)*0.475*44/12</f>
        <v>1.5322320228218445</v>
      </c>
      <c r="FT111" s="22">
        <f t="shared" si="78"/>
        <v>59.127086820365058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328.55631138162721</v>
      </c>
      <c r="T112" s="59">
        <f t="shared" si="88"/>
        <v>321.81422611044985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21.88513022635934</v>
      </c>
      <c r="AA112" s="21">
        <f>EXP(-LN(2)/25)*AA111+(1-EXP(-LN(2)/25))/(LN(2)/25)*Calculateur!V112*Calculateur!X112*VLOOKUP('Données projet'!$B$9,Paramètres!$A$1:$I$89,3,0)*0.475*44/12</f>
        <v>17.172907355105057</v>
      </c>
      <c r="AB112" s="21">
        <f>EXP(-LN(2)/2)*AB111+(1-EXP(-LN(2)/2))/(LN(2)/2)*V112*Y112*VLOOKUP('Données projet'!$B$9,Paramètres!$A$1:$I$89,3,0)*0.475*44/12</f>
        <v>2.4827083299465012E-3</v>
      </c>
      <c r="AC112" s="22">
        <f t="shared" si="57"/>
        <v>39.060520289794347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353.37479213497227</v>
      </c>
      <c r="AO112" s="59">
        <f t="shared" si="90"/>
        <v>345.4750813433123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29.270414152325255</v>
      </c>
      <c r="AV112" s="21">
        <f>EXP(-LN(2)/25)*AV111+(1-EXP(-LN(2)/25))/(LN(2)/25)*Calculateur!AQ112*Calculateur!AS112*VLOOKUP('Données projet'!$B$10,Paramètres!$A$1:$I$89,3,0)*0.475*44/12</f>
        <v>22.968020079588822</v>
      </c>
      <c r="AW112" s="21">
        <f>EXP(-LN(2)/2)*AW111+(1-EXP(-LN(2)/2))/(LN(2)/2)*AQ112*AT112*VLOOKUP('Données projet'!$B$10,Paramètres!$A$1:$I$89,3,0)*0.475*44/12</f>
        <v>2.6940026558993978E-3</v>
      </c>
      <c r="AX112" s="21">
        <f t="shared" si="60"/>
        <v>52.241128234569977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359.57284550600366</v>
      </c>
      <c r="BJ112" s="59">
        <f t="shared" si="92"/>
        <v>351.38386928091433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29.844343841586536</v>
      </c>
      <c r="BQ112" s="21">
        <f>EXP(-LN(2)/25)*BQ111+(1-EXP(-LN(2)/25))/(LN(2)/25)*Calculateur!BL112*Calculateur!BN112*VLOOKUP('Données projet'!$B$11,Paramètres!$A$1:$I$89,3,0)*0.475*44/12</f>
        <v>23.418373414482716</v>
      </c>
      <c r="BR112" s="21">
        <f>EXP(-LN(2)/2)*BR111+(1-EXP(-LN(2)/2))/(LN(2)/2)*BL112*BO112*VLOOKUP('Données projet'!$B$11,Paramètres!$A$1:$I$89,3,0)*0.475*44/12</f>
        <v>2.7468262373876217E-3</v>
      </c>
      <c r="BS112" s="22">
        <f t="shared" si="63"/>
        <v>53.265464082306636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-8.5265128291212022E-14</v>
      </c>
      <c r="BZ112" s="13">
        <f>BY112*VLOOKUP('Données projet'!$B$12,Paramètres!$A$1:$I$89,3,0)*VLOOKUP('Données projet'!$B$12,Paramètres!$A$1:$I$89,5,0)</f>
        <v>-6.9167072069831198E-14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159.4660488566085</v>
      </c>
      <c r="CE112" s="59">
        <f t="shared" si="94"/>
        <v>135.33030558297088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9.5538356010336205</v>
      </c>
      <c r="CM112" s="21">
        <f>EXP(-LN(2)/2)*CM111+(1-EXP(-LN(2)/2))/(LN(2)/2)*CG112*CJ112*VLOOKUP('Données projet'!$B$12,Paramètres!$A$1:$I$89,3,0)*0.475*44/12</f>
        <v>3.4588938092058465E-2</v>
      </c>
      <c r="CN112" s="22">
        <f t="shared" si="66"/>
        <v>9.588424539125679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353.37479213497227</v>
      </c>
      <c r="CZ112" s="59">
        <f t="shared" si="96"/>
        <v>345.4750813433123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29.270414152325255</v>
      </c>
      <c r="DG112" s="21">
        <f>EXP(-LN(2)/25)*DG111+(1-EXP(-LN(2)/25))/(LN(2)/25)*Calculateur!DB112*Calculateur!DD112*VLOOKUP('Données projet'!$B$13,Paramètres!$A$1:$I$89,3,0)*0.475*44/12</f>
        <v>22.968020079588822</v>
      </c>
      <c r="DH112" s="21">
        <f>EXP(-LN(2)/2)*DH111+(1-EXP(-LN(2)/2))/(LN(2)/2)*DB112*DE112*VLOOKUP('Données projet'!$B$13,Paramètres!$A$1:$I$89,3,0)*0.475*44/12</f>
        <v>2.6940026558993978E-3</v>
      </c>
      <c r="DI112" s="22">
        <f t="shared" si="69"/>
        <v>52.241128234569977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8.8449999999999989</v>
      </c>
      <c r="DO112" s="12">
        <f>IF('Données projet'!$A$166&gt;35,DO111+DN112-DW111,IF(A112&lt;'Données projet'!$A$166,$DL$205^A112,IF(A112='Données projet'!$A$166,'Données projet'!$B$166,DO111+DN112-DW111)))</f>
        <v>380.3350000000006</v>
      </c>
      <c r="DP112" s="17">
        <f>DO112*VLOOKUP('Données projet'!$B$14,Paramètres!$A$1:$I$89,3,0)*VLOOKUP('Données projet'!$B$14,Paramètres!$A$1:$I$89,5,0)</f>
        <v>344.12710800000053</v>
      </c>
      <c r="DQ112" s="13">
        <f t="shared" si="97"/>
        <v>80.352033376279337</v>
      </c>
      <c r="DR112" s="20">
        <f t="shared" si="70"/>
        <v>739.30117123035416</v>
      </c>
      <c r="DS112" s="59">
        <f t="shared" si="71"/>
        <v>1032.6345045636874</v>
      </c>
      <c r="DT112" s="59">
        <f ca="1">AVERAGE(OFFSET($DS$3,0,0,'Données projet'!$E$14+1,1))-AVERAGE(OFFSET($H$3,0,0,'Données projet'!$E$14+1,1))</f>
        <v>635.71275911100679</v>
      </c>
      <c r="DU112" s="59">
        <f t="shared" si="98"/>
        <v>281.7776857269169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29.97527409793468</v>
      </c>
      <c r="EB112" s="21">
        <f>EXP(-LN(2)/25)*EB111+(1-EXP(-LN(2)/25))/(LN(2)/25)*Calculateur!DW112*Calculateur!DY112*VLOOKUP('Données projet'!$B$14,Paramètres!$A$1:$I$89,3,0)*0.475*44/12</f>
        <v>23.526084860638239</v>
      </c>
      <c r="EC112" s="21">
        <f>EXP(-LN(2)/2)*EC111+(1-EXP(-LN(2)/2))/(LN(2)/2)*DW112*DZ112*VLOOKUP('Données projet'!$B$14,Paramètres!$A$1:$I$89,3,0)*0.475*44/12</f>
        <v>1.0301671461300557</v>
      </c>
      <c r="ED112" s="22">
        <f t="shared" si="72"/>
        <v>54.531526104702976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8.8449999999999989</v>
      </c>
      <c r="EJ112" s="12">
        <f>IF('Données projet'!$A$192&gt;35,EJ111+EI112-ER111,IF(A112&lt;'Données projet'!$A$192,$EG$205^A112,IF(A112='Données projet'!$A$192,'Données projet'!$B$192,EJ111+EI112-ER111)))</f>
        <v>380.3350000000006</v>
      </c>
      <c r="EK112" s="17">
        <f>EJ112*VLOOKUP('Données projet'!$B$15,Paramètres!$A$1:$I$89,3,0)*VLOOKUP('Données projet'!$B$15,Paramètres!$A$1:$I$89,5,0)</f>
        <v>255.12871800000042</v>
      </c>
      <c r="EL112" s="13">
        <f t="shared" si="99"/>
        <v>61.682877266642279</v>
      </c>
      <c r="EM112" s="20">
        <f t="shared" si="73"/>
        <v>551.7801950894027</v>
      </c>
      <c r="EN112" s="59">
        <f t="shared" si="74"/>
        <v>845.11352842273595</v>
      </c>
      <c r="EO112" s="59">
        <f ca="1">AVERAGE(OFFSET($EN$3,0,0,'Données projet'!$E$15+1,1))-AVERAGE(OFFSET($H$3,0,0,'Données projet'!$E$15+1,1))</f>
        <v>482.99915419700773</v>
      </c>
      <c r="EP112" s="59">
        <f t="shared" si="100"/>
        <v>219.74157899604279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27.391198744664436</v>
      </c>
      <c r="EW112" s="21">
        <f>EXP(-LN(2)/25)*EW111+(1-EXP(-LN(2)/25))/(LN(2)/25)*Calculateur!ER112*Calculateur!ET112*VLOOKUP('Données projet'!$B$15,Paramètres!$A$1:$I$89,3,0)*0.475*44/12</f>
        <v>21.497974096790117</v>
      </c>
      <c r="EX112" s="21">
        <f>EXP(-LN(2)/2)*EX111+(1-EXP(-LN(2)/2))/(LN(2)/2)*ER112*EU112*VLOOKUP('Données projet'!$B$15,Paramètres!$A$1:$I$89,3,0)*0.475*44/12</f>
        <v>0.76374460833780033</v>
      </c>
      <c r="EY112" s="22">
        <f t="shared" si="75"/>
        <v>49.652917449792355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8.8449999999999989</v>
      </c>
      <c r="FE112" s="12">
        <f>IF('Données projet'!$A$218&gt;35,FE111+FD112-FM111,IF(A112&lt;'Données projet'!$A$218,$FB$205^A112,IF(A112='Données projet'!$A$218,'Données projet'!$B$218,FE111+FD112-FM111)))</f>
        <v>380.3350000000006</v>
      </c>
      <c r="FF112" s="17">
        <f>FE112*VLOOKUP('Données projet'!$B$16,Paramètres!$A$1:$I$89,3,0)*VLOOKUP('Données projet'!$B$16,Paramètres!$A$1:$I$89,5,0)</f>
        <v>361.92678600000056</v>
      </c>
      <c r="FG112" s="13">
        <f t="shared" si="101"/>
        <v>84.013550441701824</v>
      </c>
      <c r="FH112" s="20">
        <f t="shared" si="76"/>
        <v>776.67941930263157</v>
      </c>
      <c r="FI112" s="59">
        <f t="shared" si="77"/>
        <v>1070.0127526359649</v>
      </c>
      <c r="FJ112" s="59">
        <f ca="1">AVERAGE(OFFSET($FI$3,0,0,'Données projet'!$E$16+1,1))-AVERAGE(OFFSET($H$3,0,0,'Données projet'!$E$16+1,1))</f>
        <v>666.1523645983184</v>
      </c>
      <c r="FK112" s="59">
        <f t="shared" si="102"/>
        <v>294.13851344047526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31.525719309896818</v>
      </c>
      <c r="FR112" s="21">
        <f>EXP(-LN(2)/25)*FR111+(1-EXP(-LN(2)/25))/(LN(2)/25)*Calculateur!FM112*Calculateur!FO112*VLOOKUP('Données projet'!$B$16,Paramètres!$A$1:$I$89,3,0)*0.475*44/12</f>
        <v>24.74295131894711</v>
      </c>
      <c r="FS112" s="21">
        <f>EXP(-LN(2)/2)*FS111+(1-EXP(-LN(2)/2))/(LN(2)/2)*FM112*FP112*VLOOKUP('Données projet'!$B$16,Paramètres!$A$1:$I$89,3,0)*0.475*44/12</f>
        <v>1.083451653688507</v>
      </c>
      <c r="FT112" s="22">
        <f t="shared" si="78"/>
        <v>57.352122282532434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328.55631138162721</v>
      </c>
      <c r="T113" s="59">
        <f t="shared" si="88"/>
        <v>321.81422611044985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21.455976171231807</v>
      </c>
      <c r="AA113" s="21">
        <f>EXP(-LN(2)/25)*AA112+(1-EXP(-LN(2)/25))/(LN(2)/25)*Calculateur!V113*Calculateur!X113*VLOOKUP('Données projet'!$B$9,Paramètres!$A$1:$I$89,3,0)*0.475*44/12</f>
        <v>16.703313300395759</v>
      </c>
      <c r="AB113" s="21">
        <f>EXP(-LN(2)/2)*AB112+(1-EXP(-LN(2)/2))/(LN(2)/2)*V113*Y113*VLOOKUP('Données projet'!$B$9,Paramètres!$A$1:$I$89,3,0)*0.475*44/12</f>
        <v>1.7555398958134995E-3</v>
      </c>
      <c r="AC113" s="22">
        <f t="shared" si="57"/>
        <v>38.161045011523377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353.37479213497227</v>
      </c>
      <c r="AO113" s="59">
        <f t="shared" si="90"/>
        <v>345.4750813433123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28.696439183987934</v>
      </c>
      <c r="AV113" s="21">
        <f>EXP(-LN(2)/25)*AV112+(1-EXP(-LN(2)/25))/(LN(2)/25)*Calculateur!AQ113*Calculateur!AS113*VLOOKUP('Données projet'!$B$10,Paramètres!$A$1:$I$89,3,0)*0.475*44/12</f>
        <v>22.339958362676782</v>
      </c>
      <c r="AW113" s="21">
        <f>EXP(-LN(2)/2)*AW112+(1-EXP(-LN(2)/2))/(LN(2)/2)*AQ113*AT113*VLOOKUP('Données projet'!$B$10,Paramètres!$A$1:$I$89,3,0)*0.475*44/12</f>
        <v>1.9049475465210334E-3</v>
      </c>
      <c r="AX113" s="21">
        <f t="shared" si="60"/>
        <v>51.038302494211237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359.57284550600366</v>
      </c>
      <c r="BJ113" s="59">
        <f t="shared" si="92"/>
        <v>351.38386928091433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29.259114462105345</v>
      </c>
      <c r="BQ113" s="21">
        <f>EXP(-LN(2)/25)*BQ112+(1-EXP(-LN(2)/25))/(LN(2)/25)*Calculateur!BL113*Calculateur!BN113*VLOOKUP('Données projet'!$B$11,Paramètres!$A$1:$I$89,3,0)*0.475*44/12</f>
        <v>22.777996761944951</v>
      </c>
      <c r="BR113" s="21">
        <f>EXP(-LN(2)/2)*BR112+(1-EXP(-LN(2)/2))/(LN(2)/2)*BL113*BO113*VLOOKUP('Données projet'!$B$11,Paramètres!$A$1:$I$89,3,0)*0.475*44/12</f>
        <v>1.9422994591979169E-3</v>
      </c>
      <c r="BS113" s="22">
        <f t="shared" si="63"/>
        <v>52.039053523509487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-8.5265128291212022E-14</v>
      </c>
      <c r="BZ113" s="13">
        <f>BY113*VLOOKUP('Données projet'!$B$12,Paramètres!$A$1:$I$89,3,0)*VLOOKUP('Données projet'!$B$12,Paramètres!$A$1:$I$89,5,0)</f>
        <v>-6.9167072069831198E-14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159.4660488566085</v>
      </c>
      <c r="CE113" s="59">
        <f t="shared" si="94"/>
        <v>135.33030558297088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9.2925854641089778</v>
      </c>
      <c r="CM113" s="21">
        <f>EXP(-LN(2)/2)*CM112+(1-EXP(-LN(2)/2))/(LN(2)/2)*CG113*CJ113*VLOOKUP('Données projet'!$B$12,Paramètres!$A$1:$I$89,3,0)*0.475*44/12</f>
        <v>2.4458072678936224E-2</v>
      </c>
      <c r="CN113" s="22">
        <f t="shared" si="66"/>
        <v>9.3170435367879136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353.37479213497227</v>
      </c>
      <c r="CZ113" s="59">
        <f t="shared" si="96"/>
        <v>345.4750813433123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28.696439183987934</v>
      </c>
      <c r="DG113" s="21">
        <f>EXP(-LN(2)/25)*DG112+(1-EXP(-LN(2)/25))/(LN(2)/25)*Calculateur!DB113*Calculateur!DD113*VLOOKUP('Données projet'!$B$13,Paramètres!$A$1:$I$89,3,0)*0.475*44/12</f>
        <v>22.339958362676782</v>
      </c>
      <c r="DH113" s="21">
        <f>EXP(-LN(2)/2)*DH112+(1-EXP(-LN(2)/2))/(LN(2)/2)*DB113*DE113*VLOOKUP('Données projet'!$B$13,Paramètres!$A$1:$I$89,3,0)*0.475*44/12</f>
        <v>1.9049475465210334E-3</v>
      </c>
      <c r="DI113" s="22">
        <f t="shared" si="69"/>
        <v>51.038302494211237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8.8449999999999989</v>
      </c>
      <c r="DO113" s="12">
        <f>IF('Données projet'!$A$166&gt;35,DO112+DN113-DW112,IF(A113&lt;'Données projet'!$A$166,$DL$205^A113,IF(A113='Données projet'!$A$166,'Données projet'!$B$166,DO112+DN113-DW112)))</f>
        <v>389.18000000000063</v>
      </c>
      <c r="DP113" s="17">
        <f>DO113*VLOOKUP('Données projet'!$B$14,Paramètres!$A$1:$I$89,3,0)*VLOOKUP('Données projet'!$B$14,Paramètres!$A$1:$I$89,5,0)</f>
        <v>352.13006400000057</v>
      </c>
      <c r="DQ113" s="13">
        <f t="shared" si="97"/>
        <v>82.000958535583734</v>
      </c>
      <c r="DR113" s="20">
        <f t="shared" si="70"/>
        <v>756.11153091614267</v>
      </c>
      <c r="DS113" s="59">
        <f t="shared" si="71"/>
        <v>1049.444864249476</v>
      </c>
      <c r="DT113" s="59">
        <f ca="1">AVERAGE(OFFSET($DS$3,0,0,'Données projet'!$E$14+1,1))-AVERAGE(OFFSET($H$3,0,0,'Données projet'!$E$14+1,1))</f>
        <v>635.71275911100679</v>
      </c>
      <c r="DU113" s="59">
        <f t="shared" si="98"/>
        <v>281.7776857269169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29.387477255986074</v>
      </c>
      <c r="EB113" s="21">
        <f>EXP(-LN(2)/25)*EB112+(1-EXP(-LN(2)/25))/(LN(2)/25)*Calculateur!DW113*Calculateur!DY113*VLOOKUP('Données projet'!$B$14,Paramètres!$A$1:$I$89,3,0)*0.475*44/12</f>
        <v>22.882762832941054</v>
      </c>
      <c r="EC113" s="21">
        <f>EXP(-LN(2)/2)*EC112+(1-EXP(-LN(2)/2))/(LN(2)/2)*DW113*DZ113*VLOOKUP('Données projet'!$B$14,Paramètres!$A$1:$I$89,3,0)*0.475*44/12</f>
        <v>0.7284381747841554</v>
      </c>
      <c r="ED113" s="22">
        <f t="shared" si="72"/>
        <v>52.998678263711277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8.8449999999999989</v>
      </c>
      <c r="EJ113" s="12">
        <f>IF('Données projet'!$A$192&gt;35,EJ112+EI113-ER112,IF(A113&lt;'Données projet'!$A$192,$EG$205^A113,IF(A113='Données projet'!$A$192,'Données projet'!$B$192,EJ112+EI113-ER112)))</f>
        <v>389.18000000000063</v>
      </c>
      <c r="EK113" s="17">
        <f>EJ113*VLOOKUP('Données projet'!$B$15,Paramètres!$A$1:$I$89,3,0)*VLOOKUP('Données projet'!$B$15,Paramètres!$A$1:$I$89,5,0)</f>
        <v>261.06194400000044</v>
      </c>
      <c r="EL113" s="13">
        <f t="shared" si="99"/>
        <v>62.948687775095173</v>
      </c>
      <c r="EM113" s="20">
        <f t="shared" si="73"/>
        <v>564.31851700829145</v>
      </c>
      <c r="EN113" s="59">
        <f t="shared" si="74"/>
        <v>857.65185034162482</v>
      </c>
      <c r="EO113" s="59">
        <f ca="1">AVERAGE(OFFSET($EN$3,0,0,'Données projet'!$E$15+1,1))-AVERAGE(OFFSET($H$3,0,0,'Données projet'!$E$15+1,1))</f>
        <v>482.99915419700773</v>
      </c>
      <c r="EP113" s="59">
        <f t="shared" si="100"/>
        <v>219.74157899604279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26.854074044263122</v>
      </c>
      <c r="EW113" s="21">
        <f>EXP(-LN(2)/25)*EW112+(1-EXP(-LN(2)/25))/(LN(2)/25)*Calculateur!ER113*Calculateur!ET113*VLOOKUP('Données projet'!$B$15,Paramètres!$A$1:$I$89,3,0)*0.475*44/12</f>
        <v>20.910110864584066</v>
      </c>
      <c r="EX113" s="21">
        <f>EXP(-LN(2)/2)*EX112+(1-EXP(-LN(2)/2))/(LN(2)/2)*ER113*EU113*VLOOKUP('Données projet'!$B$15,Paramètres!$A$1:$I$89,3,0)*0.475*44/12</f>
        <v>0.5400489916503225</v>
      </c>
      <c r="EY113" s="22">
        <f t="shared" si="75"/>
        <v>48.304233900497508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8.8449999999999989</v>
      </c>
      <c r="FE113" s="12">
        <f>IF('Données projet'!$A$218&gt;35,FE112+FD113-FM112,IF(A113&lt;'Données projet'!$A$218,$FB$205^A113,IF(A113='Données projet'!$A$218,'Données projet'!$B$218,FE112+FD113-FM112)))</f>
        <v>389.18000000000063</v>
      </c>
      <c r="FF113" s="17">
        <f>FE113*VLOOKUP('Données projet'!$B$16,Paramètres!$A$1:$I$89,3,0)*VLOOKUP('Données projet'!$B$16,Paramètres!$A$1:$I$89,5,0)</f>
        <v>370.34368800000061</v>
      </c>
      <c r="FG113" s="13">
        <f t="shared" si="101"/>
        <v>85.737614553397449</v>
      </c>
      <c r="FH113" s="20">
        <f t="shared" si="76"/>
        <v>794.34160194716833</v>
      </c>
      <c r="FI113" s="59">
        <f t="shared" si="77"/>
        <v>1087.6749352805016</v>
      </c>
      <c r="FJ113" s="59">
        <f ca="1">AVERAGE(OFFSET($FI$3,0,0,'Données projet'!$E$16+1,1))-AVERAGE(OFFSET($H$3,0,0,'Données projet'!$E$16+1,1))</f>
        <v>666.1523645983184</v>
      </c>
      <c r="FK113" s="59">
        <f t="shared" si="102"/>
        <v>294.13851344047526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30.907519183019836</v>
      </c>
      <c r="FR113" s="21">
        <f>EXP(-LN(2)/25)*FR112+(1-EXP(-LN(2)/25))/(LN(2)/25)*Calculateur!FM113*Calculateur!FO113*VLOOKUP('Données projet'!$B$16,Paramètres!$A$1:$I$89,3,0)*0.475*44/12</f>
        <v>24.066354013955241</v>
      </c>
      <c r="FS113" s="21">
        <f>EXP(-LN(2)/2)*FS112+(1-EXP(-LN(2)/2))/(LN(2)/2)*FM113*FP113*VLOOKUP('Données projet'!$B$16,Paramètres!$A$1:$I$89,3,0)*0.475*44/12</f>
        <v>0.76611601141092223</v>
      </c>
      <c r="FT113" s="22">
        <f t="shared" si="78"/>
        <v>55.739989208386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328.55631138162721</v>
      </c>
      <c r="T114" s="59">
        <f t="shared" si="88"/>
        <v>321.81422611044985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21.035237565367197</v>
      </c>
      <c r="AA114" s="21">
        <f>EXP(-LN(2)/25)*AA113+(1-EXP(-LN(2)/25))/(LN(2)/25)*Calculateur!V114*Calculateur!X114*VLOOKUP('Données projet'!$B$9,Paramètres!$A$1:$I$89,3,0)*0.475*44/12</f>
        <v>16.246560319807365</v>
      </c>
      <c r="AB114" s="21">
        <f>EXP(-LN(2)/2)*AB113+(1-EXP(-LN(2)/2))/(LN(2)/2)*V114*Y114*VLOOKUP('Données projet'!$B$9,Paramètres!$A$1:$I$89,3,0)*0.475*44/12</f>
        <v>1.2413541649732506E-3</v>
      </c>
      <c r="AC114" s="22">
        <f t="shared" si="57"/>
        <v>37.283039239339537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353.37479213497227</v>
      </c>
      <c r="AO114" s="59">
        <f t="shared" si="90"/>
        <v>345.4750813433123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28.133719514689545</v>
      </c>
      <c r="AV114" s="21">
        <f>EXP(-LN(2)/25)*AV113+(1-EXP(-LN(2)/25))/(LN(2)/25)*Calculateur!AQ114*Calculateur!AS114*VLOOKUP('Données projet'!$B$10,Paramètres!$A$1:$I$89,3,0)*0.475*44/12</f>
        <v>21.729071026442035</v>
      </c>
      <c r="AW114" s="21">
        <f>EXP(-LN(2)/2)*AW113+(1-EXP(-LN(2)/2))/(LN(2)/2)*AQ114*AT114*VLOOKUP('Données projet'!$B$10,Paramètres!$A$1:$I$89,3,0)*0.475*44/12</f>
        <v>1.3470013279496991E-3</v>
      </c>
      <c r="AX114" s="21">
        <f t="shared" si="60"/>
        <v>49.864137542459531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359.57284550600366</v>
      </c>
      <c r="BJ114" s="59">
        <f t="shared" si="92"/>
        <v>351.38386928091433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28.685361073801104</v>
      </c>
      <c r="BQ114" s="21">
        <f>EXP(-LN(2)/25)*BQ113+(1-EXP(-LN(2)/25))/(LN(2)/25)*Calculateur!BL114*Calculateur!BN114*VLOOKUP('Données projet'!$B$11,Paramètres!$A$1:$I$89,3,0)*0.475*44/12</f>
        <v>22.155131242646778</v>
      </c>
      <c r="BR114" s="21">
        <f>EXP(-LN(2)/2)*BR113+(1-EXP(-LN(2)/2))/(LN(2)/2)*BL114*BO114*VLOOKUP('Données projet'!$B$11,Paramètres!$A$1:$I$89,3,0)*0.475*44/12</f>
        <v>1.3734131186938111E-3</v>
      </c>
      <c r="BS114" s="22">
        <f t="shared" si="63"/>
        <v>50.841865729566571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-8.5265128291212022E-14</v>
      </c>
      <c r="BZ114" s="13">
        <f>BY114*VLOOKUP('Données projet'!$B$12,Paramètres!$A$1:$I$89,3,0)*VLOOKUP('Données projet'!$B$12,Paramètres!$A$1:$I$89,5,0)</f>
        <v>-6.9167072069831198E-14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159.4660488566085</v>
      </c>
      <c r="CE114" s="59">
        <f t="shared" si="94"/>
        <v>135.33030558297088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9.0384792259170865</v>
      </c>
      <c r="CM114" s="21">
        <f>EXP(-LN(2)/2)*CM113+(1-EXP(-LN(2)/2))/(LN(2)/2)*CG114*CJ114*VLOOKUP('Données projet'!$B$12,Paramètres!$A$1:$I$89,3,0)*0.475*44/12</f>
        <v>1.7294469046029232E-2</v>
      </c>
      <c r="CN114" s="22">
        <f t="shared" si="66"/>
        <v>9.0557736949631149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353.37479213497227</v>
      </c>
      <c r="CZ114" s="59">
        <f t="shared" si="96"/>
        <v>345.4750813433123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28.133719514689545</v>
      </c>
      <c r="DG114" s="21">
        <f>EXP(-LN(2)/25)*DG113+(1-EXP(-LN(2)/25))/(LN(2)/25)*Calculateur!DB114*Calculateur!DD114*VLOOKUP('Données projet'!$B$13,Paramètres!$A$1:$I$89,3,0)*0.475*44/12</f>
        <v>21.729071026442035</v>
      </c>
      <c r="DH114" s="21">
        <f>EXP(-LN(2)/2)*DH113+(1-EXP(-LN(2)/2))/(LN(2)/2)*DB114*DE114*VLOOKUP('Données projet'!$B$13,Paramètres!$A$1:$I$89,3,0)*0.475*44/12</f>
        <v>1.3470013279496991E-3</v>
      </c>
      <c r="DI114" s="22">
        <f t="shared" si="69"/>
        <v>49.864137542459531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8.8449999999999989</v>
      </c>
      <c r="DO114" s="12">
        <f>IF('Données projet'!$A$166&gt;35,DO113+DN114-DW113,IF(A114&lt;'Données projet'!$A$166,$DL$205^A114,IF(A114='Données projet'!$A$166,'Données projet'!$B$166,DO113+DN114-DW113)))</f>
        <v>398.02500000000066</v>
      </c>
      <c r="DP114" s="17">
        <f>DO114*VLOOKUP('Données projet'!$B$14,Paramètres!$A$1:$I$89,3,0)*VLOOKUP('Données projet'!$B$14,Paramètres!$A$1:$I$89,5,0)</f>
        <v>360.13302000000061</v>
      </c>
      <c r="DQ114" s="13">
        <f t="shared" si="97"/>
        <v>83.645526906767415</v>
      </c>
      <c r="DR114" s="20">
        <f t="shared" si="70"/>
        <v>772.91430252928774</v>
      </c>
      <c r="DS114" s="59">
        <f t="shared" si="71"/>
        <v>1066.2476358626211</v>
      </c>
      <c r="DT114" s="59">
        <f ca="1">AVERAGE(OFFSET($DS$3,0,0,'Données projet'!$E$14+1,1))-AVERAGE(OFFSET($H$3,0,0,'Données projet'!$E$14+1,1))</f>
        <v>635.71275911100679</v>
      </c>
      <c r="DU114" s="59">
        <f t="shared" si="98"/>
        <v>281.7776857269169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28.811206751587406</v>
      </c>
      <c r="EB114" s="21">
        <f>EXP(-LN(2)/25)*EB113+(1-EXP(-LN(2)/25))/(LN(2)/25)*Calculateur!DW114*Calculateur!DY114*VLOOKUP('Données projet'!$B$14,Paramètres!$A$1:$I$89,3,0)*0.475*44/12</f>
        <v>22.257032479922085</v>
      </c>
      <c r="EC114" s="21">
        <f>EXP(-LN(2)/2)*EC113+(1-EXP(-LN(2)/2))/(LN(2)/2)*DW114*DZ114*VLOOKUP('Données projet'!$B$14,Paramètres!$A$1:$I$89,3,0)*0.475*44/12</f>
        <v>0.51508357306502783</v>
      </c>
      <c r="ED114" s="22">
        <f t="shared" si="72"/>
        <v>51.583322804574522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8.8449999999999989</v>
      </c>
      <c r="EJ114" s="12">
        <f>IF('Données projet'!$A$192&gt;35,EJ113+EI114-ER113,IF(A114&lt;'Données projet'!$A$192,$EG$205^A114,IF(A114='Données projet'!$A$192,'Données projet'!$B$192,EJ113+EI114-ER113)))</f>
        <v>398.02500000000066</v>
      </c>
      <c r="EK114" s="17">
        <f>EJ114*VLOOKUP('Données projet'!$B$15,Paramètres!$A$1:$I$89,3,0)*VLOOKUP('Données projet'!$B$15,Paramètres!$A$1:$I$89,5,0)</f>
        <v>266.99517000000043</v>
      </c>
      <c r="EL114" s="13">
        <f t="shared" si="99"/>
        <v>64.211153760508196</v>
      </c>
      <c r="EM114" s="20">
        <f t="shared" si="73"/>
        <v>576.8510138828857</v>
      </c>
      <c r="EN114" s="59">
        <f t="shared" si="74"/>
        <v>870.18434721621907</v>
      </c>
      <c r="EO114" s="59">
        <f ca="1">AVERAGE(OFFSET($EN$3,0,0,'Données projet'!$E$15+1,1))-AVERAGE(OFFSET($H$3,0,0,'Données projet'!$E$15+1,1))</f>
        <v>482.99915419700773</v>
      </c>
      <c r="EP114" s="59">
        <f t="shared" si="100"/>
        <v>219.74157899604279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26.32748203162296</v>
      </c>
      <c r="EW114" s="21">
        <f>EXP(-LN(2)/25)*EW113+(1-EXP(-LN(2)/25))/(LN(2)/25)*Calculateur!ER114*Calculateur!ET114*VLOOKUP('Données projet'!$B$15,Paramètres!$A$1:$I$89,3,0)*0.475*44/12</f>
        <v>20.338322783377077</v>
      </c>
      <c r="EX114" s="21">
        <f>EXP(-LN(2)/2)*EX113+(1-EXP(-LN(2)/2))/(LN(2)/2)*ER114*EU114*VLOOKUP('Données projet'!$B$15,Paramètres!$A$1:$I$89,3,0)*0.475*44/12</f>
        <v>0.38187230416890022</v>
      </c>
      <c r="EY114" s="22">
        <f t="shared" si="75"/>
        <v>47.047677119168938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8.8449999999999989</v>
      </c>
      <c r="FE114" s="12">
        <f>IF('Données projet'!$A$218&gt;35,FE113+FD114-FM113,IF(A114&lt;'Données projet'!$A$218,$FB$205^A114,IF(A114='Données projet'!$A$218,'Données projet'!$B$218,FE113+FD114-FM113)))</f>
        <v>398.02500000000066</v>
      </c>
      <c r="FF114" s="17">
        <f>FE114*VLOOKUP('Données projet'!$B$16,Paramètres!$A$1:$I$89,3,0)*VLOOKUP('Données projet'!$B$16,Paramètres!$A$1:$I$89,5,0)</f>
        <v>378.76059000000066</v>
      </c>
      <c r="FG114" s="13">
        <f t="shared" si="101"/>
        <v>87.457123344920589</v>
      </c>
      <c r="FH114" s="20">
        <f t="shared" si="76"/>
        <v>811.9958507424044</v>
      </c>
      <c r="FI114" s="59">
        <f t="shared" si="77"/>
        <v>1105.3291840757377</v>
      </c>
      <c r="FJ114" s="59">
        <f ca="1">AVERAGE(OFFSET($FI$3,0,0,'Données projet'!$E$16+1,1))-AVERAGE(OFFSET($H$3,0,0,'Données projet'!$E$16+1,1))</f>
        <v>666.1523645983184</v>
      </c>
      <c r="FK114" s="59">
        <f t="shared" si="102"/>
        <v>294.13851344047526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30.301441583566067</v>
      </c>
      <c r="FR114" s="21">
        <f>EXP(-LN(2)/25)*FR113+(1-EXP(-LN(2)/25))/(LN(2)/25)*Calculateur!FM114*Calculateur!FO114*VLOOKUP('Données projet'!$B$16,Paramètres!$A$1:$I$89,3,0)*0.475*44/12</f>
        <v>23.408258297849081</v>
      </c>
      <c r="FS114" s="21">
        <f>EXP(-LN(2)/2)*FS113+(1-EXP(-LN(2)/2))/(LN(2)/2)*FM114*FP114*VLOOKUP('Données projet'!$B$16,Paramètres!$A$1:$I$89,3,0)*0.475*44/12</f>
        <v>0.54172582684425352</v>
      </c>
      <c r="FT114" s="22">
        <f t="shared" si="78"/>
        <v>54.251425708259404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328.55631138162721</v>
      </c>
      <c r="T115" s="59">
        <f t="shared" si="88"/>
        <v>321.81422611044985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20.622749386938381</v>
      </c>
      <c r="AA115" s="21">
        <f>EXP(-LN(2)/25)*AA114+(1-EXP(-LN(2)/25))/(LN(2)/25)*Calculateur!V115*Calculateur!X115*VLOOKUP('Données projet'!$B$9,Paramètres!$A$1:$I$89,3,0)*0.475*44/12</f>
        <v>15.802297273492757</v>
      </c>
      <c r="AB115" s="21">
        <f>EXP(-LN(2)/2)*AB114+(1-EXP(-LN(2)/2))/(LN(2)/2)*V115*Y115*VLOOKUP('Données projet'!$B$9,Paramètres!$A$1:$I$89,3,0)*0.475*44/12</f>
        <v>8.7776994790674976E-4</v>
      </c>
      <c r="AC115" s="22">
        <f t="shared" si="57"/>
        <v>36.425924430379041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353.37479213497227</v>
      </c>
      <c r="AO115" s="59">
        <f t="shared" si="90"/>
        <v>345.4750813433123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27.582034434880992</v>
      </c>
      <c r="AV115" s="21">
        <f>EXP(-LN(2)/25)*AV114+(1-EXP(-LN(2)/25))/(LN(2)/25)*Calculateur!AQ115*Calculateur!AS115*VLOOKUP('Données projet'!$B$10,Paramètres!$A$1:$I$89,3,0)*0.475*44/12</f>
        <v>21.134888436541797</v>
      </c>
      <c r="AW115" s="21">
        <f>EXP(-LN(2)/2)*AW114+(1-EXP(-LN(2)/2))/(LN(2)/2)*AQ115*AT115*VLOOKUP('Données projet'!$B$10,Paramètres!$A$1:$I$89,3,0)*0.475*44/12</f>
        <v>9.5247377326051694E-4</v>
      </c>
      <c r="AX115" s="21">
        <f t="shared" si="60"/>
        <v>48.717875345196049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359.57284550600366</v>
      </c>
      <c r="BJ115" s="59">
        <f t="shared" si="92"/>
        <v>351.38386928091433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28.122858639486498</v>
      </c>
      <c r="BQ115" s="21">
        <f>EXP(-LN(2)/25)*BQ114+(1-EXP(-LN(2)/25))/(LN(2)/25)*Calculateur!BL115*Calculateur!BN115*VLOOKUP('Données projet'!$B$11,Paramètres!$A$1:$I$89,3,0)*0.475*44/12</f>
        <v>21.549298013728887</v>
      </c>
      <c r="BR115" s="21">
        <f>EXP(-LN(2)/2)*BR114+(1-EXP(-LN(2)/2))/(LN(2)/2)*BL115*BO115*VLOOKUP('Données projet'!$B$11,Paramètres!$A$1:$I$89,3,0)*0.475*44/12</f>
        <v>9.7114972959895854E-4</v>
      </c>
      <c r="BS115" s="22">
        <f t="shared" si="63"/>
        <v>49.673127802944983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-8.5265128291212022E-14</v>
      </c>
      <c r="BZ115" s="13">
        <f>BY115*VLOOKUP('Données projet'!$B$12,Paramètres!$A$1:$I$89,3,0)*VLOOKUP('Données projet'!$B$12,Paramètres!$A$1:$I$89,5,0)</f>
        <v>-6.9167072069831198E-14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159.4660488566085</v>
      </c>
      <c r="CE115" s="59">
        <f t="shared" si="94"/>
        <v>135.33030558297088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8.7913215361714183</v>
      </c>
      <c r="CM115" s="21">
        <f>EXP(-LN(2)/2)*CM114+(1-EXP(-LN(2)/2))/(LN(2)/2)*CG115*CJ115*VLOOKUP('Données projet'!$B$12,Paramètres!$A$1:$I$89,3,0)*0.475*44/12</f>
        <v>1.2229036339468112E-2</v>
      </c>
      <c r="CN115" s="22">
        <f t="shared" si="66"/>
        <v>8.8035505725108862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353.37479213497227</v>
      </c>
      <c r="CZ115" s="59">
        <f t="shared" si="96"/>
        <v>345.4750813433123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27.582034434880992</v>
      </c>
      <c r="DG115" s="21">
        <f>EXP(-LN(2)/25)*DG114+(1-EXP(-LN(2)/25))/(LN(2)/25)*Calculateur!DB115*Calculateur!DD115*VLOOKUP('Données projet'!$B$13,Paramètres!$A$1:$I$89,3,0)*0.475*44/12</f>
        <v>21.134888436541797</v>
      </c>
      <c r="DH115" s="21">
        <f>EXP(-LN(2)/2)*DH114+(1-EXP(-LN(2)/2))/(LN(2)/2)*DB115*DE115*VLOOKUP('Données projet'!$B$13,Paramètres!$A$1:$I$89,3,0)*0.475*44/12</f>
        <v>9.5247377326051694E-4</v>
      </c>
      <c r="DI115" s="22">
        <f t="shared" si="69"/>
        <v>48.717875345196049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8.8449999999999989</v>
      </c>
      <c r="DO115" s="12">
        <f>IF('Données projet'!$A$166&gt;35,DO114+DN115-DW114,IF(A115&lt;'Données projet'!$A$166,$DL$205^A115,IF(A115='Données projet'!$A$166,'Données projet'!$B$166,DO114+DN115-DW114)))</f>
        <v>406.87000000000069</v>
      </c>
      <c r="DP115" s="17">
        <f>DO115*VLOOKUP('Données projet'!$B$14,Paramètres!$A$1:$I$89,3,0)*VLOOKUP('Données projet'!$B$14,Paramètres!$A$1:$I$89,5,0)</f>
        <v>368.1359760000006</v>
      </c>
      <c r="DQ115" s="13">
        <f t="shared" si="97"/>
        <v>85.285846455183602</v>
      </c>
      <c r="DR115" s="20">
        <f t="shared" si="70"/>
        <v>789.70967410944593</v>
      </c>
      <c r="DS115" s="59">
        <f t="shared" si="71"/>
        <v>1083.0430074427793</v>
      </c>
      <c r="DT115" s="59">
        <f ca="1">AVERAGE(OFFSET($DS$3,0,0,'Données projet'!$E$14+1,1))-AVERAGE(OFFSET($H$3,0,0,'Données projet'!$E$14+1,1))</f>
        <v>635.71275911100679</v>
      </c>
      <c r="DU115" s="59">
        <f t="shared" si="98"/>
        <v>281.7776857269169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28.246236560289695</v>
      </c>
      <c r="EB115" s="21">
        <f>EXP(-LN(2)/25)*EB114+(1-EXP(-LN(2)/25))/(LN(2)/25)*Calculateur!DW115*Calculateur!DY115*VLOOKUP('Données projet'!$B$14,Paramètres!$A$1:$I$89,3,0)*0.475*44/12</f>
        <v>21.648412756312148</v>
      </c>
      <c r="EC115" s="21">
        <f>EXP(-LN(2)/2)*EC114+(1-EXP(-LN(2)/2))/(LN(2)/2)*DW115*DZ115*VLOOKUP('Données projet'!$B$14,Paramètres!$A$1:$I$89,3,0)*0.475*44/12</f>
        <v>0.3642190873920777</v>
      </c>
      <c r="ED115" s="22">
        <f t="shared" si="72"/>
        <v>50.258868403993922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8.8449999999999989</v>
      </c>
      <c r="EJ115" s="12">
        <f>IF('Données projet'!$A$192&gt;35,EJ114+EI115-ER114,IF(A115&lt;'Données projet'!$A$192,$EG$205^A115,IF(A115='Données projet'!$A$192,'Données projet'!$B$192,EJ114+EI115-ER114)))</f>
        <v>406.87000000000069</v>
      </c>
      <c r="EK115" s="17">
        <f>EJ115*VLOOKUP('Données projet'!$B$15,Paramètres!$A$1:$I$89,3,0)*VLOOKUP('Données projet'!$B$15,Paramètres!$A$1:$I$89,5,0)</f>
        <v>272.92839600000048</v>
      </c>
      <c r="EL115" s="13">
        <f t="shared" si="99"/>
        <v>65.470358103343145</v>
      </c>
      <c r="EM115" s="20">
        <f t="shared" si="73"/>
        <v>589.37783006332347</v>
      </c>
      <c r="EN115" s="59">
        <f t="shared" si="74"/>
        <v>882.71116339665673</v>
      </c>
      <c r="EO115" s="59">
        <f ca="1">AVERAGE(OFFSET($EN$3,0,0,'Données projet'!$E$15+1,1))-AVERAGE(OFFSET($H$3,0,0,'Données projet'!$E$15+1,1))</f>
        <v>482.99915419700773</v>
      </c>
      <c r="EP115" s="59">
        <f t="shared" si="100"/>
        <v>219.74157899604279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25.811216167161259</v>
      </c>
      <c r="EW115" s="21">
        <f>EXP(-LN(2)/25)*EW114+(1-EXP(-LN(2)/25))/(LN(2)/25)*Calculateur!ER115*Calculateur!ET115*VLOOKUP('Données projet'!$B$15,Paramètres!$A$1:$I$89,3,0)*0.475*44/12</f>
        <v>19.782170277319718</v>
      </c>
      <c r="EX115" s="21">
        <f>EXP(-LN(2)/2)*EX114+(1-EXP(-LN(2)/2))/(LN(2)/2)*ER115*EU115*VLOOKUP('Données projet'!$B$15,Paramètres!$A$1:$I$89,3,0)*0.475*44/12</f>
        <v>0.27002449582516125</v>
      </c>
      <c r="EY115" s="22">
        <f t="shared" si="75"/>
        <v>45.863410940306139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8.8449999999999989</v>
      </c>
      <c r="FE115" s="12">
        <f>IF('Données projet'!$A$218&gt;35,FE114+FD115-FM114,IF(A115&lt;'Données projet'!$A$218,$FB$205^A115,IF(A115='Données projet'!$A$218,'Données projet'!$B$218,FE114+FD115-FM114)))</f>
        <v>406.87000000000069</v>
      </c>
      <c r="FF115" s="17">
        <f>FE115*VLOOKUP('Données projet'!$B$16,Paramètres!$A$1:$I$89,3,0)*VLOOKUP('Données projet'!$B$16,Paramètres!$A$1:$I$89,5,0)</f>
        <v>387.17749200000065</v>
      </c>
      <c r="FG115" s="13">
        <f t="shared" si="101"/>
        <v>89.172189701437333</v>
      </c>
      <c r="FH115" s="20">
        <f t="shared" si="76"/>
        <v>829.64236229667119</v>
      </c>
      <c r="FI115" s="59">
        <f t="shared" si="77"/>
        <v>1122.9756956300046</v>
      </c>
      <c r="FJ115" s="59">
        <f ca="1">AVERAGE(OFFSET($FI$3,0,0,'Données projet'!$E$16+1,1))-AVERAGE(OFFSET($H$3,0,0,'Données projet'!$E$16+1,1))</f>
        <v>666.1523645983184</v>
      </c>
      <c r="FK115" s="59">
        <f t="shared" si="102"/>
        <v>294.13851344047526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29.707248796166752</v>
      </c>
      <c r="FR115" s="21">
        <f>EXP(-LN(2)/25)*FR114+(1-EXP(-LN(2)/25))/(LN(2)/25)*Calculateur!FM115*Calculateur!FO115*VLOOKUP('Données projet'!$B$16,Paramètres!$A$1:$I$89,3,0)*0.475*44/12</f>
        <v>22.768158243707592</v>
      </c>
      <c r="FS115" s="21">
        <f>EXP(-LN(2)/2)*FS114+(1-EXP(-LN(2)/2))/(LN(2)/2)*FM115*FP115*VLOOKUP('Données projet'!$B$16,Paramètres!$A$1:$I$89,3,0)*0.475*44/12</f>
        <v>0.38305800570546111</v>
      </c>
      <c r="FT115" s="22">
        <f t="shared" si="78"/>
        <v>52.858465045579806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328.55631138162721</v>
      </c>
      <c r="T116" s="59">
        <f t="shared" si="88"/>
        <v>321.81422611044985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20.218349850095606</v>
      </c>
      <c r="AA116" s="21">
        <f>EXP(-LN(2)/25)*AA115+(1-EXP(-LN(2)/25))/(LN(2)/25)*Calculateur!V116*Calculateur!X116*VLOOKUP('Données projet'!$B$9,Paramètres!$A$1:$I$89,3,0)*0.475*44/12</f>
        <v>15.3701826235424</v>
      </c>
      <c r="AB116" s="21">
        <f>EXP(-LN(2)/2)*AB115+(1-EXP(-LN(2)/2))/(LN(2)/2)*V116*Y116*VLOOKUP('Données projet'!$B$9,Paramètres!$A$1:$I$89,3,0)*0.475*44/12</f>
        <v>6.2067708248662531E-4</v>
      </c>
      <c r="AC116" s="22">
        <f t="shared" si="57"/>
        <v>35.589153150720492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353.37479213497227</v>
      </c>
      <c r="AO116" s="59">
        <f t="shared" si="90"/>
        <v>345.4750813433123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27.041167562992811</v>
      </c>
      <c r="AV116" s="21">
        <f>EXP(-LN(2)/25)*AV115+(1-EXP(-LN(2)/25))/(LN(2)/25)*Calculateur!AQ116*Calculateur!AS116*VLOOKUP('Données projet'!$B$10,Paramètres!$A$1:$I$89,3,0)*0.475*44/12</f>
        <v>20.556953800809083</v>
      </c>
      <c r="AW116" s="21">
        <f>EXP(-LN(2)/2)*AW115+(1-EXP(-LN(2)/2))/(LN(2)/2)*AQ116*AT116*VLOOKUP('Données projet'!$B$10,Paramètres!$A$1:$I$89,3,0)*0.475*44/12</f>
        <v>6.7350066397484966E-4</v>
      </c>
      <c r="AX116" s="21">
        <f t="shared" si="60"/>
        <v>47.598794864465866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359.57284550600366</v>
      </c>
      <c r="BJ116" s="59">
        <f t="shared" si="92"/>
        <v>351.38386928091433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27.571386534816195</v>
      </c>
      <c r="BQ116" s="21">
        <f>EXP(-LN(2)/25)*BQ115+(1-EXP(-LN(2)/25))/(LN(2)/25)*Calculateur!BL116*Calculateur!BN116*VLOOKUP('Données projet'!$B$11,Paramètres!$A$1:$I$89,3,0)*0.475*44/12</f>
        <v>20.960031326315139</v>
      </c>
      <c r="BR116" s="21">
        <f>EXP(-LN(2)/2)*BR115+(1-EXP(-LN(2)/2))/(LN(2)/2)*BL116*BO116*VLOOKUP('Données projet'!$B$11,Paramètres!$A$1:$I$89,3,0)*0.475*44/12</f>
        <v>6.8670655934690563E-4</v>
      </c>
      <c r="BS116" s="22">
        <f t="shared" si="63"/>
        <v>48.532104567690681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-8.5265128291212022E-14</v>
      </c>
      <c r="BZ116" s="13">
        <f>BY116*VLOOKUP('Données projet'!$B$12,Paramètres!$A$1:$I$89,3,0)*VLOOKUP('Données projet'!$B$12,Paramètres!$A$1:$I$89,5,0)</f>
        <v>-6.9167072069831198E-14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159.4660488566085</v>
      </c>
      <c r="CE116" s="59">
        <f t="shared" si="94"/>
        <v>135.33030558297088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8.5509223864493045</v>
      </c>
      <c r="CM116" s="21">
        <f>EXP(-LN(2)/2)*CM115+(1-EXP(-LN(2)/2))/(LN(2)/2)*CG116*CJ116*VLOOKUP('Données projet'!$B$12,Paramètres!$A$1:$I$89,3,0)*0.475*44/12</f>
        <v>8.6472345230146162E-3</v>
      </c>
      <c r="CN116" s="22">
        <f t="shared" si="66"/>
        <v>8.5595696209723187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353.37479213497227</v>
      </c>
      <c r="CZ116" s="59">
        <f t="shared" si="96"/>
        <v>345.4750813433123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27.041167562992811</v>
      </c>
      <c r="DG116" s="21">
        <f>EXP(-LN(2)/25)*DG115+(1-EXP(-LN(2)/25))/(LN(2)/25)*Calculateur!DB116*Calculateur!DD116*VLOOKUP('Données projet'!$B$13,Paramètres!$A$1:$I$89,3,0)*0.475*44/12</f>
        <v>20.556953800809083</v>
      </c>
      <c r="DH116" s="21">
        <f>EXP(-LN(2)/2)*DH115+(1-EXP(-LN(2)/2))/(LN(2)/2)*DB116*DE116*VLOOKUP('Données projet'!$B$13,Paramètres!$A$1:$I$89,3,0)*0.475*44/12</f>
        <v>6.7350066397484966E-4</v>
      </c>
      <c r="DI116" s="22">
        <f t="shared" si="69"/>
        <v>47.598794864465866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8.8449999999999989</v>
      </c>
      <c r="DO116" s="12">
        <f>IF('Données projet'!$A$166&gt;35,DO115+DN116-DW115,IF(A116&lt;'Données projet'!$A$166,$DL$205^A116,IF(A116='Données projet'!$A$166,'Données projet'!$B$166,DO115+DN116-DW115)))</f>
        <v>415.71500000000071</v>
      </c>
      <c r="DP116" s="17">
        <f>DO116*VLOOKUP('Données projet'!$B$14,Paramètres!$A$1:$I$89,3,0)*VLOOKUP('Données projet'!$B$14,Paramètres!$A$1:$I$89,5,0)</f>
        <v>376.13893200000064</v>
      </c>
      <c r="DQ116" s="13">
        <f t="shared" si="97"/>
        <v>86.922020183945492</v>
      </c>
      <c r="DR116" s="20">
        <f t="shared" si="70"/>
        <v>806.49782505370615</v>
      </c>
      <c r="DS116" s="59">
        <f t="shared" si="71"/>
        <v>1099.8311583870395</v>
      </c>
      <c r="DT116" s="59">
        <f ca="1">AVERAGE(OFFSET($DS$3,0,0,'Données projet'!$E$14+1,1))-AVERAGE(OFFSET($H$3,0,0,'Données projet'!$E$14+1,1))</f>
        <v>635.71275911100679</v>
      </c>
      <c r="DU116" s="59">
        <f t="shared" si="98"/>
        <v>281.7776857269169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27.692345089845542</v>
      </c>
      <c r="EB116" s="21">
        <f>EXP(-LN(2)/25)*EB115+(1-EXP(-LN(2)/25))/(LN(2)/25)*Calculateur!DW116*Calculateur!DY116*VLOOKUP('Données projet'!$B$14,Paramètres!$A$1:$I$89,3,0)*0.475*44/12</f>
        <v>21.056435771050243</v>
      </c>
      <c r="EC116" s="21">
        <f>EXP(-LN(2)/2)*EC115+(1-EXP(-LN(2)/2))/(LN(2)/2)*DW116*DZ116*VLOOKUP('Données projet'!$B$14,Paramètres!$A$1:$I$89,3,0)*0.475*44/12</f>
        <v>0.25754178653251392</v>
      </c>
      <c r="ED116" s="22">
        <f t="shared" si="72"/>
        <v>49.006322647428298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8.8449999999999989</v>
      </c>
      <c r="EJ116" s="12">
        <f>IF('Données projet'!$A$192&gt;35,EJ115+EI116-ER115,IF(A116&lt;'Données projet'!$A$192,$EG$205^A116,IF(A116='Données projet'!$A$192,'Données projet'!$B$192,EJ115+EI116-ER115)))</f>
        <v>415.71500000000071</v>
      </c>
      <c r="EK116" s="17">
        <f>EJ116*VLOOKUP('Données projet'!$B$15,Paramètres!$A$1:$I$89,3,0)*VLOOKUP('Données projet'!$B$15,Paramètres!$A$1:$I$89,5,0)</f>
        <v>278.86162200000052</v>
      </c>
      <c r="EL116" s="13">
        <f t="shared" si="99"/>
        <v>66.726379874758862</v>
      </c>
      <c r="EM116" s="20">
        <f t="shared" si="73"/>
        <v>601.89910326520578</v>
      </c>
      <c r="EN116" s="59">
        <f t="shared" si="74"/>
        <v>895.23243659853915</v>
      </c>
      <c r="EO116" s="59">
        <f ca="1">AVERAGE(OFFSET($EN$3,0,0,'Données projet'!$E$15+1,1))-AVERAGE(OFFSET($H$3,0,0,'Données projet'!$E$15+1,1))</f>
        <v>482.99915419700773</v>
      </c>
      <c r="EP116" s="59">
        <f t="shared" si="100"/>
        <v>219.74157899604279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25.305073961410567</v>
      </c>
      <c r="EW116" s="21">
        <f>EXP(-LN(2)/25)*EW115+(1-EXP(-LN(2)/25))/(LN(2)/25)*Calculateur!ER116*Calculateur!ET116*VLOOKUP('Données projet'!$B$15,Paramètres!$A$1:$I$89,3,0)*0.475*44/12</f>
        <v>19.24122579078729</v>
      </c>
      <c r="EX116" s="21">
        <f>EXP(-LN(2)/2)*EX115+(1-EXP(-LN(2)/2))/(LN(2)/2)*ER116*EU116*VLOOKUP('Données projet'!$B$15,Paramètres!$A$1:$I$89,3,0)*0.475*44/12</f>
        <v>0.19093615208445011</v>
      </c>
      <c r="EY116" s="22">
        <f t="shared" si="75"/>
        <v>44.737235904282301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8.8449999999999989</v>
      </c>
      <c r="FE116" s="12">
        <f>IF('Données projet'!$A$218&gt;35,FE115+FD116-FM115,IF(A116&lt;'Données projet'!$A$218,$FB$205^A116,IF(A116='Données projet'!$A$218,'Données projet'!$B$218,FE115+FD116-FM115)))</f>
        <v>415.71500000000071</v>
      </c>
      <c r="FF116" s="17">
        <f>FE116*VLOOKUP('Données projet'!$B$16,Paramètres!$A$1:$I$89,3,0)*VLOOKUP('Données projet'!$B$16,Paramètres!$A$1:$I$89,5,0)</f>
        <v>395.5943940000007</v>
      </c>
      <c r="FG116" s="13">
        <f t="shared" si="101"/>
        <v>90.882921319752683</v>
      </c>
      <c r="FH116" s="20">
        <f t="shared" si="76"/>
        <v>847.28132418190387</v>
      </c>
      <c r="FI116" s="59">
        <f t="shared" si="77"/>
        <v>1140.6146575152372</v>
      </c>
      <c r="FJ116" s="59">
        <f ca="1">AVERAGE(OFFSET($FI$3,0,0,'Données projet'!$E$16+1,1))-AVERAGE(OFFSET($H$3,0,0,'Données projet'!$E$16+1,1))</f>
        <v>666.1523645983184</v>
      </c>
      <c r="FK116" s="59">
        <f t="shared" si="102"/>
        <v>294.13851344047526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29.124707766906521</v>
      </c>
      <c r="FR116" s="21">
        <f>EXP(-LN(2)/25)*FR115+(1-EXP(-LN(2)/25))/(LN(2)/25)*Calculateur!FM116*Calculateur!FO116*VLOOKUP('Données projet'!$B$16,Paramètres!$A$1:$I$89,3,0)*0.475*44/12</f>
        <v>22.145561759208004</v>
      </c>
      <c r="FS116" s="21">
        <f>EXP(-LN(2)/2)*FS115+(1-EXP(-LN(2)/2))/(LN(2)/2)*FM116*FP116*VLOOKUP('Données projet'!$B$16,Paramètres!$A$1:$I$89,3,0)*0.475*44/12</f>
        <v>0.27086291342212676</v>
      </c>
      <c r="FT116" s="22">
        <f t="shared" si="78"/>
        <v>51.541132439536653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328.55631138162721</v>
      </c>
      <c r="T117" s="59">
        <f t="shared" si="88"/>
        <v>321.81422611044985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19.821880341510958</v>
      </c>
      <c r="AA117" s="21">
        <f>EXP(-LN(2)/25)*AA116+(1-EXP(-LN(2)/25))/(LN(2)/25)*Calculateur!V117*Calculateur!X117*VLOOKUP('Données projet'!$B$9,Paramètres!$A$1:$I$89,3,0)*0.475*44/12</f>
        <v>14.949884171418857</v>
      </c>
      <c r="AB117" s="21">
        <f>EXP(-LN(2)/2)*AB116+(1-EXP(-LN(2)/2))/(LN(2)/2)*V117*Y117*VLOOKUP('Données projet'!$B$9,Paramètres!$A$1:$I$89,3,0)*0.475*44/12</f>
        <v>4.3888497395337488E-4</v>
      </c>
      <c r="AC117" s="22">
        <f t="shared" si="57"/>
        <v>34.772203397903766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353.37479213497227</v>
      </c>
      <c r="AO117" s="59">
        <f t="shared" si="90"/>
        <v>345.4750813433123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26.51090676056614</v>
      </c>
      <c r="AV117" s="21">
        <f>EXP(-LN(2)/25)*AV116+(1-EXP(-LN(2)/25))/(LN(2)/25)*Calculateur!AQ117*Calculateur!AS117*VLOOKUP('Données projet'!$B$10,Paramètres!$A$1:$I$89,3,0)*0.475*44/12</f>
        <v>19.994822818082742</v>
      </c>
      <c r="AW117" s="21">
        <f>EXP(-LN(2)/2)*AW116+(1-EXP(-LN(2)/2))/(LN(2)/2)*AQ117*AT117*VLOOKUP('Données projet'!$B$10,Paramètres!$A$1:$I$89,3,0)*0.475*44/12</f>
        <v>4.7623688663025852E-4</v>
      </c>
      <c r="AX117" s="21">
        <f t="shared" si="60"/>
        <v>46.506205815535516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359.57284550600366</v>
      </c>
      <c r="BJ117" s="59">
        <f t="shared" si="92"/>
        <v>351.38386928091433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27.030728461753707</v>
      </c>
      <c r="BQ117" s="21">
        <f>EXP(-LN(2)/25)*BQ116+(1-EXP(-LN(2)/25))/(LN(2)/25)*Calculateur!BL117*Calculateur!BN117*VLOOKUP('Données projet'!$B$11,Paramètres!$A$1:$I$89,3,0)*0.475*44/12</f>
        <v>20.38687816745691</v>
      </c>
      <c r="BR117" s="21">
        <f>EXP(-LN(2)/2)*BR116+(1-EXP(-LN(2)/2))/(LN(2)/2)*BL117*BO117*VLOOKUP('Données projet'!$B$11,Paramètres!$A$1:$I$89,3,0)*0.475*44/12</f>
        <v>4.8557486479947932E-4</v>
      </c>
      <c r="BS117" s="22">
        <f t="shared" si="63"/>
        <v>47.418092204075414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-8.5265128291212022E-14</v>
      </c>
      <c r="BZ117" s="13">
        <f>BY117*VLOOKUP('Données projet'!$B$12,Paramètres!$A$1:$I$89,3,0)*VLOOKUP('Données projet'!$B$12,Paramètres!$A$1:$I$89,5,0)</f>
        <v>-6.9167072069831198E-14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159.4660488566085</v>
      </c>
      <c r="CE117" s="59">
        <f t="shared" si="94"/>
        <v>135.33030558297088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8.3170969641183827</v>
      </c>
      <c r="CM117" s="21">
        <f>EXP(-LN(2)/2)*CM116+(1-EXP(-LN(2)/2))/(LN(2)/2)*CG117*CJ117*VLOOKUP('Données projet'!$B$12,Paramètres!$A$1:$I$89,3,0)*0.475*44/12</f>
        <v>6.114518169734056E-3</v>
      </c>
      <c r="CN117" s="22">
        <f t="shared" si="66"/>
        <v>8.3232114822881176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353.37479213497227</v>
      </c>
      <c r="CZ117" s="59">
        <f t="shared" si="96"/>
        <v>345.4750813433123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26.51090676056614</v>
      </c>
      <c r="DG117" s="21">
        <f>EXP(-LN(2)/25)*DG116+(1-EXP(-LN(2)/25))/(LN(2)/25)*Calculateur!DB117*Calculateur!DD117*VLOOKUP('Données projet'!$B$13,Paramètres!$A$1:$I$89,3,0)*0.475*44/12</f>
        <v>19.994822818082742</v>
      </c>
      <c r="DH117" s="21">
        <f>EXP(-LN(2)/2)*DH116+(1-EXP(-LN(2)/2))/(LN(2)/2)*DB117*DE117*VLOOKUP('Données projet'!$B$13,Paramètres!$A$1:$I$89,3,0)*0.475*44/12</f>
        <v>4.7623688663025852E-4</v>
      </c>
      <c r="DI117" s="22">
        <f t="shared" si="69"/>
        <v>46.506205815535516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>
        <f>VLOOKUP(A117,'Données projet'!$A$165:$I$185,2,0)</f>
        <v>424.56</v>
      </c>
      <c r="DM117" s="12">
        <f>VLOOKUP(A117,'Données projet'!$A$165:$I$185,9,0)</f>
        <v>8.8449999999999989</v>
      </c>
      <c r="DN117" s="12">
        <f t="array" ref="DN117">INDEX(DM:DM,MIN(IF(ISNUMBER(DM117:DM313),ROW(DM117:DM313),"")))</f>
        <v>8.8449999999999989</v>
      </c>
      <c r="DO117" s="12">
        <f>IF('Données projet'!$A$166&gt;35,DO116+DN117-DW116,IF(A117&lt;'Données projet'!$A$166,$DL$205^A117,IF(A117='Données projet'!$A$166,'Données projet'!$B$166,DO116+DN117-DW116)))</f>
        <v>424.56000000000074</v>
      </c>
      <c r="DP117" s="17">
        <f>DO117*VLOOKUP('Données projet'!$B$14,Paramètres!$A$1:$I$89,3,0)*VLOOKUP('Données projet'!$B$14,Paramètres!$A$1:$I$89,5,0)</f>
        <v>384.14188800000068</v>
      </c>
      <c r="DQ117" s="13">
        <f t="shared" si="97"/>
        <v>88.554146462646884</v>
      </c>
      <c r="DR117" s="20">
        <f t="shared" si="70"/>
        <v>823.27892668911102</v>
      </c>
      <c r="DS117" s="59">
        <f t="shared" si="71"/>
        <v>1116.6122600224444</v>
      </c>
      <c r="DT117" s="59">
        <f ca="1">AVERAGE(OFFSET($DS$3,0,0,'Données projet'!$E$14+1,1))-AVERAGE(OFFSET($H$3,0,0,'Données projet'!$E$14+1,1))</f>
        <v>635.71275911100679</v>
      </c>
      <c r="DU117" s="59">
        <f t="shared" si="98"/>
        <v>281.7776857269169</v>
      </c>
      <c r="DV117" s="15">
        <f>IF(ISNA(VLOOKUP(A117,'Données projet'!$A$165:$I$185,3,0)),0,VLOOKUP(A117,'Données projet'!$A$165:$I$185,3,0))</f>
        <v>9</v>
      </c>
      <c r="DW117" s="15">
        <f>IF(ISNA(VLOOKUP(A117,'Données projet'!$A$165:$I$185,4,0)),0,VLOOKUP(A117,'Données projet'!$A$165:$I$185,4,0))</f>
        <v>61.860000000000014</v>
      </c>
      <c r="DX117" s="16">
        <f>IF(ISNA(VLOOKUP(A117,'Données projet'!$A$165:$I$185,5,0)),0%,VLOOKUP(A117,'Données projet'!$A$165:$I$185,5,0)*VLOOKUP('Données projet'!$B$14,Paramètres!$A$1:$I$89,7,0))</f>
        <v>0.15049999999999999</v>
      </c>
      <c r="DY117" s="16">
        <f>IF(ISNA(VLOOKUP(A117,'Données projet'!$A$165:$I$185,6,0)),0%,VLOOKUP(A117,'Données projet'!$A$165:$I$185,6,0)*VLOOKUP('Données projet'!$B$14,Paramètres!$A$1:$I$89,7,0))</f>
        <v>8.6000000000000007E-2</v>
      </c>
      <c r="DZ117" s="16">
        <f>IF(ISNA(VLOOKUP(A117,'Données projet'!$A$165:$I$185,7,0)),0%,VLOOKUP(A117,'Données projet'!$A$165:$I$185,7,0))</f>
        <v>0.1</v>
      </c>
      <c r="EA117" s="21">
        <f>EXP(-LN(2)/35)*EA116+(1-EXP(-LN(2)/35))/(LN(2)/35)*DW117*DX117*VLOOKUP('Données projet'!$B$14,Paramètres!$A$1:$I$89,3,0)*0.475*44/12</f>
        <v>36.461382647651561</v>
      </c>
      <c r="EB117" s="21">
        <f>EXP(-LN(2)/25)*EB116+(1-EXP(-LN(2)/25))/(LN(2)/25)*Calculateur!DW117*Calculateur!DY117*VLOOKUP('Données projet'!$B$14,Paramètres!$A$1:$I$89,3,0)*0.475*44/12</f>
        <v>25.780876368276925</v>
      </c>
      <c r="EC117" s="21">
        <f>EXP(-LN(2)/2)*EC116+(1-EXP(-LN(2)/2))/(LN(2)/2)*DW117*DZ117*VLOOKUP('Données projet'!$B$14,Paramètres!$A$1:$I$89,3,0)*0.475*44/12</f>
        <v>5.4631172440400739</v>
      </c>
      <c r="ED117" s="22">
        <f t="shared" si="72"/>
        <v>67.70537625996856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>
        <f>VLOOKUP(A117,'Données projet'!$A$191:$I$211,2,0)</f>
        <v>424.56</v>
      </c>
      <c r="EH117" s="12">
        <f>VLOOKUP(A117,'Données projet'!$A$191:$I$211,9,0)</f>
        <v>8.8449999999999989</v>
      </c>
      <c r="EI117" s="12">
        <f t="array" ref="EI117">INDEX(EH:EH,MIN(IF(ISNUMBER(EH117:EH313),ROW(EH117:EH313),"")))</f>
        <v>8.8449999999999989</v>
      </c>
      <c r="EJ117" s="12">
        <f>IF('Données projet'!$A$192&gt;35,EJ116+EI117-ER116,IF(A117&lt;'Données projet'!$A$192,$EG$205^A117,IF(A117='Données projet'!$A$192,'Données projet'!$B$192,EJ116+EI117-ER116)))</f>
        <v>424.56000000000074</v>
      </c>
      <c r="EK117" s="17">
        <f>EJ117*VLOOKUP('Données projet'!$B$15,Paramètres!$A$1:$I$89,3,0)*VLOOKUP('Données projet'!$B$15,Paramètres!$A$1:$I$89,5,0)</f>
        <v>284.79484800000051</v>
      </c>
      <c r="EL117" s="13">
        <f t="shared" si="99"/>
        <v>67.979294588955938</v>
      </c>
      <c r="EM117" s="20">
        <f t="shared" si="73"/>
        <v>614.41496500909921</v>
      </c>
      <c r="EN117" s="59">
        <f t="shared" si="74"/>
        <v>907.74829834243246</v>
      </c>
      <c r="EO117" s="59">
        <f ca="1">AVERAGE(OFFSET($EN$3,0,0,'Données projet'!$E$15+1,1))-AVERAGE(OFFSET($H$3,0,0,'Données projet'!$E$15+1,1))</f>
        <v>482.99915419700773</v>
      </c>
      <c r="EP117" s="59">
        <f t="shared" si="100"/>
        <v>219.74157899604279</v>
      </c>
      <c r="EQ117" s="15">
        <f>IF(ISNA(VLOOKUP(A117,'Données projet'!$A$191:$I$211,3,0)),0,VLOOKUP(A117,'Données projet'!$A$191:$I$211,3,0))</f>
        <v>9</v>
      </c>
      <c r="ER117" s="15">
        <f>IF(ISNA(VLOOKUP(A117,'Données projet'!$A$191:$I$211,4,0)),0,VLOOKUP(A117,'Données projet'!$A$191:$I$211,4,0))</f>
        <v>61.860000000000014</v>
      </c>
      <c r="ES117" s="16">
        <f>IF(ISNA(VLOOKUP(A117,'Données projet'!$A$191:$I$211,5,0)),0%,VLOOKUP(A117,'Données projet'!$A$191:$I$211,5,0)*VLOOKUP('Données projet'!$B$15,Paramètres!$A$1:$I$89,7,0))</f>
        <v>0.1855</v>
      </c>
      <c r="ET117" s="16">
        <f>IF(ISNA(VLOOKUP(A117,'Données projet'!$A$191:$I$211,6,0)),0%,VLOOKUP(A117,'Données projet'!$A$191:$I$211,6,0)*VLOOKUP('Données projet'!$B$15,Paramètres!$A$1:$I$89,7,0))</f>
        <v>0.10600000000000001</v>
      </c>
      <c r="EU117" s="16">
        <f>IF(ISNA(VLOOKUP(A117,'Données projet'!$A$191:$I$211,7,0)),0%,VLOOKUP(A117,'Données projet'!$A$191:$I$211,7,0))</f>
        <v>0.1</v>
      </c>
      <c r="EV117" s="21">
        <f>EXP(-LN(2)/35)*EV116+(1-EXP(-LN(2)/35))/(LN(2)/35)*ER117*ES117*VLOOKUP('Données projet'!$B$15,Paramètres!$A$1:$I$89,3,0)*0.475*44/12</f>
        <v>33.318160005612626</v>
      </c>
      <c r="EW117" s="21">
        <f>EXP(-LN(2)/25)*EW116+(1-EXP(-LN(2)/25))/(LN(2)/25)*Calculateur!ER117*Calculateur!ET117*VLOOKUP('Données projet'!$B$15,Paramètres!$A$1:$I$89,3,0)*0.475*44/12</f>
        <v>23.558387026184086</v>
      </c>
      <c r="EX117" s="21">
        <f>EXP(-LN(2)/2)*EX116+(1-EXP(-LN(2)/2))/(LN(2)/2)*ER117*EU117*VLOOKUP('Données projet'!$B$15,Paramètres!$A$1:$I$89,3,0)*0.475*44/12</f>
        <v>4.0502420947193638</v>
      </c>
      <c r="EY117" s="22">
        <f t="shared" si="75"/>
        <v>60.926789126516077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>
        <f>VLOOKUP(A117,'Données projet'!$A$217:$I$237,2,0)</f>
        <v>424.56</v>
      </c>
      <c r="FC117" s="12">
        <f>VLOOKUP(A117,'Données projet'!$A$217:$I$237,9,0)</f>
        <v>8.8449999999999989</v>
      </c>
      <c r="FD117" s="12">
        <f t="array" ref="FD117">INDEX(FC:FC,MIN(IF(ISNUMBER(FC117:FC313),ROW(FC117:FC313),"")))</f>
        <v>8.8449999999999989</v>
      </c>
      <c r="FE117" s="12">
        <f>IF('Données projet'!$A$218&gt;35,FE116+FD117-FM116,IF(A117&lt;'Données projet'!$A$218,$FB$205^A117,IF(A117='Données projet'!$A$218,'Données projet'!$B$218,FE116+FD117-FM116)))</f>
        <v>424.56000000000074</v>
      </c>
      <c r="FF117" s="17">
        <f>FE117*VLOOKUP('Données projet'!$B$16,Paramètres!$A$1:$I$89,3,0)*VLOOKUP('Données projet'!$B$16,Paramètres!$A$1:$I$89,5,0)</f>
        <v>404.01129600000075</v>
      </c>
      <c r="FG117" s="13">
        <f t="shared" si="101"/>
        <v>92.589421052009357</v>
      </c>
      <c r="FH117" s="20">
        <f t="shared" si="76"/>
        <v>864.91291553225085</v>
      </c>
      <c r="FI117" s="59">
        <f t="shared" si="77"/>
        <v>1158.2462488655842</v>
      </c>
      <c r="FJ117" s="59">
        <f ca="1">AVERAGE(OFFSET($FI$3,0,0,'Données projet'!$E$16+1,1))-AVERAGE(OFFSET($H$3,0,0,'Données projet'!$E$16+1,1))</f>
        <v>666.1523645983184</v>
      </c>
      <c r="FK117" s="59">
        <f t="shared" si="102"/>
        <v>294.13851344047526</v>
      </c>
      <c r="FL117" s="15">
        <f>IF(ISNA(VLOOKUP(A117,'Données projet'!$A$217:$I$237,3,0)),0,VLOOKUP(A117,'Données projet'!$A$217:$I$237,3,0))</f>
        <v>9</v>
      </c>
      <c r="FM117" s="15">
        <f>IF(ISNA(VLOOKUP(A117,'Données projet'!$A$217:$I$237,4,0)),0,VLOOKUP(A117,'Données projet'!$A$217:$I$237,4,0))</f>
        <v>61.860000000000014</v>
      </c>
      <c r="FN117" s="16">
        <f>IF(ISNA(VLOOKUP(A117,'Données projet'!$A$217:$I$237,5,0)),0%,VLOOKUP(A117,'Données projet'!$A$217:$I$237,5,0)*VLOOKUP('Données projet'!$B$16,Paramètres!$A$1:$I$89,7,0))</f>
        <v>0.15049999999999999</v>
      </c>
      <c r="FO117" s="16">
        <f>IF(ISNA(VLOOKUP(A117,'Données projet'!$A$217:$I$237,6,0)),0%,VLOOKUP(A117,'Données projet'!$A$217:$I$237,6,0)*VLOOKUP('Données projet'!$B$16,Paramètres!$A$1:$I$89,7,0))</f>
        <v>8.6000000000000007E-2</v>
      </c>
      <c r="FP117" s="16">
        <f>IF(ISNA(VLOOKUP(A117,'Données projet'!$A$217:$I$237,7,0)),0%,VLOOKUP(A117,'Données projet'!$A$217:$I$237,7,0))</f>
        <v>0.1</v>
      </c>
      <c r="FQ117" s="21">
        <f>EXP(-LN(2)/35)*FQ116+(1-EXP(-LN(2)/35))/(LN(2)/35)*FM117*FN117*VLOOKUP('Données projet'!$B$16,Paramètres!$A$1:$I$89,3,0)*0.475*44/12</f>
        <v>38.347316232874924</v>
      </c>
      <c r="FR117" s="21">
        <f>EXP(-LN(2)/25)*FR116+(1-EXP(-LN(2)/25))/(LN(2)/25)*Calculateur!FM117*Calculateur!FO117*VLOOKUP('Données projet'!$B$16,Paramètres!$A$1:$I$89,3,0)*0.475*44/12</f>
        <v>27.114369973532618</v>
      </c>
      <c r="FS117" s="21">
        <f>EXP(-LN(2)/2)*FS116+(1-EXP(-LN(2)/2))/(LN(2)/2)*FM117*FP117*VLOOKUP('Données projet'!$B$16,Paramètres!$A$1:$I$89,3,0)*0.475*44/12</f>
        <v>5.745692273904214</v>
      </c>
      <c r="FT117" s="22">
        <f t="shared" si="78"/>
        <v>71.207378480311746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328.55631138162721</v>
      </c>
      <c r="T118" s="59">
        <f t="shared" si="88"/>
        <v>321.81422611044985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19.433185358167133</v>
      </c>
      <c r="AA118" s="21">
        <f>EXP(-LN(2)/25)*AA117+(1-EXP(-LN(2)/25))/(LN(2)/25)*Calculateur!V118*Calculateur!X118*VLOOKUP('Données projet'!$B$9,Paramètres!$A$1:$I$89,3,0)*0.475*44/12</f>
        <v>14.541078802571167</v>
      </c>
      <c r="AB118" s="21">
        <f>EXP(-LN(2)/2)*AB117+(1-EXP(-LN(2)/2))/(LN(2)/2)*V118*Y118*VLOOKUP('Données projet'!$B$9,Paramètres!$A$1:$I$89,3,0)*0.475*44/12</f>
        <v>3.1033854124331266E-4</v>
      </c>
      <c r="AC118" s="22">
        <f t="shared" si="57"/>
        <v>33.974574499279541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353.37479213497227</v>
      </c>
      <c r="AO118" s="59">
        <f t="shared" si="90"/>
        <v>345.4750813433123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25.9910440490479</v>
      </c>
      <c r="AV118" s="21">
        <f>EXP(-LN(2)/25)*AV117+(1-EXP(-LN(2)/25))/(LN(2)/25)*Calculateur!AQ118*Calculateur!AS118*VLOOKUP('Données projet'!$B$10,Paramètres!$A$1:$I$89,3,0)*0.475*44/12</f>
        <v>19.448063336640235</v>
      </c>
      <c r="AW118" s="21">
        <f>EXP(-LN(2)/2)*AW117+(1-EXP(-LN(2)/2))/(LN(2)/2)*AQ118*AT118*VLOOKUP('Données projet'!$B$10,Paramètres!$A$1:$I$89,3,0)*0.475*44/12</f>
        <v>3.3675033198742488E-4</v>
      </c>
      <c r="AX118" s="21">
        <f t="shared" si="60"/>
        <v>45.439444136020121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359.57284550600366</v>
      </c>
      <c r="BJ118" s="59">
        <f t="shared" si="92"/>
        <v>351.38386928091433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26.500672363735109</v>
      </c>
      <c r="BQ118" s="21">
        <f>EXP(-LN(2)/25)*BQ117+(1-EXP(-LN(2)/25))/(LN(2)/25)*Calculateur!BL118*Calculateur!BN118*VLOOKUP('Données projet'!$B$11,Paramètres!$A$1:$I$89,3,0)*0.475*44/12</f>
        <v>19.829397911868472</v>
      </c>
      <c r="BR118" s="21">
        <f>EXP(-LN(2)/2)*BR117+(1-EXP(-LN(2)/2))/(LN(2)/2)*BL118*BO118*VLOOKUP('Données projet'!$B$11,Paramètres!$A$1:$I$89,3,0)*0.475*44/12</f>
        <v>3.4335327967345287E-4</v>
      </c>
      <c r="BS118" s="22">
        <f t="shared" si="63"/>
        <v>46.330413628883257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-8.5265128291212022E-14</v>
      </c>
      <c r="BZ118" s="13">
        <f>BY118*VLOOKUP('Données projet'!$B$12,Paramètres!$A$1:$I$89,3,0)*VLOOKUP('Données projet'!$B$12,Paramètres!$A$1:$I$89,5,0)</f>
        <v>-6.9167072069831198E-14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159.4660488566085</v>
      </c>
      <c r="CE118" s="59">
        <f t="shared" si="94"/>
        <v>135.33030558297088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8.0896655102574453</v>
      </c>
      <c r="CM118" s="21">
        <f>EXP(-LN(2)/2)*CM117+(1-EXP(-LN(2)/2))/(LN(2)/2)*CG118*CJ118*VLOOKUP('Données projet'!$B$12,Paramètres!$A$1:$I$89,3,0)*0.475*44/12</f>
        <v>4.3236172615073081E-3</v>
      </c>
      <c r="CN118" s="22">
        <f t="shared" si="66"/>
        <v>8.0939891275189524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353.37479213497227</v>
      </c>
      <c r="CZ118" s="59">
        <f t="shared" si="96"/>
        <v>345.4750813433123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25.9910440490479</v>
      </c>
      <c r="DG118" s="21">
        <f>EXP(-LN(2)/25)*DG117+(1-EXP(-LN(2)/25))/(LN(2)/25)*Calculateur!DB118*Calculateur!DD118*VLOOKUP('Données projet'!$B$13,Paramètres!$A$1:$I$89,3,0)*0.475*44/12</f>
        <v>19.448063336640235</v>
      </c>
      <c r="DH118" s="21">
        <f>EXP(-LN(2)/2)*DH117+(1-EXP(-LN(2)/2))/(LN(2)/2)*DB118*DE118*VLOOKUP('Données projet'!$B$13,Paramètres!$A$1:$I$89,3,0)*0.475*44/12</f>
        <v>3.3675033198742488E-4</v>
      </c>
      <c r="DI118" s="22">
        <f t="shared" si="69"/>
        <v>45.439444136020121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8.9160000000000021</v>
      </c>
      <c r="DO118" s="12">
        <f>IF('Données projet'!$A$166&gt;35,DO117+DN118-DW117,IF(A118&lt;'Données projet'!$A$166,$DL$205^A118,IF(A118='Données projet'!$A$166,'Données projet'!$B$166,DO117+DN118-DW117)))</f>
        <v>371.61600000000072</v>
      </c>
      <c r="DP118" s="17">
        <f>DO118*VLOOKUP('Données projet'!$B$14,Paramètres!$A$1:$I$89,3,0)*VLOOKUP('Données projet'!$B$14,Paramètres!$A$1:$I$89,5,0)</f>
        <v>336.23815680000064</v>
      </c>
      <c r="DQ118" s="13">
        <f t="shared" si="97"/>
        <v>78.722223243612518</v>
      </c>
      <c r="DR118" s="20">
        <f t="shared" si="70"/>
        <v>722.72266190929292</v>
      </c>
      <c r="DS118" s="59">
        <f t="shared" si="71"/>
        <v>1016.0559952426263</v>
      </c>
      <c r="DT118" s="59">
        <f ca="1">AVERAGE(OFFSET($DS$3,0,0,'Données projet'!$E$14+1,1))-AVERAGE(OFFSET($H$3,0,0,'Données projet'!$E$14+1,1))</f>
        <v>635.71275911100679</v>
      </c>
      <c r="DU118" s="59">
        <f t="shared" si="98"/>
        <v>281.7776857269169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35.746397173178586</v>
      </c>
      <c r="EB118" s="21">
        <f>EXP(-LN(2)/25)*EB117+(1-EXP(-LN(2)/25))/(LN(2)/25)*Calculateur!DW118*Calculateur!DY118*VLOOKUP('Données projet'!$B$14,Paramètres!$A$1:$I$89,3,0)*0.475*44/12</f>
        <v>25.075896948229026</v>
      </c>
      <c r="EC118" s="21">
        <f>EXP(-LN(2)/2)*EC117+(1-EXP(-LN(2)/2))/(LN(2)/2)*DW118*DZ118*VLOOKUP('Données projet'!$B$14,Paramètres!$A$1:$I$89,3,0)*0.475*44/12</f>
        <v>3.8630072496778993</v>
      </c>
      <c r="ED118" s="22">
        <f t="shared" si="72"/>
        <v>64.685301371085501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8.9160000000000021</v>
      </c>
      <c r="EJ118" s="12">
        <f>IF('Données projet'!$A$192&gt;35,EJ117+EI118-ER117,IF(A118&lt;'Données projet'!$A$192,$EG$205^A118,IF(A118='Données projet'!$A$192,'Données projet'!$B$192,EJ117+EI118-ER117)))</f>
        <v>371.61600000000072</v>
      </c>
      <c r="EK118" s="17">
        <f>EJ118*VLOOKUP('Données projet'!$B$15,Paramètres!$A$1:$I$89,3,0)*VLOOKUP('Données projet'!$B$15,Paramètres!$A$1:$I$89,5,0)</f>
        <v>249.28001280000049</v>
      </c>
      <c r="EL118" s="13">
        <f t="shared" si="99"/>
        <v>60.431740560363238</v>
      </c>
      <c r="EM118" s="20">
        <f t="shared" si="73"/>
        <v>539.41463710263349</v>
      </c>
      <c r="EN118" s="59">
        <f t="shared" si="74"/>
        <v>832.74797043596686</v>
      </c>
      <c r="EO118" s="59">
        <f ca="1">AVERAGE(OFFSET($EN$3,0,0,'Données projet'!$E$15+1,1))-AVERAGE(OFFSET($H$3,0,0,'Données projet'!$E$15+1,1))</f>
        <v>482.99915419700773</v>
      </c>
      <c r="EP118" s="59">
        <f t="shared" si="100"/>
        <v>219.74157899604279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32.664811209973529</v>
      </c>
      <c r="EW118" s="21">
        <f>EXP(-LN(2)/25)*EW117+(1-EXP(-LN(2)/25))/(LN(2)/25)*Calculateur!ER118*Calculateur!ET118*VLOOKUP('Données projet'!$B$15,Paramètres!$A$1:$I$89,3,0)*0.475*44/12</f>
        <v>22.914181694071353</v>
      </c>
      <c r="EX118" s="21">
        <f>EXP(-LN(2)/2)*EX117+(1-EXP(-LN(2)/2))/(LN(2)/2)*ER118*EU118*VLOOKUP('Données projet'!$B$15,Paramètres!$A$1:$I$89,3,0)*0.475*44/12</f>
        <v>2.8639536506232695</v>
      </c>
      <c r="EY118" s="22">
        <f t="shared" si="75"/>
        <v>58.442946554668154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8.9160000000000021</v>
      </c>
      <c r="FE118" s="12">
        <f>IF('Données projet'!$A$218&gt;35,FE117+FD118-FM117,IF(A118&lt;'Données projet'!$A$218,$FB$205^A118,IF(A118='Données projet'!$A$218,'Données projet'!$B$218,FE117+FD118-FM117)))</f>
        <v>371.61600000000072</v>
      </c>
      <c r="FF118" s="17">
        <f>FE118*VLOOKUP('Données projet'!$B$16,Paramètres!$A$1:$I$89,3,0)*VLOOKUP('Données projet'!$B$16,Paramètres!$A$1:$I$89,5,0)</f>
        <v>353.62978560000073</v>
      </c>
      <c r="FG118" s="13">
        <f t="shared" si="101"/>
        <v>82.309472398648566</v>
      </c>
      <c r="FH118" s="20">
        <f t="shared" si="76"/>
        <v>759.26087434764747</v>
      </c>
      <c r="FI118" s="59">
        <f t="shared" si="77"/>
        <v>1052.5942076809808</v>
      </c>
      <c r="FJ118" s="59">
        <f ca="1">AVERAGE(OFFSET($FI$3,0,0,'Données projet'!$E$16+1,1))-AVERAGE(OFFSET($H$3,0,0,'Données projet'!$E$16+1,1))</f>
        <v>666.1523645983184</v>
      </c>
      <c r="FK118" s="59">
        <f t="shared" si="102"/>
        <v>294.13851344047526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37.595348751101625</v>
      </c>
      <c r="FR118" s="21">
        <f>EXP(-LN(2)/25)*FR117+(1-EXP(-LN(2)/25))/(LN(2)/25)*Calculateur!FM118*Calculateur!FO118*VLOOKUP('Données projet'!$B$16,Paramètres!$A$1:$I$89,3,0)*0.475*44/12</f>
        <v>26.372926100723621</v>
      </c>
      <c r="FS118" s="21">
        <f>EXP(-LN(2)/2)*FS117+(1-EXP(-LN(2)/2))/(LN(2)/2)*FM118*FP118*VLOOKUP('Données projet'!$B$16,Paramètres!$A$1:$I$89,3,0)*0.475*44/12</f>
        <v>4.0628179694888242</v>
      </c>
      <c r="FT118" s="22">
        <f t="shared" si="78"/>
        <v>68.031092821314061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328.55631138162721</v>
      </c>
      <c r="T119" s="59">
        <f t="shared" si="88"/>
        <v>321.81422611044985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19.052112446366152</v>
      </c>
      <c r="AA119" s="21">
        <f>EXP(-LN(2)/25)*AA118+(1-EXP(-LN(2)/25))/(LN(2)/25)*Calculateur!V119*Calculateur!X119*VLOOKUP('Données projet'!$B$9,Paramètres!$A$1:$I$89,3,0)*0.475*44/12</f>
        <v>14.14345223803276</v>
      </c>
      <c r="AB119" s="21">
        <f>EXP(-LN(2)/2)*AB118+(1-EXP(-LN(2)/2))/(LN(2)/2)*V119*Y119*VLOOKUP('Données projet'!$B$9,Paramètres!$A$1:$I$89,3,0)*0.475*44/12</f>
        <v>2.1944248697668744E-4</v>
      </c>
      <c r="AC119" s="22">
        <f t="shared" si="57"/>
        <v>33.19578412688589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353.37479213497227</v>
      </c>
      <c r="AO119" s="59">
        <f t="shared" si="90"/>
        <v>345.4750813433123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25.48137552821759</v>
      </c>
      <c r="AV119" s="21">
        <f>EXP(-LN(2)/25)*AV118+(1-EXP(-LN(2)/25))/(LN(2)/25)*Calculateur!AQ119*Calculateur!AS119*VLOOKUP('Données projet'!$B$10,Paramètres!$A$1:$I$89,3,0)*0.475*44/12</f>
        <v>18.916255021970606</v>
      </c>
      <c r="AW119" s="21">
        <f>EXP(-LN(2)/2)*AW118+(1-EXP(-LN(2)/2))/(LN(2)/2)*AQ119*AT119*VLOOKUP('Données projet'!$B$10,Paramètres!$A$1:$I$89,3,0)*0.475*44/12</f>
        <v>2.3811844331512929E-4</v>
      </c>
      <c r="AX119" s="21">
        <f t="shared" si="60"/>
        <v>44.39786866863151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359.57284550600366</v>
      </c>
      <c r="BJ119" s="59">
        <f t="shared" si="92"/>
        <v>351.38386928091433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25.981010342496361</v>
      </c>
      <c r="BQ119" s="21">
        <f>EXP(-LN(2)/25)*BQ118+(1-EXP(-LN(2)/25))/(LN(2)/25)*Calculateur!BL119*Calculateur!BN119*VLOOKUP('Données projet'!$B$11,Paramètres!$A$1:$I$89,3,0)*0.475*44/12</f>
        <v>19.287161983185715</v>
      </c>
      <c r="BR119" s="21">
        <f>EXP(-LN(2)/2)*BR118+(1-EXP(-LN(2)/2))/(LN(2)/2)*BL119*BO119*VLOOKUP('Données projet'!$B$11,Paramètres!$A$1:$I$89,3,0)*0.475*44/12</f>
        <v>2.4278743239973972E-4</v>
      </c>
      <c r="BS119" s="22">
        <f t="shared" si="63"/>
        <v>45.268415113114472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-8.5265128291212022E-14</v>
      </c>
      <c r="BZ119" s="13">
        <f>BY119*VLOOKUP('Données projet'!$B$12,Paramètres!$A$1:$I$89,3,0)*VLOOKUP('Données projet'!$B$12,Paramètres!$A$1:$I$89,5,0)</f>
        <v>-6.9167072069831198E-14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159.4660488566085</v>
      </c>
      <c r="CE119" s="59">
        <f t="shared" si="94"/>
        <v>135.33030558297088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7.8684531814624359</v>
      </c>
      <c r="CM119" s="21">
        <f>EXP(-LN(2)/2)*CM118+(1-EXP(-LN(2)/2))/(LN(2)/2)*CG119*CJ119*VLOOKUP('Données projet'!$B$12,Paramètres!$A$1:$I$89,3,0)*0.475*44/12</f>
        <v>3.057259084867028E-3</v>
      </c>
      <c r="CN119" s="22">
        <f t="shared" si="66"/>
        <v>7.8715104405473033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353.37479213497227</v>
      </c>
      <c r="CZ119" s="59">
        <f t="shared" si="96"/>
        <v>345.4750813433123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25.48137552821759</v>
      </c>
      <c r="DG119" s="21">
        <f>EXP(-LN(2)/25)*DG118+(1-EXP(-LN(2)/25))/(LN(2)/25)*Calculateur!DB119*Calculateur!DD119*VLOOKUP('Données projet'!$B$13,Paramètres!$A$1:$I$89,3,0)*0.475*44/12</f>
        <v>18.916255021970606</v>
      </c>
      <c r="DH119" s="21">
        <f>EXP(-LN(2)/2)*DH118+(1-EXP(-LN(2)/2))/(LN(2)/2)*DB119*DE119*VLOOKUP('Données projet'!$B$13,Paramètres!$A$1:$I$89,3,0)*0.475*44/12</f>
        <v>2.3811844331512929E-4</v>
      </c>
      <c r="DI119" s="22">
        <f t="shared" si="69"/>
        <v>44.39786866863151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8.9160000000000021</v>
      </c>
      <c r="DO119" s="12">
        <f>IF('Données projet'!$A$166&gt;35,DO118+DN119-DW118,IF(A119&lt;'Données projet'!$A$166,$DL$205^A119,IF(A119='Données projet'!$A$166,'Données projet'!$B$166,DO118+DN119-DW118)))</f>
        <v>380.53200000000072</v>
      </c>
      <c r="DP119" s="17">
        <f>DO119*VLOOKUP('Données projet'!$B$14,Paramètres!$A$1:$I$89,3,0)*VLOOKUP('Données projet'!$B$14,Paramètres!$A$1:$I$89,5,0)</f>
        <v>344.30535360000061</v>
      </c>
      <c r="DQ119" s="13">
        <f t="shared" si="97"/>
        <v>80.388807253544201</v>
      </c>
      <c r="DR119" s="20">
        <f t="shared" si="70"/>
        <v>739.67566348659057</v>
      </c>
      <c r="DS119" s="59">
        <f t="shared" si="71"/>
        <v>1033.0089968199238</v>
      </c>
      <c r="DT119" s="59">
        <f ca="1">AVERAGE(OFFSET($DS$3,0,0,'Données projet'!$E$14+1,1))-AVERAGE(OFFSET($H$3,0,0,'Données projet'!$E$14+1,1))</f>
        <v>635.71275911100679</v>
      </c>
      <c r="DU119" s="59">
        <f t="shared" si="98"/>
        <v>281.7776857269169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35.045432127761948</v>
      </c>
      <c r="EB119" s="21">
        <f>EXP(-LN(2)/25)*EB118+(1-EXP(-LN(2)/25))/(LN(2)/25)*Calculateur!DW119*Calculateur!DY119*VLOOKUP('Données projet'!$B$14,Paramètres!$A$1:$I$89,3,0)*0.475*44/12</f>
        <v>24.390195227495596</v>
      </c>
      <c r="EC119" s="21">
        <f>EXP(-LN(2)/2)*EC118+(1-EXP(-LN(2)/2))/(LN(2)/2)*DW119*DZ119*VLOOKUP('Données projet'!$B$14,Paramètres!$A$1:$I$89,3,0)*0.475*44/12</f>
        <v>2.7315586220200374</v>
      </c>
      <c r="ED119" s="22">
        <f t="shared" si="72"/>
        <v>62.167185977277583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8.9160000000000021</v>
      </c>
      <c r="EJ119" s="12">
        <f>IF('Données projet'!$A$192&gt;35,EJ118+EI119-ER118,IF(A119&lt;'Données projet'!$A$192,$EG$205^A119,IF(A119='Données projet'!$A$192,'Données projet'!$B$192,EJ118+EI119-ER118)))</f>
        <v>380.53200000000072</v>
      </c>
      <c r="EK119" s="17">
        <f>EJ119*VLOOKUP('Données projet'!$B$15,Paramètres!$A$1:$I$89,3,0)*VLOOKUP('Données projet'!$B$15,Paramètres!$A$1:$I$89,5,0)</f>
        <v>255.2608656000005</v>
      </c>
      <c r="EL119" s="13">
        <f t="shared" si="99"/>
        <v>61.711107025898336</v>
      </c>
      <c r="EM119" s="20">
        <f t="shared" si="73"/>
        <v>552.05951899010711</v>
      </c>
      <c r="EN119" s="59">
        <f t="shared" si="74"/>
        <v>845.39285232344037</v>
      </c>
      <c r="EO119" s="59">
        <f ca="1">AVERAGE(OFFSET($EN$3,0,0,'Données projet'!$E$15+1,1))-AVERAGE(OFFSET($H$3,0,0,'Données projet'!$E$15+1,1))</f>
        <v>482.99915419700773</v>
      </c>
      <c r="EP119" s="59">
        <f t="shared" si="100"/>
        <v>219.74157899604279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32.024274185713494</v>
      </c>
      <c r="EW119" s="21">
        <f>EXP(-LN(2)/25)*EW118+(1-EXP(-LN(2)/25))/(LN(2)/25)*Calculateur!ER119*Calculateur!ET119*VLOOKUP('Données projet'!$B$15,Paramètres!$A$1:$I$89,3,0)*0.475*44/12</f>
        <v>22.287592190642528</v>
      </c>
      <c r="EX119" s="21">
        <f>EXP(-LN(2)/2)*EX118+(1-EXP(-LN(2)/2))/(LN(2)/2)*ER119*EU119*VLOOKUP('Données projet'!$B$15,Paramètres!$A$1:$I$89,3,0)*0.475*44/12</f>
        <v>2.0251210473596823</v>
      </c>
      <c r="EY119" s="22">
        <f t="shared" si="75"/>
        <v>56.336987423715705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8.9160000000000021</v>
      </c>
      <c r="FE119" s="12">
        <f>IF('Données projet'!$A$218&gt;35,FE118+FD119-FM118,IF(A119&lt;'Données projet'!$A$218,$FB$205^A119,IF(A119='Données projet'!$A$218,'Données projet'!$B$218,FE118+FD119-FM118)))</f>
        <v>380.53200000000072</v>
      </c>
      <c r="FF119" s="17">
        <f>FE119*VLOOKUP('Données projet'!$B$16,Paramètres!$A$1:$I$89,3,0)*VLOOKUP('Données projet'!$B$16,Paramètres!$A$1:$I$89,5,0)</f>
        <v>362.11425120000069</v>
      </c>
      <c r="FG119" s="13">
        <f t="shared" si="101"/>
        <v>84.052000047302485</v>
      </c>
      <c r="FH119" s="20">
        <f t="shared" si="76"/>
        <v>777.07288758905304</v>
      </c>
      <c r="FI119" s="59">
        <f t="shared" si="77"/>
        <v>1070.4062209223864</v>
      </c>
      <c r="FJ119" s="59">
        <f ca="1">AVERAGE(OFFSET($FI$3,0,0,'Données projet'!$E$16+1,1))-AVERAGE(OFFSET($H$3,0,0,'Données projet'!$E$16+1,1))</f>
        <v>666.1523645983184</v>
      </c>
      <c r="FK119" s="59">
        <f t="shared" si="102"/>
        <v>294.13851344047526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36.858126892991024</v>
      </c>
      <c r="FR119" s="21">
        <f>EXP(-LN(2)/25)*FR118+(1-EXP(-LN(2)/25))/(LN(2)/25)*Calculateur!FM119*Calculateur!FO119*VLOOKUP('Données projet'!$B$16,Paramètres!$A$1:$I$89,3,0)*0.475*44/12</f>
        <v>25.651757049607426</v>
      </c>
      <c r="FS119" s="21">
        <f>EXP(-LN(2)/2)*FS118+(1-EXP(-LN(2)/2))/(LN(2)/2)*FM119*FP119*VLOOKUP('Données projet'!$B$16,Paramètres!$A$1:$I$89,3,0)*0.475*44/12</f>
        <v>2.8728461369521074</v>
      </c>
      <c r="FT119" s="22">
        <f t="shared" si="78"/>
        <v>65.382730079550555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328.55631138162721</v>
      </c>
      <c r="T120" s="59">
        <f t="shared" si="88"/>
        <v>321.81422611044985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18.678512141934061</v>
      </c>
      <c r="AA120" s="21">
        <f>EXP(-LN(2)/25)*AA119+(1-EXP(-LN(2)/25))/(LN(2)/25)*Calculateur!V120*Calculateur!X120*VLOOKUP('Données projet'!$B$9,Paramètres!$A$1:$I$89,3,0)*0.475*44/12</f>
        <v>13.756698792811926</v>
      </c>
      <c r="AB120" s="21">
        <f>EXP(-LN(2)/2)*AB119+(1-EXP(-LN(2)/2))/(LN(2)/2)*V120*Y120*VLOOKUP('Données projet'!$B$9,Paramètres!$A$1:$I$89,3,0)*0.475*44/12</f>
        <v>1.5516927062165633E-4</v>
      </c>
      <c r="AC120" s="22">
        <f t="shared" si="57"/>
        <v>32.435366104016609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353.37479213497227</v>
      </c>
      <c r="AO120" s="59">
        <f t="shared" si="90"/>
        <v>345.4750813433123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24.981701296213661</v>
      </c>
      <c r="AV120" s="21">
        <f>EXP(-LN(2)/25)*AV119+(1-EXP(-LN(2)/25))/(LN(2)/25)*Calculateur!AQ120*Calculateur!AS120*VLOOKUP('Données projet'!$B$10,Paramètres!$A$1:$I$89,3,0)*0.475*44/12</f>
        <v>18.398989033632201</v>
      </c>
      <c r="AW120" s="21">
        <f>EXP(-LN(2)/2)*AW119+(1-EXP(-LN(2)/2))/(LN(2)/2)*AQ120*AT120*VLOOKUP('Données projet'!$B$10,Paramètres!$A$1:$I$89,3,0)*0.475*44/12</f>
        <v>1.6837516599371247E-4</v>
      </c>
      <c r="AX120" s="21">
        <f t="shared" si="60"/>
        <v>43.380858705011853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359.57284550600366</v>
      </c>
      <c r="BJ120" s="59">
        <f t="shared" si="92"/>
        <v>351.38386928091433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25.471538576531572</v>
      </c>
      <c r="BQ120" s="21">
        <f>EXP(-LN(2)/25)*BQ119+(1-EXP(-LN(2)/25))/(LN(2)/25)*Calculateur!BL120*Calculateur!BN120*VLOOKUP('Données projet'!$B$11,Paramètres!$A$1:$I$89,3,0)*0.475*44/12</f>
        <v>18.759753524487735</v>
      </c>
      <c r="BR120" s="21">
        <f>EXP(-LN(2)/2)*BR119+(1-EXP(-LN(2)/2))/(LN(2)/2)*BL120*BO120*VLOOKUP('Données projet'!$B$11,Paramètres!$A$1:$I$89,3,0)*0.475*44/12</f>
        <v>1.7167663983672646E-4</v>
      </c>
      <c r="BS120" s="22">
        <f t="shared" si="63"/>
        <v>44.231463777659144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-8.5265128291212022E-14</v>
      </c>
      <c r="BZ120" s="13">
        <f>BY120*VLOOKUP('Données projet'!$B$12,Paramètres!$A$1:$I$89,3,0)*VLOOKUP('Données projet'!$B$12,Paramètres!$A$1:$I$89,5,0)</f>
        <v>-6.9167072069831198E-14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159.4660488566085</v>
      </c>
      <c r="CE120" s="59">
        <f t="shared" si="94"/>
        <v>135.33030558297088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7.653289915431376</v>
      </c>
      <c r="CM120" s="21">
        <f>EXP(-LN(2)/2)*CM119+(1-EXP(-LN(2)/2))/(LN(2)/2)*CG120*CJ120*VLOOKUP('Données projet'!$B$12,Paramètres!$A$1:$I$89,3,0)*0.475*44/12</f>
        <v>2.161808630753654E-3</v>
      </c>
      <c r="CN120" s="22">
        <f t="shared" si="66"/>
        <v>7.6554517240621296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353.37479213497227</v>
      </c>
      <c r="CZ120" s="59">
        <f t="shared" si="96"/>
        <v>345.4750813433123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24.981701296213661</v>
      </c>
      <c r="DG120" s="21">
        <f>EXP(-LN(2)/25)*DG119+(1-EXP(-LN(2)/25))/(LN(2)/25)*Calculateur!DB120*Calculateur!DD120*VLOOKUP('Données projet'!$B$13,Paramètres!$A$1:$I$89,3,0)*0.475*44/12</f>
        <v>18.398989033632201</v>
      </c>
      <c r="DH120" s="21">
        <f>EXP(-LN(2)/2)*DH119+(1-EXP(-LN(2)/2))/(LN(2)/2)*DB120*DE120*VLOOKUP('Données projet'!$B$13,Paramètres!$A$1:$I$89,3,0)*0.475*44/12</f>
        <v>1.6837516599371247E-4</v>
      </c>
      <c r="DI120" s="22">
        <f t="shared" si="69"/>
        <v>43.380858705011853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8.9160000000000021</v>
      </c>
      <c r="DO120" s="12">
        <f>IF('Données projet'!$A$166&gt;35,DO119+DN120-DW119,IF(A120&lt;'Données projet'!$A$166,$DL$205^A120,IF(A120='Données projet'!$A$166,'Données projet'!$B$166,DO119+DN120-DW119)))</f>
        <v>389.44800000000072</v>
      </c>
      <c r="DP120" s="17">
        <f>DO120*VLOOKUP('Données projet'!$B$14,Paramètres!$A$1:$I$89,3,0)*VLOOKUP('Données projet'!$B$14,Paramètres!$A$1:$I$89,5,0)</f>
        <v>352.37255040000065</v>
      </c>
      <c r="DQ120" s="13">
        <f t="shared" si="97"/>
        <v>82.050851753476593</v>
      </c>
      <c r="DR120" s="20">
        <f t="shared" si="70"/>
        <v>756.62075875063954</v>
      </c>
      <c r="DS120" s="59">
        <f t="shared" si="71"/>
        <v>1049.9540920839729</v>
      </c>
      <c r="DT120" s="59">
        <f ca="1">AVERAGE(OFFSET($DS$3,0,0,'Données projet'!$E$14+1,1))-AVERAGE(OFFSET($H$3,0,0,'Données projet'!$E$14+1,1))</f>
        <v>635.71275911100679</v>
      </c>
      <c r="DU120" s="59">
        <f t="shared" si="98"/>
        <v>281.7776857269169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34.358212579339472</v>
      </c>
      <c r="EB120" s="21">
        <f>EXP(-LN(2)/25)*EB119+(1-EXP(-LN(2)/25))/(LN(2)/25)*Calculateur!DW120*Calculateur!DY120*VLOOKUP('Données projet'!$B$14,Paramètres!$A$1:$I$89,3,0)*0.475*44/12</f>
        <v>23.723244056375105</v>
      </c>
      <c r="EC120" s="21">
        <f>EXP(-LN(2)/2)*EC119+(1-EXP(-LN(2)/2))/(LN(2)/2)*DW120*DZ120*VLOOKUP('Données projet'!$B$14,Paramètres!$A$1:$I$89,3,0)*0.475*44/12</f>
        <v>1.9315036248389501</v>
      </c>
      <c r="ED120" s="22">
        <f t="shared" si="72"/>
        <v>60.012960260553527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8.9160000000000021</v>
      </c>
      <c r="EJ120" s="12">
        <f>IF('Données projet'!$A$192&gt;35,EJ119+EI120-ER119,IF(A120&lt;'Données projet'!$A$192,$EG$205^A120,IF(A120='Données projet'!$A$192,'Données projet'!$B$192,EJ119+EI120-ER119)))</f>
        <v>389.44800000000072</v>
      </c>
      <c r="EK120" s="17">
        <f>EJ120*VLOOKUP('Données projet'!$B$15,Paramètres!$A$1:$I$89,3,0)*VLOOKUP('Données projet'!$B$15,Paramètres!$A$1:$I$89,5,0)</f>
        <v>261.24171840000048</v>
      </c>
      <c r="EL120" s="13">
        <f t="shared" si="99"/>
        <v>62.986988700490748</v>
      </c>
      <c r="EM120" s="20">
        <f t="shared" si="73"/>
        <v>564.69833153335549</v>
      </c>
      <c r="EN120" s="59">
        <f t="shared" si="74"/>
        <v>858.03166486668874</v>
      </c>
      <c r="EO120" s="59">
        <f ca="1">AVERAGE(OFFSET($EN$3,0,0,'Données projet'!$E$15+1,1))-AVERAGE(OFFSET($H$3,0,0,'Données projet'!$E$15+1,1))</f>
        <v>482.99915419700773</v>
      </c>
      <c r="EP120" s="59">
        <f t="shared" si="100"/>
        <v>219.74157899604279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31.396297701810195</v>
      </c>
      <c r="EW120" s="21">
        <f>EXP(-LN(2)/25)*EW119+(1-EXP(-LN(2)/25))/(LN(2)/25)*Calculateur!ER120*Calculateur!ET120*VLOOKUP('Données projet'!$B$15,Paramètres!$A$1:$I$89,3,0)*0.475*44/12</f>
        <v>21.678136810135875</v>
      </c>
      <c r="EX120" s="21">
        <f>EXP(-LN(2)/2)*EX119+(1-EXP(-LN(2)/2))/(LN(2)/2)*ER120*EU120*VLOOKUP('Données projet'!$B$15,Paramètres!$A$1:$I$89,3,0)*0.475*44/12</f>
        <v>1.4319768253116349</v>
      </c>
      <c r="EY120" s="22">
        <f t="shared" si="75"/>
        <v>54.506411337257703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8.9160000000000021</v>
      </c>
      <c r="FE120" s="12">
        <f>IF('Données projet'!$A$218&gt;35,FE119+FD120-FM119,IF(A120&lt;'Données projet'!$A$218,$FB$205^A120,IF(A120='Données projet'!$A$218,'Données projet'!$B$218,FE119+FD120-FM119)))</f>
        <v>389.44800000000072</v>
      </c>
      <c r="FF120" s="17">
        <f>FE120*VLOOKUP('Données projet'!$B$16,Paramètres!$A$1:$I$89,3,0)*VLOOKUP('Données projet'!$B$16,Paramètres!$A$1:$I$89,5,0)</f>
        <v>370.59871680000072</v>
      </c>
      <c r="FG120" s="13">
        <f t="shared" si="101"/>
        <v>85.78978132755384</v>
      </c>
      <c r="FH120" s="20">
        <f t="shared" si="76"/>
        <v>794.87663423882407</v>
      </c>
      <c r="FI120" s="59">
        <f t="shared" si="77"/>
        <v>1088.2099675721574</v>
      </c>
      <c r="FJ120" s="59">
        <f ca="1">AVERAGE(OFFSET($FI$3,0,0,'Données projet'!$E$16+1,1))-AVERAGE(OFFSET($H$3,0,0,'Données projet'!$E$16+1,1))</f>
        <v>666.1523645983184</v>
      </c>
      <c r="FK120" s="59">
        <f t="shared" si="102"/>
        <v>294.13851344047526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36.135361505857034</v>
      </c>
      <c r="FR120" s="21">
        <f>EXP(-LN(2)/25)*FR119+(1-EXP(-LN(2)/25))/(LN(2)/25)*Calculateur!FM120*Calculateur!FO120*VLOOKUP('Données projet'!$B$16,Paramètres!$A$1:$I$89,3,0)*0.475*44/12</f>
        <v>24.950308404118637</v>
      </c>
      <c r="FS120" s="21">
        <f>EXP(-LN(2)/2)*FS119+(1-EXP(-LN(2)/2))/(LN(2)/2)*FM120*FP120*VLOOKUP('Données projet'!$B$16,Paramètres!$A$1:$I$89,3,0)*0.475*44/12</f>
        <v>2.0314089847444121</v>
      </c>
      <c r="FT120" s="22">
        <f t="shared" si="78"/>
        <v>63.11707889472008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328.55631138162721</v>
      </c>
      <c r="T121" s="59">
        <f t="shared" si="88"/>
        <v>321.81422611044985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18.312237911598199</v>
      </c>
      <c r="AA121" s="21">
        <f>EXP(-LN(2)/25)*AA120+(1-EXP(-LN(2)/25))/(LN(2)/25)*Calculateur!V121*Calculateur!X121*VLOOKUP('Données projet'!$B$9,Paramètres!$A$1:$I$89,3,0)*0.475*44/12</f>
        <v>13.380521140889137</v>
      </c>
      <c r="AB121" s="21">
        <f>EXP(-LN(2)/2)*AB120+(1-EXP(-LN(2)/2))/(LN(2)/2)*V121*Y121*VLOOKUP('Données projet'!$B$9,Paramètres!$A$1:$I$89,3,0)*0.475*44/12</f>
        <v>1.0972124348834372E-4</v>
      </c>
      <c r="AC121" s="22">
        <f t="shared" si="57"/>
        <v>31.692868773730826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353.37479213497227</v>
      </c>
      <c r="AO121" s="59">
        <f t="shared" si="90"/>
        <v>345.4750813433123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24.49182537112814</v>
      </c>
      <c r="AV121" s="21">
        <f>EXP(-LN(2)/25)*AV120+(1-EXP(-LN(2)/25))/(LN(2)/25)*Calculateur!AQ121*Calculateur!AS121*VLOOKUP('Données projet'!$B$10,Paramètres!$A$1:$I$89,3,0)*0.475*44/12</f>
        <v>17.895867710946746</v>
      </c>
      <c r="AW121" s="21">
        <f>EXP(-LN(2)/2)*AW120+(1-EXP(-LN(2)/2))/(LN(2)/2)*AQ121*AT121*VLOOKUP('Données projet'!$B$10,Paramètres!$A$1:$I$89,3,0)*0.475*44/12</f>
        <v>1.1905922165756467E-4</v>
      </c>
      <c r="AX121" s="21">
        <f t="shared" si="60"/>
        <v>42.38781214129655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359.57284550600366</v>
      </c>
      <c r="BJ121" s="59">
        <f t="shared" si="92"/>
        <v>351.38386928091433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24.972057241150257</v>
      </c>
      <c r="BQ121" s="21">
        <f>EXP(-LN(2)/25)*BQ120+(1-EXP(-LN(2)/25))/(LN(2)/25)*Calculateur!BL121*Calculateur!BN121*VLOOKUP('Données projet'!$B$11,Paramètres!$A$1:$I$89,3,0)*0.475*44/12</f>
        <v>18.246767077828057</v>
      </c>
      <c r="BR121" s="21">
        <f>EXP(-LN(2)/2)*BR120+(1-EXP(-LN(2)/2))/(LN(2)/2)*BL121*BO121*VLOOKUP('Données projet'!$B$11,Paramètres!$A$1:$I$89,3,0)*0.475*44/12</f>
        <v>1.2139371619986987E-4</v>
      </c>
      <c r="BS121" s="22">
        <f t="shared" si="63"/>
        <v>43.218945712694513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-8.5265128291212022E-14</v>
      </c>
      <c r="BZ121" s="13">
        <f>BY121*VLOOKUP('Données projet'!$B$12,Paramètres!$A$1:$I$89,3,0)*VLOOKUP('Données projet'!$B$12,Paramètres!$A$1:$I$89,5,0)</f>
        <v>-6.9167072069831198E-14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159.4660488566085</v>
      </c>
      <c r="CE121" s="59">
        <f t="shared" si="94"/>
        <v>135.33030558297088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7.4440103002248801</v>
      </c>
      <c r="CM121" s="21">
        <f>EXP(-LN(2)/2)*CM120+(1-EXP(-LN(2)/2))/(LN(2)/2)*CG121*CJ121*VLOOKUP('Données projet'!$B$12,Paramètres!$A$1:$I$89,3,0)*0.475*44/12</f>
        <v>1.528629542433514E-3</v>
      </c>
      <c r="CN121" s="22">
        <f t="shared" si="66"/>
        <v>7.4455389297673138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353.37479213497227</v>
      </c>
      <c r="CZ121" s="59">
        <f t="shared" si="96"/>
        <v>345.4750813433123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24.49182537112814</v>
      </c>
      <c r="DG121" s="21">
        <f>EXP(-LN(2)/25)*DG120+(1-EXP(-LN(2)/25))/(LN(2)/25)*Calculateur!DB121*Calculateur!DD121*VLOOKUP('Données projet'!$B$13,Paramètres!$A$1:$I$89,3,0)*0.475*44/12</f>
        <v>17.895867710946746</v>
      </c>
      <c r="DH121" s="21">
        <f>EXP(-LN(2)/2)*DH120+(1-EXP(-LN(2)/2))/(LN(2)/2)*DB121*DE121*VLOOKUP('Données projet'!$B$13,Paramètres!$A$1:$I$89,3,0)*0.475*44/12</f>
        <v>1.1905922165756467E-4</v>
      </c>
      <c r="DI121" s="22">
        <f t="shared" si="69"/>
        <v>42.38781214129655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8.9160000000000021</v>
      </c>
      <c r="DO121" s="12">
        <f>IF('Données projet'!$A$166&gt;35,DO120+DN121-DW120,IF(A121&lt;'Données projet'!$A$166,$DL$205^A121,IF(A121='Données projet'!$A$166,'Données projet'!$B$166,DO120+DN121-DW120)))</f>
        <v>398.36400000000071</v>
      </c>
      <c r="DP121" s="17">
        <f>DO121*VLOOKUP('Données projet'!$B$14,Paramètres!$A$1:$I$89,3,0)*VLOOKUP('Données projet'!$B$14,Paramètres!$A$1:$I$89,5,0)</f>
        <v>360.43974720000062</v>
      </c>
      <c r="DQ121" s="13">
        <f t="shared" si="97"/>
        <v>83.708472633827739</v>
      </c>
      <c r="DR121" s="20">
        <f t="shared" si="70"/>
        <v>773.55814954391769</v>
      </c>
      <c r="DS121" s="59">
        <f t="shared" si="71"/>
        <v>1066.8914828772511</v>
      </c>
      <c r="DT121" s="59">
        <f ca="1">AVERAGE(OFFSET($DS$3,0,0,'Données projet'!$E$14+1,1))-AVERAGE(OFFSET($H$3,0,0,'Données projet'!$E$14+1,1))</f>
        <v>635.71275911100679</v>
      </c>
      <c r="DU121" s="59">
        <f t="shared" si="98"/>
        <v>281.7776857269169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33.684468987099024</v>
      </c>
      <c r="EB121" s="21">
        <f>EXP(-LN(2)/25)*EB120+(1-EXP(-LN(2)/25))/(LN(2)/25)*Calculateur!DW121*Calculateur!DY121*VLOOKUP('Données projet'!$B$14,Paramètres!$A$1:$I$89,3,0)*0.475*44/12</f>
        <v>23.074530700102343</v>
      </c>
      <c r="EC121" s="21">
        <f>EXP(-LN(2)/2)*EC120+(1-EXP(-LN(2)/2))/(LN(2)/2)*DW121*DZ121*VLOOKUP('Données projet'!$B$14,Paramètres!$A$1:$I$89,3,0)*0.475*44/12</f>
        <v>1.3657793110100189</v>
      </c>
      <c r="ED121" s="22">
        <f t="shared" si="72"/>
        <v>58.124778998211383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8.9160000000000021</v>
      </c>
      <c r="EJ121" s="12">
        <f>IF('Données projet'!$A$192&gt;35,EJ120+EI121-ER120,IF(A121&lt;'Données projet'!$A$192,$EG$205^A121,IF(A121='Données projet'!$A$192,'Données projet'!$B$192,EJ120+EI121-ER120)))</f>
        <v>398.36400000000071</v>
      </c>
      <c r="EK121" s="17">
        <f>EJ121*VLOOKUP('Données projet'!$B$15,Paramètres!$A$1:$I$89,3,0)*VLOOKUP('Données projet'!$B$15,Paramètres!$A$1:$I$89,5,0)</f>
        <v>267.22257120000046</v>
      </c>
      <c r="EL121" s="13">
        <f t="shared" si="99"/>
        <v>64.259474548341089</v>
      </c>
      <c r="EM121" s="20">
        <f t="shared" si="73"/>
        <v>577.33122967836152</v>
      </c>
      <c r="EN121" s="59">
        <f t="shared" si="74"/>
        <v>870.66456301169478</v>
      </c>
      <c r="EO121" s="59">
        <f ca="1">AVERAGE(OFFSET($EN$3,0,0,'Données projet'!$E$15+1,1))-AVERAGE(OFFSET($H$3,0,0,'Données projet'!$E$15+1,1))</f>
        <v>482.99915419700773</v>
      </c>
      <c r="EP121" s="59">
        <f t="shared" si="100"/>
        <v>219.74157899604279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30.780635453728404</v>
      </c>
      <c r="EW121" s="21">
        <f>EXP(-LN(2)/25)*EW120+(1-EXP(-LN(2)/25))/(LN(2)/25)*Calculateur!ER121*Calculateur!ET121*VLOOKUP('Données projet'!$B$15,Paramètres!$A$1:$I$89,3,0)*0.475*44/12</f>
        <v>21.085347019059039</v>
      </c>
      <c r="EX121" s="21">
        <f>EXP(-LN(2)/2)*EX120+(1-EXP(-LN(2)/2))/(LN(2)/2)*ER121*EU121*VLOOKUP('Données projet'!$B$15,Paramètres!$A$1:$I$89,3,0)*0.475*44/12</f>
        <v>1.0125605236798414</v>
      </c>
      <c r="EY121" s="22">
        <f t="shared" si="75"/>
        <v>52.878542996467289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8.9160000000000021</v>
      </c>
      <c r="FE121" s="12">
        <f>IF('Données projet'!$A$218&gt;35,FE120+FD121-FM120,IF(A121&lt;'Données projet'!$A$218,$FB$205^A121,IF(A121='Données projet'!$A$218,'Données projet'!$B$218,FE120+FD121-FM120)))</f>
        <v>398.36400000000071</v>
      </c>
      <c r="FF121" s="17">
        <f>FE121*VLOOKUP('Données projet'!$B$16,Paramètres!$A$1:$I$89,3,0)*VLOOKUP('Données projet'!$B$16,Paramètres!$A$1:$I$89,5,0)</f>
        <v>379.08318240000068</v>
      </c>
      <c r="FG121" s="13">
        <f t="shared" si="101"/>
        <v>87.522937410766346</v>
      </c>
      <c r="FH121" s="20">
        <f t="shared" si="76"/>
        <v>812.67232533708591</v>
      </c>
      <c r="FI121" s="59">
        <f t="shared" si="77"/>
        <v>1106.0056586704193</v>
      </c>
      <c r="FJ121" s="59">
        <f ca="1">AVERAGE(OFFSET($FI$3,0,0,'Données projet'!$E$16+1,1))-AVERAGE(OFFSET($H$3,0,0,'Données projet'!$E$16+1,1))</f>
        <v>666.1523645983184</v>
      </c>
      <c r="FK121" s="59">
        <f t="shared" si="102"/>
        <v>294.13851344047526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35.426769107121387</v>
      </c>
      <c r="FR121" s="21">
        <f>EXP(-LN(2)/25)*FR120+(1-EXP(-LN(2)/25))/(LN(2)/25)*Calculateur!FM121*Calculateur!FO121*VLOOKUP('Données projet'!$B$16,Paramètres!$A$1:$I$89,3,0)*0.475*44/12</f>
        <v>24.26804090872832</v>
      </c>
      <c r="FS121" s="21">
        <f>EXP(-LN(2)/2)*FS120+(1-EXP(-LN(2)/2))/(LN(2)/2)*FM121*FP121*VLOOKUP('Données projet'!$B$16,Paramètres!$A$1:$I$89,3,0)*0.475*44/12</f>
        <v>1.4364230684760537</v>
      </c>
      <c r="FT121" s="22">
        <f t="shared" si="78"/>
        <v>61.131233084325764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328.55631138162721</v>
      </c>
      <c r="T122" s="59">
        <f t="shared" si="88"/>
        <v>321.81422611044985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17.953146095514001</v>
      </c>
      <c r="AA122" s="21">
        <f>EXP(-LN(2)/25)*AA121+(1-EXP(-LN(2)/25))/(LN(2)/25)*Calculateur!V122*Calculateur!X122*VLOOKUP('Données projet'!$B$9,Paramètres!$A$1:$I$89,3,0)*0.475*44/12</f>
        <v>13.014630086640498</v>
      </c>
      <c r="AB122" s="21">
        <f>EXP(-LN(2)/2)*AB121+(1-EXP(-LN(2)/2))/(LN(2)/2)*V122*Y122*VLOOKUP('Données projet'!$B$9,Paramètres!$A$1:$I$89,3,0)*0.475*44/12</f>
        <v>7.7584635310828164E-5</v>
      </c>
      <c r="AC122" s="22">
        <f t="shared" si="57"/>
        <v>30.967853766789808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353.37479213497227</v>
      </c>
      <c r="AO122" s="59">
        <f t="shared" si="90"/>
        <v>345.4750813433123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24.011555614138736</v>
      </c>
      <c r="AV122" s="21">
        <f>EXP(-LN(2)/25)*AV121+(1-EXP(-LN(2)/25))/(LN(2)/25)*Calculateur!AQ122*Calculateur!AS122*VLOOKUP('Données projet'!$B$10,Paramètres!$A$1:$I$89,3,0)*0.475*44/12</f>
        <v>17.406504267288124</v>
      </c>
      <c r="AW122" s="21">
        <f>EXP(-LN(2)/2)*AW121+(1-EXP(-LN(2)/2))/(LN(2)/2)*AQ122*AT122*VLOOKUP('Données projet'!$B$10,Paramètres!$A$1:$I$89,3,0)*0.475*44/12</f>
        <v>8.4187582996856248E-5</v>
      </c>
      <c r="AX122" s="21">
        <f t="shared" si="60"/>
        <v>41.418144069009855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359.57284550600366</v>
      </c>
      <c r="BJ122" s="59">
        <f t="shared" si="92"/>
        <v>351.38386928091433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24.482370430102236</v>
      </c>
      <c r="BQ122" s="21">
        <f>EXP(-LN(2)/25)*BQ121+(1-EXP(-LN(2)/25))/(LN(2)/25)*Calculateur!BL122*Calculateur!BN122*VLOOKUP('Données projet'!$B$11,Paramètres!$A$1:$I$89,3,0)*0.475*44/12</f>
        <v>17.74780827252907</v>
      </c>
      <c r="BR122" s="21">
        <f>EXP(-LN(2)/2)*BR121+(1-EXP(-LN(2)/2))/(LN(2)/2)*BL122*BO122*VLOOKUP('Données projet'!$B$11,Paramètres!$A$1:$I$89,3,0)*0.475*44/12</f>
        <v>8.5838319918363245E-5</v>
      </c>
      <c r="BS122" s="22">
        <f t="shared" si="63"/>
        <v>42.230264540951225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-8.5265128291212022E-14</v>
      </c>
      <c r="BZ122" s="13">
        <f>BY122*VLOOKUP('Données projet'!$B$12,Paramètres!$A$1:$I$89,3,0)*VLOOKUP('Données projet'!$B$12,Paramètres!$A$1:$I$89,5,0)</f>
        <v>-6.9167072069831198E-14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159.4660488566085</v>
      </c>
      <c r="CE122" s="59">
        <f t="shared" si="94"/>
        <v>135.33030558297088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7.2404534471017428</v>
      </c>
      <c r="CM122" s="21">
        <f>EXP(-LN(2)/2)*CM121+(1-EXP(-LN(2)/2))/(LN(2)/2)*CG122*CJ122*VLOOKUP('Données projet'!$B$12,Paramètres!$A$1:$I$89,3,0)*0.475*44/12</f>
        <v>1.080904315376827E-3</v>
      </c>
      <c r="CN122" s="22">
        <f t="shared" si="66"/>
        <v>7.24153435141712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353.37479213497227</v>
      </c>
      <c r="CZ122" s="59">
        <f t="shared" si="96"/>
        <v>345.4750813433123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24.011555614138736</v>
      </c>
      <c r="DG122" s="21">
        <f>EXP(-LN(2)/25)*DG121+(1-EXP(-LN(2)/25))/(LN(2)/25)*Calculateur!DB122*Calculateur!DD122*VLOOKUP('Données projet'!$B$13,Paramètres!$A$1:$I$89,3,0)*0.475*44/12</f>
        <v>17.406504267288124</v>
      </c>
      <c r="DH122" s="21">
        <f>EXP(-LN(2)/2)*DH121+(1-EXP(-LN(2)/2))/(LN(2)/2)*DB122*DE122*VLOOKUP('Données projet'!$B$13,Paramètres!$A$1:$I$89,3,0)*0.475*44/12</f>
        <v>8.4187582996856248E-5</v>
      </c>
      <c r="DI122" s="22">
        <f t="shared" si="69"/>
        <v>41.418144069009855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8.9160000000000021</v>
      </c>
      <c r="DO122" s="12">
        <f>IF('Données projet'!$A$166&gt;35,DO121+DN122-DW121,IF(A122&lt;'Données projet'!$A$166,$DL$205^A122,IF(A122='Données projet'!$A$166,'Données projet'!$B$166,DO121+DN122-DW121)))</f>
        <v>407.28000000000071</v>
      </c>
      <c r="DP122" s="17">
        <f>DO122*VLOOKUP('Données projet'!$B$14,Paramètres!$A$1:$I$89,3,0)*VLOOKUP('Données projet'!$B$14,Paramètres!$A$1:$I$89,5,0)</f>
        <v>368.5069440000006</v>
      </c>
      <c r="DQ122" s="13">
        <f t="shared" si="97"/>
        <v>85.361780301252097</v>
      </c>
      <c r="DR122" s="20">
        <f t="shared" si="70"/>
        <v>790.48802815801503</v>
      </c>
      <c r="DS122" s="59">
        <f t="shared" si="71"/>
        <v>1083.8213614913484</v>
      </c>
      <c r="DT122" s="59">
        <f ca="1">AVERAGE(OFFSET($DS$3,0,0,'Données projet'!$E$14+1,1))-AVERAGE(OFFSET($H$3,0,0,'Données projet'!$E$14+1,1))</f>
        <v>635.71275911100679</v>
      </c>
      <c r="DU122" s="59">
        <f t="shared" si="98"/>
        <v>281.7776857269169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33.023937095759393</v>
      </c>
      <c r="EB122" s="21">
        <f>EXP(-LN(2)/25)*EB121+(1-EXP(-LN(2)/25))/(LN(2)/25)*Calculateur!DW122*Calculateur!DY122*VLOOKUP('Données projet'!$B$14,Paramètres!$A$1:$I$89,3,0)*0.475*44/12</f>
        <v>22.443556444671213</v>
      </c>
      <c r="EC122" s="21">
        <f>EXP(-LN(2)/2)*EC121+(1-EXP(-LN(2)/2))/(LN(2)/2)*DW122*DZ122*VLOOKUP('Données projet'!$B$14,Paramètres!$A$1:$I$89,3,0)*0.475*44/12</f>
        <v>0.96575181241947516</v>
      </c>
      <c r="ED122" s="22">
        <f t="shared" si="72"/>
        <v>56.433245352850086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8.9160000000000021</v>
      </c>
      <c r="EJ122" s="12">
        <f>IF('Données projet'!$A$192&gt;35,EJ121+EI122-ER121,IF(A122&lt;'Données projet'!$A$192,$EG$205^A122,IF(A122='Données projet'!$A$192,'Données projet'!$B$192,EJ121+EI122-ER121)))</f>
        <v>407.28000000000071</v>
      </c>
      <c r="EK122" s="17">
        <f>EJ122*VLOOKUP('Données projet'!$B$15,Paramètres!$A$1:$I$89,3,0)*VLOOKUP('Données projet'!$B$15,Paramètres!$A$1:$I$89,5,0)</f>
        <v>273.20342400000044</v>
      </c>
      <c r="EL122" s="13">
        <f t="shared" si="99"/>
        <v>65.528649323995822</v>
      </c>
      <c r="EM122" s="20">
        <f t="shared" si="73"/>
        <v>589.95836103929344</v>
      </c>
      <c r="EN122" s="59">
        <f t="shared" si="74"/>
        <v>883.29169437262681</v>
      </c>
      <c r="EO122" s="59">
        <f ca="1">AVERAGE(OFFSET($EN$3,0,0,'Données projet'!$E$15+1,1))-AVERAGE(OFFSET($H$3,0,0,'Données projet'!$E$15+1,1))</f>
        <v>482.99915419700773</v>
      </c>
      <c r="EP122" s="59">
        <f t="shared" si="100"/>
        <v>219.74157899604279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30.177045966814607</v>
      </c>
      <c r="EW122" s="21">
        <f>EXP(-LN(2)/25)*EW121+(1-EXP(-LN(2)/25))/(LN(2)/25)*Calculateur!ER122*Calculateur!ET122*VLOOKUP('Données projet'!$B$15,Paramètres!$A$1:$I$89,3,0)*0.475*44/12</f>
        <v>20.50876709599266</v>
      </c>
      <c r="EX122" s="21">
        <f>EXP(-LN(2)/2)*EX121+(1-EXP(-LN(2)/2))/(LN(2)/2)*ER122*EU122*VLOOKUP('Données projet'!$B$15,Paramètres!$A$1:$I$89,3,0)*0.475*44/12</f>
        <v>0.71598841265581759</v>
      </c>
      <c r="EY122" s="22">
        <f t="shared" si="75"/>
        <v>51.401801475463088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8.9160000000000021</v>
      </c>
      <c r="FE122" s="12">
        <f>IF('Données projet'!$A$218&gt;35,FE121+FD122-FM121,IF(A122&lt;'Données projet'!$A$218,$FB$205^A122,IF(A122='Données projet'!$A$218,'Données projet'!$B$218,FE121+FD122-FM121)))</f>
        <v>407.28000000000071</v>
      </c>
      <c r="FF122" s="17">
        <f>FE122*VLOOKUP('Données projet'!$B$16,Paramètres!$A$1:$I$89,3,0)*VLOOKUP('Données projet'!$B$16,Paramètres!$A$1:$I$89,5,0)</f>
        <v>387.56764800000064</v>
      </c>
      <c r="FG122" s="13">
        <f t="shared" si="101"/>
        <v>89.251583734654062</v>
      </c>
      <c r="FH122" s="20">
        <f t="shared" si="76"/>
        <v>830.46016193785681</v>
      </c>
      <c r="FI122" s="59">
        <f t="shared" si="77"/>
        <v>1123.7934952711901</v>
      </c>
      <c r="FJ122" s="59">
        <f ca="1">AVERAGE(OFFSET($FI$3,0,0,'Données projet'!$E$16+1,1))-AVERAGE(OFFSET($H$3,0,0,'Données projet'!$E$16+1,1))</f>
        <v>666.1523645983184</v>
      </c>
      <c r="FK122" s="59">
        <f t="shared" si="102"/>
        <v>294.13851344047526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34.732071773126258</v>
      </c>
      <c r="FR122" s="21">
        <f>EXP(-LN(2)/25)*FR121+(1-EXP(-LN(2)/25))/(LN(2)/25)*Calculateur!FM122*Calculateur!FO122*VLOOKUP('Données projet'!$B$16,Paramètres!$A$1:$I$89,3,0)*0.475*44/12</f>
        <v>23.604430053878339</v>
      </c>
      <c r="FS122" s="21">
        <f>EXP(-LN(2)/2)*FS121+(1-EXP(-LN(2)/2))/(LN(2)/2)*FM122*FP122*VLOOKUP('Données projet'!$B$16,Paramètres!$A$1:$I$89,3,0)*0.475*44/12</f>
        <v>1.0157044923722061</v>
      </c>
      <c r="FT122" s="22">
        <f t="shared" si="78"/>
        <v>59.352206319376805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328.55631138162721</v>
      </c>
      <c r="T123" s="59">
        <f t="shared" si="88"/>
        <v>321.81422611044985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17.601095850918835</v>
      </c>
      <c r="AA123" s="21">
        <f>EXP(-LN(2)/25)*AA122+(1-EXP(-LN(2)/25))/(LN(2)/25)*Calculateur!V123*Calculateur!X123*VLOOKUP('Données projet'!$B$9,Paramètres!$A$1:$I$89,3,0)*0.475*44/12</f>
        <v>12.658744342511662</v>
      </c>
      <c r="AB123" s="21">
        <f>EXP(-LN(2)/2)*AB122+(1-EXP(-LN(2)/2))/(LN(2)/2)*V123*Y123*VLOOKUP('Données projet'!$B$9,Paramètres!$A$1:$I$89,3,0)*0.475*44/12</f>
        <v>5.486062174417186E-5</v>
      </c>
      <c r="AC123" s="22">
        <f t="shared" si="57"/>
        <v>30.259895054052244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353.37479213497227</v>
      </c>
      <c r="AO123" s="59">
        <f t="shared" si="90"/>
        <v>345.4750813433123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23.540703654148267</v>
      </c>
      <c r="AV123" s="21">
        <f>EXP(-LN(2)/25)*AV122+(1-EXP(-LN(2)/25))/(LN(2)/25)*Calculateur!AQ123*Calculateur!AS123*VLOOKUP('Données projet'!$B$10,Paramètres!$A$1:$I$89,3,0)*0.475*44/12</f>
        <v>16.930522492730855</v>
      </c>
      <c r="AW123" s="21">
        <f>EXP(-LN(2)/2)*AW122+(1-EXP(-LN(2)/2))/(LN(2)/2)*AQ123*AT123*VLOOKUP('Données projet'!$B$10,Paramètres!$A$1:$I$89,3,0)*0.475*44/12</f>
        <v>5.9529610828782342E-5</v>
      </c>
      <c r="AX123" s="21">
        <f t="shared" si="60"/>
        <v>40.471285676489948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359.57284550600366</v>
      </c>
      <c r="BJ123" s="59">
        <f t="shared" si="92"/>
        <v>351.38386928091433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24.002286078739406</v>
      </c>
      <c r="BQ123" s="21">
        <f>EXP(-LN(2)/25)*BQ122+(1-EXP(-LN(2)/25))/(LN(2)/25)*Calculateur!BL123*Calculateur!BN123*VLOOKUP('Données projet'!$B$11,Paramètres!$A$1:$I$89,3,0)*0.475*44/12</f>
        <v>17.262493522000089</v>
      </c>
      <c r="BR123" s="21">
        <f>EXP(-LN(2)/2)*BR122+(1-EXP(-LN(2)/2))/(LN(2)/2)*BL123*BO123*VLOOKUP('Données projet'!$B$11,Paramètres!$A$1:$I$89,3,0)*0.475*44/12</f>
        <v>6.0696858099934949E-5</v>
      </c>
      <c r="BS123" s="22">
        <f t="shared" si="63"/>
        <v>41.264840297597594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-8.5265128291212022E-14</v>
      </c>
      <c r="BZ123" s="13">
        <f>BY123*VLOOKUP('Données projet'!$B$12,Paramètres!$A$1:$I$89,3,0)*VLOOKUP('Données projet'!$B$12,Paramètres!$A$1:$I$89,5,0)</f>
        <v>-6.9167072069831198E-14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159.4660488566085</v>
      </c>
      <c r="CE123" s="59">
        <f t="shared" si="94"/>
        <v>135.33030558297088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7.0424628668318467</v>
      </c>
      <c r="CM123" s="21">
        <f>EXP(-LN(2)/2)*CM122+(1-EXP(-LN(2)/2))/(LN(2)/2)*CG123*CJ123*VLOOKUP('Données projet'!$B$12,Paramètres!$A$1:$I$89,3,0)*0.475*44/12</f>
        <v>7.64314771216757E-4</v>
      </c>
      <c r="CN123" s="22">
        <f t="shared" si="66"/>
        <v>7.0432271816030632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353.37479213497227</v>
      </c>
      <c r="CZ123" s="59">
        <f t="shared" si="96"/>
        <v>345.4750813433123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23.540703654148267</v>
      </c>
      <c r="DG123" s="21">
        <f>EXP(-LN(2)/25)*DG122+(1-EXP(-LN(2)/25))/(LN(2)/25)*Calculateur!DB123*Calculateur!DD123*VLOOKUP('Données projet'!$B$13,Paramètres!$A$1:$I$89,3,0)*0.475*44/12</f>
        <v>16.930522492730855</v>
      </c>
      <c r="DH123" s="21">
        <f>EXP(-LN(2)/2)*DH122+(1-EXP(-LN(2)/2))/(LN(2)/2)*DB123*DE123*VLOOKUP('Données projet'!$B$13,Paramètres!$A$1:$I$89,3,0)*0.475*44/12</f>
        <v>5.9529610828782342E-5</v>
      </c>
      <c r="DI123" s="22">
        <f t="shared" si="69"/>
        <v>40.471285676489948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8.9160000000000021</v>
      </c>
      <c r="DO123" s="12">
        <f>IF('Données projet'!$A$166&gt;35,DO122+DN123-DW122,IF(A123&lt;'Données projet'!$A$166,$DL$205^A123,IF(A123='Données projet'!$A$166,'Données projet'!$B$166,DO122+DN123-DW122)))</f>
        <v>416.19600000000071</v>
      </c>
      <c r="DP123" s="17">
        <f>DO123*VLOOKUP('Données projet'!$B$14,Paramètres!$A$1:$I$89,3,0)*VLOOKUP('Données projet'!$B$14,Paramètres!$A$1:$I$89,5,0)</f>
        <v>376.57414080000063</v>
      </c>
      <c r="DQ123" s="13">
        <f t="shared" si="97"/>
        <v>87.010880052402811</v>
      </c>
      <c r="DR123" s="20">
        <f t="shared" si="70"/>
        <v>807.41057798460258</v>
      </c>
      <c r="DS123" s="59">
        <f t="shared" si="71"/>
        <v>1100.743911317936</v>
      </c>
      <c r="DT123" s="59">
        <f ca="1">AVERAGE(OFFSET($DS$3,0,0,'Données projet'!$E$14+1,1))-AVERAGE(OFFSET($H$3,0,0,'Données projet'!$E$14+1,1))</f>
        <v>635.71275911100679</v>
      </c>
      <c r="DU123" s="59">
        <f t="shared" si="98"/>
        <v>281.7776857269169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32.37635783192426</v>
      </c>
      <c r="EB123" s="21">
        <f>EXP(-LN(2)/25)*EB122+(1-EXP(-LN(2)/25))/(LN(2)/25)*Calculateur!DW123*Calculateur!DY123*VLOOKUP('Données projet'!$B$14,Paramètres!$A$1:$I$89,3,0)*0.475*44/12</f>
        <v>21.829836213436341</v>
      </c>
      <c r="EC123" s="21">
        <f>EXP(-LN(2)/2)*EC122+(1-EXP(-LN(2)/2))/(LN(2)/2)*DW123*DZ123*VLOOKUP('Données projet'!$B$14,Paramètres!$A$1:$I$89,3,0)*0.475*44/12</f>
        <v>0.68288965550500957</v>
      </c>
      <c r="ED123" s="22">
        <f t="shared" si="72"/>
        <v>54.889083700865612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8.9160000000000021</v>
      </c>
      <c r="EJ123" s="12">
        <f>IF('Données projet'!$A$192&gt;35,EJ122+EI123-ER122,IF(A123&lt;'Données projet'!$A$192,$EG$205^A123,IF(A123='Données projet'!$A$192,'Données projet'!$B$192,EJ122+EI123-ER122)))</f>
        <v>416.19600000000071</v>
      </c>
      <c r="EK123" s="17">
        <f>EJ123*VLOOKUP('Données projet'!$B$15,Paramètres!$A$1:$I$89,3,0)*VLOOKUP('Données projet'!$B$15,Paramètres!$A$1:$I$89,5,0)</f>
        <v>279.18427680000048</v>
      </c>
      <c r="EL123" s="13">
        <f t="shared" si="99"/>
        <v>66.794593859267636</v>
      </c>
      <c r="EM123" s="20">
        <f t="shared" si="73"/>
        <v>602.57986639822525</v>
      </c>
      <c r="EN123" s="59">
        <f t="shared" si="74"/>
        <v>895.91319973155851</v>
      </c>
      <c r="EO123" s="59">
        <f ca="1">AVERAGE(OFFSET($EN$3,0,0,'Données projet'!$E$15+1,1))-AVERAGE(OFFSET($H$3,0,0,'Données projet'!$E$15+1,1))</f>
        <v>482.99915419700773</v>
      </c>
      <c r="EP123" s="59">
        <f t="shared" si="100"/>
        <v>219.74157899604279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29.585292501585954</v>
      </c>
      <c r="EW123" s="21">
        <f>EXP(-LN(2)/25)*EW122+(1-EXP(-LN(2)/25))/(LN(2)/25)*Calculateur!ER123*Calculateur!ET123*VLOOKUP('Données projet'!$B$15,Paramètres!$A$1:$I$89,3,0)*0.475*44/12</f>
        <v>19.947953781243552</v>
      </c>
      <c r="EX123" s="21">
        <f>EXP(-LN(2)/2)*EX122+(1-EXP(-LN(2)/2))/(LN(2)/2)*ER123*EU123*VLOOKUP('Données projet'!$B$15,Paramètres!$A$1:$I$89,3,0)*0.475*44/12</f>
        <v>0.5062802618399207</v>
      </c>
      <c r="EY123" s="22">
        <f t="shared" si="75"/>
        <v>50.039526544669428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8.9160000000000021</v>
      </c>
      <c r="FE123" s="12">
        <f>IF('Données projet'!$A$218&gt;35,FE122+FD123-FM122,IF(A123&lt;'Données projet'!$A$218,$FB$205^A123,IF(A123='Données projet'!$A$218,'Données projet'!$B$218,FE122+FD123-FM122)))</f>
        <v>416.19600000000071</v>
      </c>
      <c r="FF123" s="17">
        <f>FE123*VLOOKUP('Données projet'!$B$16,Paramètres!$A$1:$I$89,3,0)*VLOOKUP('Données projet'!$B$16,Paramètres!$A$1:$I$89,5,0)</f>
        <v>396.05211360000067</v>
      </c>
      <c r="FG123" s="13">
        <f t="shared" si="101"/>
        <v>90.975830394074606</v>
      </c>
      <c r="FH123" s="20">
        <f t="shared" si="76"/>
        <v>848.24033578968101</v>
      </c>
      <c r="FI123" s="59">
        <f t="shared" si="77"/>
        <v>1141.5736691230143</v>
      </c>
      <c r="FJ123" s="59">
        <f ca="1">AVERAGE(OFFSET($FI$3,0,0,'Données projet'!$E$16+1,1))-AVERAGE(OFFSET($H$3,0,0,'Données projet'!$E$16+1,1))</f>
        <v>666.1523645983184</v>
      </c>
      <c r="FK123" s="59">
        <f t="shared" si="102"/>
        <v>294.13851344047526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34.050997030127242</v>
      </c>
      <c r="FR123" s="21">
        <f>EXP(-LN(2)/25)*FR122+(1-EXP(-LN(2)/25))/(LN(2)/25)*Calculateur!FM123*Calculateur!FO123*VLOOKUP('Données projet'!$B$16,Paramètres!$A$1:$I$89,3,0)*0.475*44/12</f>
        <v>22.958965672752008</v>
      </c>
      <c r="FS123" s="21">
        <f>EXP(-LN(2)/2)*FS122+(1-EXP(-LN(2)/2))/(LN(2)/2)*FM123*FP123*VLOOKUP('Données projet'!$B$16,Paramètres!$A$1:$I$89,3,0)*0.475*44/12</f>
        <v>0.71821153423802686</v>
      </c>
      <c r="FT123" s="22">
        <f t="shared" si="78"/>
        <v>57.72817423711728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328.55631138162721</v>
      </c>
      <c r="T124" s="59">
        <f t="shared" si="88"/>
        <v>321.81422611044985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17.255949096890731</v>
      </c>
      <c r="AA124" s="21">
        <f>EXP(-LN(2)/25)*AA123+(1-EXP(-LN(2)/25))/(LN(2)/25)*Calculateur!V124*Calculateur!X124*VLOOKUP('Données projet'!$B$9,Paramètres!$A$1:$I$89,3,0)*0.475*44/12</f>
        <v>12.312590312771247</v>
      </c>
      <c r="AB124" s="21">
        <f>EXP(-LN(2)/2)*AB123+(1-EXP(-LN(2)/2))/(LN(2)/2)*V124*Y124*VLOOKUP('Données projet'!$B$9,Paramètres!$A$1:$I$89,3,0)*0.475*44/12</f>
        <v>3.8792317655414082E-5</v>
      </c>
      <c r="AC124" s="22">
        <f t="shared" si="57"/>
        <v>29.568578201979637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353.37479213497227</v>
      </c>
      <c r="AO124" s="59">
        <f t="shared" si="90"/>
        <v>345.4750813433123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23.079084813901872</v>
      </c>
      <c r="AV124" s="21">
        <f>EXP(-LN(2)/25)*AV123+(1-EXP(-LN(2)/25))/(LN(2)/25)*Calculateur!AQ124*Calculateur!AS124*VLOOKUP('Données projet'!$B$10,Paramètres!$A$1:$I$89,3,0)*0.475*44/12</f>
        <v>16.467556464829649</v>
      </c>
      <c r="AW124" s="21">
        <f>EXP(-LN(2)/2)*AW123+(1-EXP(-LN(2)/2))/(LN(2)/2)*AQ124*AT124*VLOOKUP('Données projet'!$B$10,Paramètres!$A$1:$I$89,3,0)*0.475*44/12</f>
        <v>4.2093791498428131E-5</v>
      </c>
      <c r="AX124" s="21">
        <f t="shared" si="60"/>
        <v>39.54668337252302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359.57284550600366</v>
      </c>
      <c r="BJ124" s="59">
        <f t="shared" si="92"/>
        <v>351.38386928091433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23.531615888684261</v>
      </c>
      <c r="BQ124" s="21">
        <f>EXP(-LN(2)/25)*BQ123+(1-EXP(-LN(2)/25))/(LN(2)/25)*Calculateur!BL124*Calculateur!BN124*VLOOKUP('Données projet'!$B$11,Paramètres!$A$1:$I$89,3,0)*0.475*44/12</f>
        <v>16.790449728845914</v>
      </c>
      <c r="BR124" s="21">
        <f>EXP(-LN(2)/2)*BR123+(1-EXP(-LN(2)/2))/(LN(2)/2)*BL124*BO124*VLOOKUP('Données projet'!$B$11,Paramètres!$A$1:$I$89,3,0)*0.475*44/12</f>
        <v>4.2919159959181629E-5</v>
      </c>
      <c r="BS124" s="22">
        <f t="shared" si="63"/>
        <v>40.322108536690131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-8.5265128291212022E-14</v>
      </c>
      <c r="BZ124" s="13">
        <f>BY124*VLOOKUP('Données projet'!$B$12,Paramètres!$A$1:$I$89,3,0)*VLOOKUP('Données projet'!$B$12,Paramètres!$A$1:$I$89,5,0)</f>
        <v>-6.9167072069831198E-14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159.4660488566085</v>
      </c>
      <c r="CE124" s="59">
        <f t="shared" si="94"/>
        <v>135.33030558297088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6.8498863493913031</v>
      </c>
      <c r="CM124" s="21">
        <f>EXP(-LN(2)/2)*CM123+(1-EXP(-LN(2)/2))/(LN(2)/2)*CG124*CJ124*VLOOKUP('Données projet'!$B$12,Paramètres!$A$1:$I$89,3,0)*0.475*44/12</f>
        <v>5.4045215768841351E-4</v>
      </c>
      <c r="CN124" s="22">
        <f t="shared" si="66"/>
        <v>6.8504268015489913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353.37479213497227</v>
      </c>
      <c r="CZ124" s="59">
        <f t="shared" si="96"/>
        <v>345.4750813433123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23.079084813901872</v>
      </c>
      <c r="DG124" s="21">
        <f>EXP(-LN(2)/25)*DG123+(1-EXP(-LN(2)/25))/(LN(2)/25)*Calculateur!DB124*Calculateur!DD124*VLOOKUP('Données projet'!$B$13,Paramètres!$A$1:$I$89,3,0)*0.475*44/12</f>
        <v>16.467556464829649</v>
      </c>
      <c r="DH124" s="21">
        <f>EXP(-LN(2)/2)*DH123+(1-EXP(-LN(2)/2))/(LN(2)/2)*DB124*DE124*VLOOKUP('Données projet'!$B$13,Paramètres!$A$1:$I$89,3,0)*0.475*44/12</f>
        <v>4.2093791498428131E-5</v>
      </c>
      <c r="DI124" s="22">
        <f t="shared" si="69"/>
        <v>39.54668337252302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8.9160000000000021</v>
      </c>
      <c r="DO124" s="12">
        <f>IF('Données projet'!$A$166&gt;35,DO123+DN124-DW123,IF(A124&lt;'Données projet'!$A$166,$DL$205^A124,IF(A124='Données projet'!$A$166,'Données projet'!$B$166,DO123+DN124-DW123)))</f>
        <v>425.11200000000071</v>
      </c>
      <c r="DP124" s="17">
        <f>DO124*VLOOKUP('Données projet'!$B$14,Paramètres!$A$1:$I$89,3,0)*VLOOKUP('Données projet'!$B$14,Paramètres!$A$1:$I$89,5,0)</f>
        <v>384.64133760000061</v>
      </c>
      <c r="DQ124" s="13">
        <f t="shared" si="97"/>
        <v>88.65587241476193</v>
      </c>
      <c r="DR124" s="20">
        <f t="shared" si="70"/>
        <v>824.32597410904464</v>
      </c>
      <c r="DS124" s="59">
        <f t="shared" si="71"/>
        <v>1117.6593074423779</v>
      </c>
      <c r="DT124" s="59">
        <f ca="1">AVERAGE(OFFSET($DS$3,0,0,'Données projet'!$E$14+1,1))-AVERAGE(OFFSET($H$3,0,0,'Données projet'!$E$14+1,1))</f>
        <v>635.71275911100679</v>
      </c>
      <c r="DU124" s="59">
        <f t="shared" si="98"/>
        <v>281.7776857269169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31.741477202468587</v>
      </c>
      <c r="EB124" s="21">
        <f>EXP(-LN(2)/25)*EB123+(1-EXP(-LN(2)/25))/(LN(2)/25)*Calculateur!DW124*Calculateur!DY124*VLOOKUP('Données projet'!$B$14,Paramètres!$A$1:$I$89,3,0)*0.475*44/12</f>
        <v>21.232898194198729</v>
      </c>
      <c r="EC124" s="21">
        <f>EXP(-LN(2)/2)*EC123+(1-EXP(-LN(2)/2))/(LN(2)/2)*DW124*DZ124*VLOOKUP('Données projet'!$B$14,Paramètres!$A$1:$I$89,3,0)*0.475*44/12</f>
        <v>0.48287590620973764</v>
      </c>
      <c r="ED124" s="22">
        <f t="shared" si="72"/>
        <v>53.457251302877047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8.9160000000000021</v>
      </c>
      <c r="EJ124" s="12">
        <f>IF('Données projet'!$A$192&gt;35,EJ123+EI124-ER123,IF(A124&lt;'Données projet'!$A$192,$EG$205^A124,IF(A124='Données projet'!$A$192,'Données projet'!$B$192,EJ123+EI124-ER123)))</f>
        <v>425.11200000000071</v>
      </c>
      <c r="EK124" s="17">
        <f>EJ124*VLOOKUP('Données projet'!$B$15,Paramètres!$A$1:$I$89,3,0)*VLOOKUP('Données projet'!$B$15,Paramètres!$A$1:$I$89,5,0)</f>
        <v>285.16512960000051</v>
      </c>
      <c r="EL124" s="13">
        <f t="shared" si="99"/>
        <v>68.057385324877458</v>
      </c>
      <c r="EM124" s="20">
        <f t="shared" si="73"/>
        <v>615.19588016082901</v>
      </c>
      <c r="EN124" s="59">
        <f t="shared" si="74"/>
        <v>908.52921349416238</v>
      </c>
      <c r="EO124" s="59">
        <f ca="1">AVERAGE(OFFSET($EN$3,0,0,'Données projet'!$E$15+1,1))-AVERAGE(OFFSET($H$3,0,0,'Données projet'!$E$15+1,1))</f>
        <v>482.99915419700773</v>
      </c>
      <c r="EP124" s="59">
        <f t="shared" si="100"/>
        <v>219.74157899604279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29.005142960876459</v>
      </c>
      <c r="EW124" s="21">
        <f>EXP(-LN(2)/25)*EW123+(1-EXP(-LN(2)/25))/(LN(2)/25)*Calculateur!ER124*Calculateur!ET124*VLOOKUP('Données projet'!$B$15,Paramètres!$A$1:$I$89,3,0)*0.475*44/12</f>
        <v>19.402475936078147</v>
      </c>
      <c r="EX124" s="21">
        <f>EXP(-LN(2)/2)*EX123+(1-EXP(-LN(2)/2))/(LN(2)/2)*ER124*EU124*VLOOKUP('Données projet'!$B$15,Paramètres!$A$1:$I$89,3,0)*0.475*44/12</f>
        <v>0.35799420632790879</v>
      </c>
      <c r="EY124" s="22">
        <f t="shared" si="75"/>
        <v>48.765613103282512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8.9160000000000021</v>
      </c>
      <c r="FE124" s="12">
        <f>IF('Données projet'!$A$218&gt;35,FE123+FD124-FM123,IF(A124&lt;'Données projet'!$A$218,$FB$205^A124,IF(A124='Données projet'!$A$218,'Données projet'!$B$218,FE123+FD124-FM123)))</f>
        <v>425.11200000000071</v>
      </c>
      <c r="FF124" s="17">
        <f>FE124*VLOOKUP('Données projet'!$B$16,Paramètres!$A$1:$I$89,3,0)*VLOOKUP('Données projet'!$B$16,Paramètres!$A$1:$I$89,5,0)</f>
        <v>404.53657920000069</v>
      </c>
      <c r="FG124" s="13">
        <f t="shared" si="101"/>
        <v>92.695782497390908</v>
      </c>
      <c r="FH124" s="20">
        <f t="shared" si="76"/>
        <v>866.01302995629032</v>
      </c>
      <c r="FI124" s="59">
        <f t="shared" si="77"/>
        <v>1159.3463632896237</v>
      </c>
      <c r="FJ124" s="59">
        <f ca="1">AVERAGE(OFFSET($FI$3,0,0,'Données projet'!$E$16+1,1))-AVERAGE(OFFSET($H$3,0,0,'Données projet'!$E$16+1,1))</f>
        <v>666.1523645983184</v>
      </c>
      <c r="FK124" s="59">
        <f t="shared" si="102"/>
        <v>294.13851344047526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33.383277747423861</v>
      </c>
      <c r="FR124" s="21">
        <f>EXP(-LN(2)/25)*FR123+(1-EXP(-LN(2)/25))/(LN(2)/25)*Calculateur!FM124*Calculateur!FO124*VLOOKUP('Données projet'!$B$16,Paramètres!$A$1:$I$89,3,0)*0.475*44/12</f>
        <v>22.331151549071073</v>
      </c>
      <c r="FS124" s="21">
        <f>EXP(-LN(2)/2)*FS123+(1-EXP(-LN(2)/2))/(LN(2)/2)*FM124*FP124*VLOOKUP('Données projet'!$B$16,Paramètres!$A$1:$I$89,3,0)*0.475*44/12</f>
        <v>0.50785224618610303</v>
      </c>
      <c r="FT124" s="22">
        <f t="shared" si="78"/>
        <v>56.222281542681039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328.55631138162721</v>
      </c>
      <c r="T125" s="59">
        <f t="shared" si="88"/>
        <v>321.81422611044985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16.917570460190387</v>
      </c>
      <c r="AA125" s="21">
        <f>EXP(-LN(2)/25)*AA124+(1-EXP(-LN(2)/25))/(LN(2)/25)*Calculateur!V125*Calculateur!X125*VLOOKUP('Données projet'!$B$9,Paramètres!$A$1:$I$89,3,0)*0.475*44/12</f>
        <v>11.975901883177533</v>
      </c>
      <c r="AB125" s="21">
        <f>EXP(-LN(2)/2)*AB124+(1-EXP(-LN(2)/2))/(LN(2)/2)*V125*Y125*VLOOKUP('Données projet'!$B$9,Paramètres!$A$1:$I$89,3,0)*0.475*44/12</f>
        <v>2.743031087208593E-5</v>
      </c>
      <c r="AC125" s="22">
        <f t="shared" si="57"/>
        <v>28.893499773678791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353.37479213497227</v>
      </c>
      <c r="AO125" s="59">
        <f t="shared" si="90"/>
        <v>345.4750813433123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22.626518037553019</v>
      </c>
      <c r="AV125" s="21">
        <f>EXP(-LN(2)/25)*AV124+(1-EXP(-LN(2)/25))/(LN(2)/25)*Calculateur!AQ125*Calculateur!AS125*VLOOKUP('Données projet'!$B$10,Paramètres!$A$1:$I$89,3,0)*0.475*44/12</f>
        <v>16.017250267307723</v>
      </c>
      <c r="AW125" s="21">
        <f>EXP(-LN(2)/2)*AW124+(1-EXP(-LN(2)/2))/(LN(2)/2)*AQ125*AT125*VLOOKUP('Données projet'!$B$10,Paramètres!$A$1:$I$89,3,0)*0.475*44/12</f>
        <v>2.9764805414391178E-5</v>
      </c>
      <c r="AX125" s="21">
        <f t="shared" si="60"/>
        <v>38.643798069666154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359.57284550600366</v>
      </c>
      <c r="BJ125" s="59">
        <f t="shared" si="92"/>
        <v>351.38386928091433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23.070175253975627</v>
      </c>
      <c r="BQ125" s="21">
        <f>EXP(-LN(2)/25)*BQ124+(1-EXP(-LN(2)/25))/(LN(2)/25)*Calculateur!BL125*Calculateur!BN125*VLOOKUP('Données projet'!$B$11,Paramètres!$A$1:$I$89,3,0)*0.475*44/12</f>
        <v>16.331313998039246</v>
      </c>
      <c r="BR125" s="21">
        <f>EXP(-LN(2)/2)*BR124+(1-EXP(-LN(2)/2))/(LN(2)/2)*BL125*BO125*VLOOKUP('Données projet'!$B$11,Paramètres!$A$1:$I$89,3,0)*0.475*44/12</f>
        <v>3.0348429049967478E-5</v>
      </c>
      <c r="BS125" s="22">
        <f t="shared" si="63"/>
        <v>39.401519600443919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-8.5265128291212022E-14</v>
      </c>
      <c r="BZ125" s="13">
        <f>BY125*VLOOKUP('Données projet'!$B$12,Paramètres!$A$1:$I$89,3,0)*VLOOKUP('Données projet'!$B$12,Paramètres!$A$1:$I$89,5,0)</f>
        <v>-6.9167072069831198E-14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159.4660488566085</v>
      </c>
      <c r="CE125" s="59">
        <f t="shared" si="94"/>
        <v>135.33030558297088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6.6625758469473304</v>
      </c>
      <c r="CM125" s="21">
        <f>EXP(-LN(2)/2)*CM124+(1-EXP(-LN(2)/2))/(LN(2)/2)*CG125*CJ125*VLOOKUP('Données projet'!$B$12,Paramètres!$A$1:$I$89,3,0)*0.475*44/12</f>
        <v>3.821573856083785E-4</v>
      </c>
      <c r="CN125" s="22">
        <f t="shared" si="66"/>
        <v>6.6629580043329391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353.37479213497227</v>
      </c>
      <c r="CZ125" s="59">
        <f t="shared" si="96"/>
        <v>345.4750813433123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22.626518037553019</v>
      </c>
      <c r="DG125" s="21">
        <f>EXP(-LN(2)/25)*DG124+(1-EXP(-LN(2)/25))/(LN(2)/25)*Calculateur!DB125*Calculateur!DD125*VLOOKUP('Données projet'!$B$13,Paramètres!$A$1:$I$89,3,0)*0.475*44/12</f>
        <v>16.017250267307723</v>
      </c>
      <c r="DH125" s="21">
        <f>EXP(-LN(2)/2)*DH124+(1-EXP(-LN(2)/2))/(LN(2)/2)*DB125*DE125*VLOOKUP('Données projet'!$B$13,Paramètres!$A$1:$I$89,3,0)*0.475*44/12</f>
        <v>2.9764805414391178E-5</v>
      </c>
      <c r="DI125" s="22">
        <f t="shared" si="69"/>
        <v>38.643798069666154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8.9160000000000021</v>
      </c>
      <c r="DO125" s="12">
        <f>IF('Données projet'!$A$166&gt;35,DO124+DN125-DW124,IF(A125&lt;'Données projet'!$A$166,$DL$205^A125,IF(A125='Données projet'!$A$166,'Données projet'!$B$166,DO124+DN125-DW124)))</f>
        <v>434.0280000000007</v>
      </c>
      <c r="DP125" s="17">
        <f>DO125*VLOOKUP('Données projet'!$B$14,Paramètres!$A$1:$I$89,3,0)*VLOOKUP('Données projet'!$B$14,Paramètres!$A$1:$I$89,5,0)</f>
        <v>392.70853440000059</v>
      </c>
      <c r="DQ125" s="13">
        <f t="shared" si="97"/>
        <v>90.296853458070288</v>
      </c>
      <c r="DR125" s="20">
        <f t="shared" si="70"/>
        <v>841.23438385280679</v>
      </c>
      <c r="DS125" s="59">
        <f t="shared" si="71"/>
        <v>1134.56771718614</v>
      </c>
      <c r="DT125" s="59">
        <f ca="1">AVERAGE(OFFSET($DS$3,0,0,'Données projet'!$E$14+1,1))-AVERAGE(OFFSET($H$3,0,0,'Données projet'!$E$14+1,1))</f>
        <v>635.71275911100679</v>
      </c>
      <c r="DU125" s="59">
        <f t="shared" si="98"/>
        <v>281.7776857269169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31.11904619491759</v>
      </c>
      <c r="EB125" s="21">
        <f>EXP(-LN(2)/25)*EB124+(1-EXP(-LN(2)/25))/(LN(2)/25)*Calculateur!DW125*Calculateur!DY125*VLOOKUP('Données projet'!$B$14,Paramètres!$A$1:$I$89,3,0)*0.475*44/12</f>
        <v>20.652283476488776</v>
      </c>
      <c r="EC125" s="21">
        <f>EXP(-LN(2)/2)*EC124+(1-EXP(-LN(2)/2))/(LN(2)/2)*DW125*DZ125*VLOOKUP('Données projet'!$B$14,Paramètres!$A$1:$I$89,3,0)*0.475*44/12</f>
        <v>0.34144482775250484</v>
      </c>
      <c r="ED125" s="22">
        <f t="shared" si="72"/>
        <v>52.112774499158867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8.9160000000000021</v>
      </c>
      <c r="EJ125" s="12">
        <f>IF('Données projet'!$A$192&gt;35,EJ124+EI125-ER124,IF(A125&lt;'Données projet'!$A$192,$EG$205^A125,IF(A125='Données projet'!$A$192,'Données projet'!$B$192,EJ124+EI125-ER124)))</f>
        <v>434.0280000000007</v>
      </c>
      <c r="EK125" s="17">
        <f>EJ125*VLOOKUP('Données projet'!$B$15,Paramètres!$A$1:$I$89,3,0)*VLOOKUP('Données projet'!$B$15,Paramètres!$A$1:$I$89,5,0)</f>
        <v>291.14598240000049</v>
      </c>
      <c r="EL125" s="13">
        <f t="shared" si="99"/>
        <v>69.317097469525649</v>
      </c>
      <c r="EM125" s="20">
        <f t="shared" si="73"/>
        <v>627.80653077275804</v>
      </c>
      <c r="EN125" s="59">
        <f t="shared" si="74"/>
        <v>921.13986410609141</v>
      </c>
      <c r="EO125" s="59">
        <f ca="1">AVERAGE(OFFSET($EN$3,0,0,'Données projet'!$E$15+1,1))-AVERAGE(OFFSET($H$3,0,0,'Données projet'!$E$15+1,1))</f>
        <v>482.99915419700773</v>
      </c>
      <c r="EP125" s="59">
        <f t="shared" si="100"/>
        <v>219.74157899604279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28.436369798803998</v>
      </c>
      <c r="EW125" s="21">
        <f>EXP(-LN(2)/25)*EW124+(1-EXP(-LN(2)/25))/(LN(2)/25)*Calculateur!ER125*Calculateur!ET125*VLOOKUP('Données projet'!$B$15,Paramètres!$A$1:$I$89,3,0)*0.475*44/12</f>
        <v>18.871914211274227</v>
      </c>
      <c r="EX125" s="21">
        <f>EXP(-LN(2)/2)*EX124+(1-EXP(-LN(2)/2))/(LN(2)/2)*ER125*EU125*VLOOKUP('Données projet'!$B$15,Paramètres!$A$1:$I$89,3,0)*0.475*44/12</f>
        <v>0.25314013091996035</v>
      </c>
      <c r="EY125" s="22">
        <f t="shared" si="75"/>
        <v>47.561424140998184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8.9160000000000021</v>
      </c>
      <c r="FE125" s="12">
        <f>IF('Données projet'!$A$218&gt;35,FE124+FD125-FM124,IF(A125&lt;'Données projet'!$A$218,$FB$205^A125,IF(A125='Données projet'!$A$218,'Données projet'!$B$218,FE124+FD125-FM124)))</f>
        <v>434.0280000000007</v>
      </c>
      <c r="FF125" s="17">
        <f>FE125*VLOOKUP('Données projet'!$B$16,Paramètres!$A$1:$I$89,3,0)*VLOOKUP('Données projet'!$B$16,Paramètres!$A$1:$I$89,5,0)</f>
        <v>413.02104480000071</v>
      </c>
      <c r="FG125" s="13">
        <f t="shared" si="101"/>
        <v>94.411540492092271</v>
      </c>
      <c r="FH125" s="20">
        <f t="shared" si="76"/>
        <v>883.77841938372865</v>
      </c>
      <c r="FI125" s="59">
        <f t="shared" si="77"/>
        <v>1177.111752717062</v>
      </c>
      <c r="FJ125" s="59">
        <f ca="1">AVERAGE(OFFSET($FI$3,0,0,'Données projet'!$E$16+1,1))-AVERAGE(OFFSET($H$3,0,0,'Données projet'!$E$16+1,1))</f>
        <v>666.1523645983184</v>
      </c>
      <c r="FK125" s="59">
        <f t="shared" si="102"/>
        <v>294.13851344047526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32.728652032585742</v>
      </c>
      <c r="FR125" s="21">
        <f>EXP(-LN(2)/25)*FR124+(1-EXP(-LN(2)/25))/(LN(2)/25)*Calculateur!FM125*Calculateur!FO125*VLOOKUP('Données projet'!$B$16,Paramètres!$A$1:$I$89,3,0)*0.475*44/12</f>
        <v>21.720505035617503</v>
      </c>
      <c r="FS125" s="21">
        <f>EXP(-LN(2)/2)*FS124+(1-EXP(-LN(2)/2))/(LN(2)/2)*FM125*FP125*VLOOKUP('Données projet'!$B$16,Paramètres!$A$1:$I$89,3,0)*0.475*44/12</f>
        <v>0.35910576711901343</v>
      </c>
      <c r="FT125" s="22">
        <f t="shared" si="78"/>
        <v>54.80826283532226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328.55631138162721</v>
      </c>
      <c r="T126" s="59">
        <f t="shared" si="88"/>
        <v>321.81422611044985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16.585827222165147</v>
      </c>
      <c r="AA126" s="21">
        <f>EXP(-LN(2)/25)*AA125+(1-EXP(-LN(2)/25))/(LN(2)/25)*Calculateur!V126*Calculateur!X126*VLOOKUP('Données projet'!$B$9,Paramètres!$A$1:$I$89,3,0)*0.475*44/12</f>
        <v>11.648420216396735</v>
      </c>
      <c r="AB126" s="21">
        <f>EXP(-LN(2)/2)*AB125+(1-EXP(-LN(2)/2))/(LN(2)/2)*V126*Y126*VLOOKUP('Données projet'!$B$9,Paramètres!$A$1:$I$89,3,0)*0.475*44/12</f>
        <v>1.9396158827707041E-5</v>
      </c>
      <c r="AC126" s="22">
        <f t="shared" si="57"/>
        <v>28.234266834720707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353.37479213497227</v>
      </c>
      <c r="AO126" s="59">
        <f t="shared" si="90"/>
        <v>345.4750813433123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22.182825819649889</v>
      </c>
      <c r="AV126" s="21">
        <f>EXP(-LN(2)/25)*AV125+(1-EXP(-LN(2)/25))/(LN(2)/25)*Calculateur!AQ126*Calculateur!AS126*VLOOKUP('Données projet'!$B$10,Paramètres!$A$1:$I$89,3,0)*0.475*44/12</f>
        <v>15.57925771643761</v>
      </c>
      <c r="AW126" s="21">
        <f>EXP(-LN(2)/2)*AW125+(1-EXP(-LN(2)/2))/(LN(2)/2)*AQ126*AT126*VLOOKUP('Données projet'!$B$10,Paramètres!$A$1:$I$89,3,0)*0.475*44/12</f>
        <v>2.1046895749214069E-5</v>
      </c>
      <c r="AX126" s="21">
        <f t="shared" si="60"/>
        <v>37.762104582983248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359.57284550600366</v>
      </c>
      <c r="BJ126" s="59">
        <f t="shared" si="92"/>
        <v>351.38386928091433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22.617783188662631</v>
      </c>
      <c r="BQ126" s="21">
        <f>EXP(-LN(2)/25)*BQ125+(1-EXP(-LN(2)/25))/(LN(2)/25)*Calculateur!BL126*Calculateur!BN126*VLOOKUP('Données projet'!$B$11,Paramètres!$A$1:$I$89,3,0)*0.475*44/12</f>
        <v>15.884733357936385</v>
      </c>
      <c r="BR126" s="21">
        <f>EXP(-LN(2)/2)*BR125+(1-EXP(-LN(2)/2))/(LN(2)/2)*BL126*BO126*VLOOKUP('Données projet'!$B$11,Paramètres!$A$1:$I$89,3,0)*0.475*44/12</f>
        <v>2.1459579979590818E-5</v>
      </c>
      <c r="BS126" s="22">
        <f t="shared" si="63"/>
        <v>38.502538006178995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-8.5265128291212022E-14</v>
      </c>
      <c r="BZ126" s="13">
        <f>BY126*VLOOKUP('Données projet'!$B$12,Paramètres!$A$1:$I$89,3,0)*VLOOKUP('Données projet'!$B$12,Paramètres!$A$1:$I$89,5,0)</f>
        <v>-6.9167072069831198E-14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159.4660488566085</v>
      </c>
      <c r="CE126" s="59">
        <f t="shared" si="94"/>
        <v>135.33030558297088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6.4803873600429194</v>
      </c>
      <c r="CM126" s="21">
        <f>EXP(-LN(2)/2)*CM125+(1-EXP(-LN(2)/2))/(LN(2)/2)*CG126*CJ126*VLOOKUP('Données projet'!$B$12,Paramètres!$A$1:$I$89,3,0)*0.475*44/12</f>
        <v>2.7022607884420676E-4</v>
      </c>
      <c r="CN126" s="22">
        <f t="shared" si="66"/>
        <v>6.4806575861217635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353.37479213497227</v>
      </c>
      <c r="CZ126" s="59">
        <f t="shared" si="96"/>
        <v>345.4750813433123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22.182825819649889</v>
      </c>
      <c r="DG126" s="21">
        <f>EXP(-LN(2)/25)*DG125+(1-EXP(-LN(2)/25))/(LN(2)/25)*Calculateur!DB126*Calculateur!DD126*VLOOKUP('Données projet'!$B$13,Paramètres!$A$1:$I$89,3,0)*0.475*44/12</f>
        <v>15.57925771643761</v>
      </c>
      <c r="DH126" s="21">
        <f>EXP(-LN(2)/2)*DH125+(1-EXP(-LN(2)/2))/(LN(2)/2)*DB126*DE126*VLOOKUP('Données projet'!$B$13,Paramètres!$A$1:$I$89,3,0)*0.475*44/12</f>
        <v>2.1046895749214069E-5</v>
      </c>
      <c r="DI126" s="22">
        <f t="shared" si="69"/>
        <v>37.762104582983248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8.9160000000000021</v>
      </c>
      <c r="DO126" s="12">
        <f>IF('Données projet'!$A$166&gt;35,DO125+DN126-DW125,IF(A126&lt;'Données projet'!$A$166,$DL$205^A126,IF(A126='Données projet'!$A$166,'Données projet'!$B$166,DO125+DN126-DW125)))</f>
        <v>442.9440000000007</v>
      </c>
      <c r="DP126" s="17">
        <f>DO126*VLOOKUP('Données projet'!$B$14,Paramètres!$A$1:$I$89,3,0)*VLOOKUP('Données projet'!$B$14,Paramètres!$A$1:$I$89,5,0)</f>
        <v>400.77573120000062</v>
      </c>
      <c r="DQ126" s="13">
        <f t="shared" si="97"/>
        <v>91.933915079444887</v>
      </c>
      <c r="DR126" s="20">
        <f t="shared" si="70"/>
        <v>858.13596727003414</v>
      </c>
      <c r="DS126" s="59">
        <f t="shared" si="71"/>
        <v>1151.4693006033674</v>
      </c>
      <c r="DT126" s="59">
        <f ca="1">AVERAGE(OFFSET($DS$3,0,0,'Données projet'!$E$14+1,1))-AVERAGE(OFFSET($H$3,0,0,'Données projet'!$E$14+1,1))</f>
        <v>635.71275911100679</v>
      </c>
      <c r="DU126" s="59">
        <f t="shared" si="98"/>
        <v>281.7776857269169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30.508820679779241</v>
      </c>
      <c r="EB126" s="21">
        <f>EXP(-LN(2)/25)*EB125+(1-EXP(-LN(2)/25))/(LN(2)/25)*Calculateur!DW126*Calculateur!DY126*VLOOKUP('Données projet'!$B$14,Paramètres!$A$1:$I$89,3,0)*0.475*44/12</f>
        <v>20.087545698767805</v>
      </c>
      <c r="EC126" s="21">
        <f>EXP(-LN(2)/2)*EC125+(1-EXP(-LN(2)/2))/(LN(2)/2)*DW126*DZ126*VLOOKUP('Données projet'!$B$14,Paramètres!$A$1:$I$89,3,0)*0.475*44/12</f>
        <v>0.24143795310486887</v>
      </c>
      <c r="ED126" s="22">
        <f t="shared" si="72"/>
        <v>50.837804331651917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8.9160000000000021</v>
      </c>
      <c r="EJ126" s="12">
        <f>IF('Données projet'!$A$192&gt;35,EJ125+EI126-ER125,IF(A126&lt;'Données projet'!$A$192,$EG$205^A126,IF(A126='Données projet'!$A$192,'Données projet'!$B$192,EJ125+EI126-ER125)))</f>
        <v>442.9440000000007</v>
      </c>
      <c r="EK126" s="17">
        <f>EJ126*VLOOKUP('Données projet'!$B$15,Paramètres!$A$1:$I$89,3,0)*VLOOKUP('Données projet'!$B$15,Paramètres!$A$1:$I$89,5,0)</f>
        <v>297.12683520000047</v>
      </c>
      <c r="EL126" s="13">
        <f t="shared" si="99"/>
        <v>70.573800838764654</v>
      </c>
      <c r="EM126" s="20">
        <f t="shared" si="73"/>
        <v>640.41194110084928</v>
      </c>
      <c r="EN126" s="59">
        <f t="shared" si="74"/>
        <v>933.74527443418265</v>
      </c>
      <c r="EO126" s="59">
        <f ca="1">AVERAGE(OFFSET($EN$3,0,0,'Données projet'!$E$15+1,1))-AVERAGE(OFFSET($H$3,0,0,'Données projet'!$E$15+1,1))</f>
        <v>482.99915419700773</v>
      </c>
      <c r="EP126" s="59">
        <f t="shared" si="100"/>
        <v>219.74157899604279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27.878749931522403</v>
      </c>
      <c r="EW126" s="21">
        <f>EXP(-LN(2)/25)*EW125+(1-EXP(-LN(2)/25))/(LN(2)/25)*Calculateur!ER126*Calculateur!ET126*VLOOKUP('Données projet'!$B$15,Paramètres!$A$1:$I$89,3,0)*0.475*44/12</f>
        <v>18.355860724736097</v>
      </c>
      <c r="EX126" s="21">
        <f>EXP(-LN(2)/2)*EX125+(1-EXP(-LN(2)/2))/(LN(2)/2)*ER126*EU126*VLOOKUP('Données projet'!$B$15,Paramètres!$A$1:$I$89,3,0)*0.475*44/12</f>
        <v>0.1789971031639544</v>
      </c>
      <c r="EY126" s="22">
        <f t="shared" si="75"/>
        <v>46.413607759422447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8.9160000000000021</v>
      </c>
      <c r="FE126" s="12">
        <f>IF('Données projet'!$A$218&gt;35,FE125+FD126-FM125,IF(A126&lt;'Données projet'!$A$218,$FB$205^A126,IF(A126='Données projet'!$A$218,'Données projet'!$B$218,FE125+FD126-FM125)))</f>
        <v>442.9440000000007</v>
      </c>
      <c r="FF126" s="17">
        <f>FE126*VLOOKUP('Données projet'!$B$16,Paramètres!$A$1:$I$89,3,0)*VLOOKUP('Données projet'!$B$16,Paramètres!$A$1:$I$89,5,0)</f>
        <v>421.50551040000067</v>
      </c>
      <c r="FG126" s="13">
        <f t="shared" si="101"/>
        <v>96.123200462904308</v>
      </c>
      <c r="FH126" s="20">
        <f t="shared" si="76"/>
        <v>901.53667141955941</v>
      </c>
      <c r="FI126" s="59">
        <f t="shared" si="77"/>
        <v>1194.8700047528928</v>
      </c>
      <c r="FJ126" s="59">
        <f ca="1">AVERAGE(OFFSET($FI$3,0,0,'Données projet'!$E$16+1,1))-AVERAGE(OFFSET($H$3,0,0,'Données projet'!$E$16+1,1))</f>
        <v>666.1523645983184</v>
      </c>
      <c r="FK126" s="59">
        <f t="shared" si="102"/>
        <v>294.13851344047526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32.086863128733341</v>
      </c>
      <c r="FR126" s="21">
        <f>EXP(-LN(2)/25)*FR125+(1-EXP(-LN(2)/25))/(LN(2)/25)*Calculateur!FM126*Calculateur!FO126*VLOOKUP('Données projet'!$B$16,Paramètres!$A$1:$I$89,3,0)*0.475*44/12</f>
        <v>21.126556683186827</v>
      </c>
      <c r="FS126" s="21">
        <f>EXP(-LN(2)/2)*FS125+(1-EXP(-LN(2)/2))/(LN(2)/2)*FM126*FP126*VLOOKUP('Données projet'!$B$16,Paramètres!$A$1:$I$89,3,0)*0.475*44/12</f>
        <v>0.25392612309305151</v>
      </c>
      <c r="FT126" s="22">
        <f t="shared" si="78"/>
        <v>53.467345935013221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328.55631138162721</v>
      </c>
      <c r="T127" s="59">
        <f t="shared" si="88"/>
        <v>321.81422611044985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16.260589266694186</v>
      </c>
      <c r="AA127" s="21">
        <f>EXP(-LN(2)/25)*AA126+(1-EXP(-LN(2)/25))/(LN(2)/25)*Calculateur!V127*Calculateur!X127*VLOOKUP('Données projet'!$B$9,Paramètres!$A$1:$I$89,3,0)*0.475*44/12</f>
        <v>11.32989355301557</v>
      </c>
      <c r="AB127" s="21">
        <f>EXP(-LN(2)/2)*AB126+(1-EXP(-LN(2)/2))/(LN(2)/2)*V127*Y127*VLOOKUP('Données projet'!$B$9,Paramètres!$A$1:$I$89,3,0)*0.475*44/12</f>
        <v>1.3715155436042965E-5</v>
      </c>
      <c r="AC127" s="22">
        <f t="shared" si="57"/>
        <v>27.590496534865192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353.37479213497227</v>
      </c>
      <c r="AO127" s="59">
        <f t="shared" si="90"/>
        <v>345.4750813433123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21.74783413551431</v>
      </c>
      <c r="AV127" s="21">
        <f>EXP(-LN(2)/25)*AV126+(1-EXP(-LN(2)/25))/(LN(2)/25)*Calculateur!AQ127*Calculateur!AS127*VLOOKUP('Données projet'!$B$10,Paramètres!$A$1:$I$89,3,0)*0.475*44/12</f>
        <v>15.153242094904067</v>
      </c>
      <c r="AW127" s="21">
        <f>EXP(-LN(2)/2)*AW126+(1-EXP(-LN(2)/2))/(LN(2)/2)*AQ127*AT127*VLOOKUP('Données projet'!$B$10,Paramètres!$A$1:$I$89,3,0)*0.475*44/12</f>
        <v>1.4882402707195591E-5</v>
      </c>
      <c r="AX127" s="21">
        <f t="shared" si="60"/>
        <v>36.901091112821085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359.57284550600366</v>
      </c>
      <c r="BJ127" s="59">
        <f t="shared" si="92"/>
        <v>351.38386928091433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22.174262255818512</v>
      </c>
      <c r="BQ127" s="21">
        <f>EXP(-LN(2)/25)*BQ126+(1-EXP(-LN(2)/25))/(LN(2)/25)*Calculateur!BL127*Calculateur!BN127*VLOOKUP('Données projet'!$B$11,Paramètres!$A$1:$I$89,3,0)*0.475*44/12</f>
        <v>15.450364488921792</v>
      </c>
      <c r="BR127" s="21">
        <f>EXP(-LN(2)/2)*BR126+(1-EXP(-LN(2)/2))/(LN(2)/2)*BL127*BO127*VLOOKUP('Données projet'!$B$11,Paramètres!$A$1:$I$89,3,0)*0.475*44/12</f>
        <v>1.5174214524983741E-5</v>
      </c>
      <c r="BS127" s="22">
        <f t="shared" si="63"/>
        <v>37.624641918954829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-8.5265128291212022E-14</v>
      </c>
      <c r="BZ127" s="13">
        <f>BY127*VLOOKUP('Données projet'!$B$12,Paramètres!$A$1:$I$89,3,0)*VLOOKUP('Données projet'!$B$12,Paramètres!$A$1:$I$89,5,0)</f>
        <v>-6.9167072069831198E-14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159.4660488566085</v>
      </c>
      <c r="CE127" s="59">
        <f t="shared" si="94"/>
        <v>135.33030558297088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6.3031808268937857</v>
      </c>
      <c r="CM127" s="21">
        <f>EXP(-LN(2)/2)*CM126+(1-EXP(-LN(2)/2))/(LN(2)/2)*CG127*CJ127*VLOOKUP('Données projet'!$B$12,Paramètres!$A$1:$I$89,3,0)*0.475*44/12</f>
        <v>1.9107869280418925E-4</v>
      </c>
      <c r="CN127" s="22">
        <f t="shared" si="66"/>
        <v>6.30337190558659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353.37479213497227</v>
      </c>
      <c r="CZ127" s="59">
        <f t="shared" si="96"/>
        <v>345.4750813433123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21.74783413551431</v>
      </c>
      <c r="DG127" s="21">
        <f>EXP(-LN(2)/25)*DG126+(1-EXP(-LN(2)/25))/(LN(2)/25)*Calculateur!DB127*Calculateur!DD127*VLOOKUP('Données projet'!$B$13,Paramètres!$A$1:$I$89,3,0)*0.475*44/12</f>
        <v>15.153242094904067</v>
      </c>
      <c r="DH127" s="21">
        <f>EXP(-LN(2)/2)*DH126+(1-EXP(-LN(2)/2))/(LN(2)/2)*DB127*DE127*VLOOKUP('Données projet'!$B$13,Paramètres!$A$1:$I$89,3,0)*0.475*44/12</f>
        <v>1.4882402707195591E-5</v>
      </c>
      <c r="DI127" s="22">
        <f t="shared" si="69"/>
        <v>36.901091112821085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>
        <f>VLOOKUP(A127,'Données projet'!$A$165:$I$185,2,0)</f>
        <v>451.86</v>
      </c>
      <c r="DM127" s="12">
        <f>VLOOKUP(A127,'Données projet'!$A$165:$I$185,9,0)</f>
        <v>8.9160000000000021</v>
      </c>
      <c r="DN127" s="12">
        <f t="array" ref="DN127">INDEX(DM:DM,MIN(IF(ISNUMBER(DM127:DM323),ROW(DM127:DM323),"")))</f>
        <v>8.9160000000000021</v>
      </c>
      <c r="DO127" s="12">
        <f>IF('Données projet'!$A$166&gt;35,DO126+DN127-DW126,IF(A127&lt;'Données projet'!$A$166,$DL$205^A127,IF(A127='Données projet'!$A$166,'Données projet'!$B$166,DO126+DN127-DW126)))</f>
        <v>451.8600000000007</v>
      </c>
      <c r="DP127" s="17">
        <f>DO127*VLOOKUP('Données projet'!$B$14,Paramètres!$A$1:$I$89,3,0)*VLOOKUP('Données projet'!$B$14,Paramètres!$A$1:$I$89,5,0)</f>
        <v>408.84292800000065</v>
      </c>
      <c r="DQ127" s="13">
        <f t="shared" si="97"/>
        <v>93.567145264891295</v>
      </c>
      <c r="DR127" s="20">
        <f t="shared" si="70"/>
        <v>875.03087760302014</v>
      </c>
      <c r="DS127" s="59">
        <f t="shared" si="71"/>
        <v>1168.3642109363534</v>
      </c>
      <c r="DT127" s="59">
        <f ca="1">AVERAGE(OFFSET($DS$3,0,0,'Données projet'!$E$14+1,1))-AVERAGE(OFFSET($H$3,0,0,'Données projet'!$E$14+1,1))</f>
        <v>635.71275911100679</v>
      </c>
      <c r="DU127" s="59">
        <f t="shared" si="98"/>
        <v>281.7776857269169</v>
      </c>
      <c r="DV127" s="15">
        <f>IF(ISNA(VLOOKUP(A127,'Données projet'!$A$165:$I$185,3,0)),0,VLOOKUP(A127,'Données projet'!$A$165:$I$185,3,0))</f>
        <v>10</v>
      </c>
      <c r="DW127" s="15">
        <f>IF(ISNA(VLOOKUP(A127,'Données projet'!$A$165:$I$185,4,0)),0,VLOOKUP(A127,'Données projet'!$A$165:$I$185,4,0))</f>
        <v>57.81</v>
      </c>
      <c r="DX127" s="16">
        <f>IF(ISNA(VLOOKUP(A127,'Données projet'!$A$165:$I$185,5,0)),0%,VLOOKUP(A127,'Données projet'!$A$165:$I$185,5,0)*VLOOKUP('Données projet'!$B$14,Paramètres!$A$1:$I$89,7,0))</f>
        <v>0.15049999999999999</v>
      </c>
      <c r="DY127" s="16">
        <f>IF(ISNA(VLOOKUP(A127,'Données projet'!$A$165:$I$185,6,0)),0%,VLOOKUP(A127,'Données projet'!$A$165:$I$185,6,0)*VLOOKUP('Données projet'!$B$14,Paramètres!$A$1:$I$89,7,0))</f>
        <v>8.6000000000000007E-2</v>
      </c>
      <c r="DZ127" s="16">
        <f>IF(ISNA(VLOOKUP(A127,'Données projet'!$A$165:$I$185,7,0)),0%,VLOOKUP(A127,'Données projet'!$A$165:$I$185,7,0))</f>
        <v>0.1</v>
      </c>
      <c r="EA127" s="21">
        <f>EXP(-LN(2)/35)*EA126+(1-EXP(-LN(2)/35))/(LN(2)/35)*DW127*DX127*VLOOKUP('Données projet'!$B$14,Paramètres!$A$1:$I$89,3,0)*0.475*44/12</f>
        <v>38.612963922572</v>
      </c>
      <c r="EB127" s="21">
        <f>EXP(-LN(2)/25)*EB126+(1-EXP(-LN(2)/25))/(LN(2)/25)*Calculateur!DW127*Calculateur!DY127*VLOOKUP('Données projet'!$B$14,Paramètres!$A$1:$I$89,3,0)*0.475*44/12</f>
        <v>24.491472381184234</v>
      </c>
      <c r="EC127" s="21">
        <f>EXP(-LN(2)/2)*EC126+(1-EXP(-LN(2)/2))/(LN(2)/2)*DW127*DZ127*VLOOKUP('Données projet'!$B$14,Paramètres!$A$1:$I$89,3,0)*0.475*44/12</f>
        <v>5.1059803375246293</v>
      </c>
      <c r="ED127" s="22">
        <f t="shared" si="72"/>
        <v>68.210416641280858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>
        <f>VLOOKUP(A127,'Données projet'!$A$191:$I$211,2,0)</f>
        <v>451.86</v>
      </c>
      <c r="EH127" s="12">
        <f>VLOOKUP(A127,'Données projet'!$A$191:$I$211,9,0)</f>
        <v>8.9160000000000021</v>
      </c>
      <c r="EI127" s="12">
        <f t="array" ref="EI127">INDEX(EH:EH,MIN(IF(ISNUMBER(EH127:EH323),ROW(EH127:EH323),"")))</f>
        <v>8.9160000000000021</v>
      </c>
      <c r="EJ127" s="12">
        <f>IF('Données projet'!$A$192&gt;35,EJ126+EI127-ER126,IF(A127&lt;'Données projet'!$A$192,$EG$205^A127,IF(A127='Données projet'!$A$192,'Données projet'!$B$192,EJ126+EI127-ER126)))</f>
        <v>451.8600000000007</v>
      </c>
      <c r="EK127" s="17">
        <f>EJ127*VLOOKUP('Données projet'!$B$15,Paramètres!$A$1:$I$89,3,0)*VLOOKUP('Données projet'!$B$15,Paramètres!$A$1:$I$89,5,0)</f>
        <v>303.10768800000045</v>
      </c>
      <c r="EL127" s="13">
        <f t="shared" si="99"/>
        <v>71.827562975751292</v>
      </c>
      <c r="EM127" s="20">
        <f t="shared" si="73"/>
        <v>653.01222878276758</v>
      </c>
      <c r="EN127" s="59">
        <f t="shared" si="74"/>
        <v>946.34556211610084</v>
      </c>
      <c r="EO127" s="59">
        <f ca="1">AVERAGE(OFFSET($EN$3,0,0,'Données projet'!$E$15+1,1))-AVERAGE(OFFSET($H$3,0,0,'Données projet'!$E$15+1,1))</f>
        <v>482.99915419700773</v>
      </c>
      <c r="EP127" s="59">
        <f t="shared" si="100"/>
        <v>219.74157899604279</v>
      </c>
      <c r="EQ127" s="15">
        <f>IF(ISNA(VLOOKUP(A127,'Données projet'!$A$191:$I$211,3,0)),0,VLOOKUP(A127,'Données projet'!$A$191:$I$211,3,0))</f>
        <v>10</v>
      </c>
      <c r="ER127" s="15">
        <f>IF(ISNA(VLOOKUP(A127,'Données projet'!$A$191:$I$211,4,0)),0,VLOOKUP(A127,'Données projet'!$A$191:$I$211,4,0))</f>
        <v>57.81</v>
      </c>
      <c r="ES127" s="16">
        <f>IF(ISNA(VLOOKUP(A127,'Données projet'!$A$191:$I$211,5,0)),0%,VLOOKUP(A127,'Données projet'!$A$191:$I$211,5,0)*VLOOKUP('Données projet'!$B$15,Paramètres!$A$1:$I$89,7,0))</f>
        <v>0.1855</v>
      </c>
      <c r="ET127" s="16">
        <f>IF(ISNA(VLOOKUP(A127,'Données projet'!$A$191:$I$211,6,0)),0%,VLOOKUP(A127,'Données projet'!$A$191:$I$211,6,0)*VLOOKUP('Données projet'!$B$15,Paramètres!$A$1:$I$89,7,0))</f>
        <v>0.10600000000000001</v>
      </c>
      <c r="EU127" s="16">
        <f>IF(ISNA(VLOOKUP(A127,'Données projet'!$A$191:$I$211,7,0)),0%,VLOOKUP(A127,'Données projet'!$A$191:$I$211,7,0))</f>
        <v>0.1</v>
      </c>
      <c r="EV127" s="21">
        <f>EXP(-LN(2)/35)*EV126+(1-EXP(-LN(2)/35))/(LN(2)/35)*ER127*ES127*VLOOKUP('Données projet'!$B$15,Paramètres!$A$1:$I$89,3,0)*0.475*44/12</f>
        <v>35.284260136143374</v>
      </c>
      <c r="EW127" s="21">
        <f>EXP(-LN(2)/25)*EW126+(1-EXP(-LN(2)/25))/(LN(2)/25)*Calculateur!ER127*Calculateur!ET127*VLOOKUP('Données projet'!$B$15,Paramètres!$A$1:$I$89,3,0)*0.475*44/12</f>
        <v>22.380138555220078</v>
      </c>
      <c r="EX127" s="21">
        <f>EXP(-LN(2)/2)*EX126+(1-EXP(-LN(2)/2))/(LN(2)/2)*ER127*EU127*VLOOKUP('Données projet'!$B$15,Paramètres!$A$1:$I$89,3,0)*0.475*44/12</f>
        <v>3.7854681812682593</v>
      </c>
      <c r="EY127" s="22">
        <f t="shared" si="75"/>
        <v>61.449866872631709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>
        <f>VLOOKUP(A127,'Données projet'!$A$217:$I$237,2,0)</f>
        <v>451.86</v>
      </c>
      <c r="FC127" s="12">
        <f>VLOOKUP(A127,'Données projet'!$A$217:$I$237,9,0)</f>
        <v>8.9160000000000021</v>
      </c>
      <c r="FD127" s="12">
        <f t="array" ref="FD127">INDEX(FC:FC,MIN(IF(ISNUMBER(FC127:FC323),ROW(FC127:FC323),"")))</f>
        <v>8.9160000000000021</v>
      </c>
      <c r="FE127" s="12">
        <f>IF('Données projet'!$A$218&gt;35,FE126+FD127-FM126,IF(A127&lt;'Données projet'!$A$218,$FB$205^A127,IF(A127='Données projet'!$A$218,'Données projet'!$B$218,FE126+FD127-FM126)))</f>
        <v>451.8600000000007</v>
      </c>
      <c r="FF127" s="17">
        <f>FE127*VLOOKUP('Données projet'!$B$16,Paramètres!$A$1:$I$89,3,0)*VLOOKUP('Données projet'!$B$16,Paramètres!$A$1:$I$89,5,0)</f>
        <v>429.98997600000069</v>
      </c>
      <c r="FG127" s="13">
        <f t="shared" si="101"/>
        <v>97.830854405217835</v>
      </c>
      <c r="FH127" s="20">
        <f t="shared" si="76"/>
        <v>919.28794628908884</v>
      </c>
      <c r="FI127" s="59">
        <f t="shared" si="77"/>
        <v>1212.6212796224222</v>
      </c>
      <c r="FJ127" s="59">
        <f ca="1">AVERAGE(OFFSET($FI$3,0,0,'Données projet'!$E$16+1,1))-AVERAGE(OFFSET($H$3,0,0,'Données projet'!$E$16+1,1))</f>
        <v>666.1523645983184</v>
      </c>
      <c r="FK127" s="59">
        <f t="shared" si="102"/>
        <v>294.13851344047526</v>
      </c>
      <c r="FL127" s="15">
        <f>IF(ISNA(VLOOKUP(A127,'Données projet'!$A$217:$I$237,3,0)),0,VLOOKUP(A127,'Données projet'!$A$217:$I$237,3,0))</f>
        <v>10</v>
      </c>
      <c r="FM127" s="15">
        <f>IF(ISNA(VLOOKUP(A127,'Données projet'!$A$217:$I$237,4,0)),0,VLOOKUP(A127,'Données projet'!$A$217:$I$237,4,0))</f>
        <v>57.81</v>
      </c>
      <c r="FN127" s="16">
        <f>IF(ISNA(VLOOKUP(A127,'Données projet'!$A$217:$I$237,5,0)),0%,VLOOKUP(A127,'Données projet'!$A$217:$I$237,5,0)*VLOOKUP('Données projet'!$B$16,Paramètres!$A$1:$I$89,7,0))</f>
        <v>0.15049999999999999</v>
      </c>
      <c r="FO127" s="16">
        <f>IF(ISNA(VLOOKUP(A127,'Données projet'!$A$217:$I$237,6,0)),0%,VLOOKUP(A127,'Données projet'!$A$217:$I$237,6,0)*VLOOKUP('Données projet'!$B$16,Paramètres!$A$1:$I$89,7,0))</f>
        <v>8.6000000000000007E-2</v>
      </c>
      <c r="FP127" s="16">
        <f>IF(ISNA(VLOOKUP(A127,'Données projet'!$A$217:$I$237,7,0)),0%,VLOOKUP(A127,'Données projet'!$A$217:$I$237,7,0))</f>
        <v>0.1</v>
      </c>
      <c r="FQ127" s="21">
        <f>EXP(-LN(2)/35)*FQ126+(1-EXP(-LN(2)/35))/(LN(2)/35)*FM127*FN127*VLOOKUP('Données projet'!$B$16,Paramètres!$A$1:$I$89,3,0)*0.475*44/12</f>
        <v>40.610186194429176</v>
      </c>
      <c r="FR127" s="21">
        <f>EXP(-LN(2)/25)*FR126+(1-EXP(-LN(2)/25))/(LN(2)/25)*Calculateur!FM127*Calculateur!FO127*VLOOKUP('Données projet'!$B$16,Paramètres!$A$1:$I$89,3,0)*0.475*44/12</f>
        <v>25.758272676762729</v>
      </c>
      <c r="FS127" s="21">
        <f>EXP(-LN(2)/2)*FS126+(1-EXP(-LN(2)/2))/(LN(2)/2)*FM127*FP127*VLOOKUP('Données projet'!$B$16,Paramètres!$A$1:$I$89,3,0)*0.475*44/12</f>
        <v>5.3700827687759034</v>
      </c>
      <c r="FT127" s="22">
        <f t="shared" si="78"/>
        <v>71.738541639967806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328.55631138162721</v>
      </c>
      <c r="T128" s="59">
        <f t="shared" si="88"/>
        <v>321.81422611044985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15.941729029154446</v>
      </c>
      <c r="AA128" s="21">
        <f>EXP(-LN(2)/25)*AA127+(1-EXP(-LN(2)/25))/(LN(2)/25)*Calculateur!V128*Calculateur!X128*VLOOKUP('Données projet'!$B$9,Paramètres!$A$1:$I$89,3,0)*0.475*44/12</f>
        <v>11.020077017995151</v>
      </c>
      <c r="AB128" s="21">
        <f>EXP(-LN(2)/2)*AB127+(1-EXP(-LN(2)/2))/(LN(2)/2)*V128*Y128*VLOOKUP('Données projet'!$B$9,Paramètres!$A$1:$I$89,3,0)*0.475*44/12</f>
        <v>9.6980794138535205E-6</v>
      </c>
      <c r="AC128" s="22">
        <f t="shared" si="57"/>
        <v>26.961815745229011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353.37479213497227</v>
      </c>
      <c r="AO128" s="59">
        <f t="shared" si="90"/>
        <v>345.4750813433123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21.321372372985898</v>
      </c>
      <c r="AV128" s="21">
        <f>EXP(-LN(2)/25)*AV127+(1-EXP(-LN(2)/25))/(LN(2)/25)*Calculateur!AQ128*Calculateur!AS128*VLOOKUP('Données projet'!$B$10,Paramètres!$A$1:$I$89,3,0)*0.475*44/12</f>
        <v>14.738875892944547</v>
      </c>
      <c r="AW128" s="21">
        <f>EXP(-LN(2)/2)*AW127+(1-EXP(-LN(2)/2))/(LN(2)/2)*AQ128*AT128*VLOOKUP('Données projet'!$B$10,Paramètres!$A$1:$I$89,3,0)*0.475*44/12</f>
        <v>1.0523447874607036E-5</v>
      </c>
      <c r="AX128" s="21">
        <f t="shared" si="60"/>
        <v>36.060258789378324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359.57284550600366</v>
      </c>
      <c r="BJ128" s="59">
        <f t="shared" si="92"/>
        <v>351.38386928091433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21.739438497946409</v>
      </c>
      <c r="BQ128" s="21">
        <f>EXP(-LN(2)/25)*BQ127+(1-EXP(-LN(2)/25))/(LN(2)/25)*Calculateur!BL128*Calculateur!BN128*VLOOKUP('Données projet'!$B$11,Paramètres!$A$1:$I$89,3,0)*0.475*44/12</f>
        <v>15.02787345947287</v>
      </c>
      <c r="BR128" s="21">
        <f>EXP(-LN(2)/2)*BR127+(1-EXP(-LN(2)/2))/(LN(2)/2)*BL128*BO128*VLOOKUP('Données projet'!$B$11,Paramètres!$A$1:$I$89,3,0)*0.475*44/12</f>
        <v>1.0729789989795411E-5</v>
      </c>
      <c r="BS128" s="22">
        <f t="shared" si="63"/>
        <v>36.767322687209273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-8.5265128291212022E-14</v>
      </c>
      <c r="BZ128" s="13">
        <f>BY128*VLOOKUP('Données projet'!$B$12,Paramètres!$A$1:$I$89,3,0)*VLOOKUP('Données projet'!$B$12,Paramètres!$A$1:$I$89,5,0)</f>
        <v>-6.9167072069831198E-14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159.4660488566085</v>
      </c>
      <c r="CE128" s="59">
        <f t="shared" si="94"/>
        <v>135.33030558297088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6.1308200157125015</v>
      </c>
      <c r="CM128" s="21">
        <f>EXP(-LN(2)/2)*CM127+(1-EXP(-LN(2)/2))/(LN(2)/2)*CG128*CJ128*VLOOKUP('Données projet'!$B$12,Paramètres!$A$1:$I$89,3,0)*0.475*44/12</f>
        <v>1.3511303942210338E-4</v>
      </c>
      <c r="CN128" s="22">
        <f t="shared" si="66"/>
        <v>6.1309551287519239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353.37479213497227</v>
      </c>
      <c r="CZ128" s="59">
        <f t="shared" si="96"/>
        <v>345.4750813433123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21.321372372985898</v>
      </c>
      <c r="DG128" s="21">
        <f>EXP(-LN(2)/25)*DG127+(1-EXP(-LN(2)/25))/(LN(2)/25)*Calculateur!DB128*Calculateur!DD128*VLOOKUP('Données projet'!$B$13,Paramètres!$A$1:$I$89,3,0)*0.475*44/12</f>
        <v>14.738875892944547</v>
      </c>
      <c r="DH128" s="21">
        <f>EXP(-LN(2)/2)*DH127+(1-EXP(-LN(2)/2))/(LN(2)/2)*DB128*DE128*VLOOKUP('Données projet'!$B$13,Paramètres!$A$1:$I$89,3,0)*0.475*44/12</f>
        <v>1.0523447874607036E-5</v>
      </c>
      <c r="DI128" s="22">
        <f t="shared" si="69"/>
        <v>36.060258789378324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9.0229999999999961</v>
      </c>
      <c r="DO128" s="12">
        <f>IF('Données projet'!$A$166&gt;35,DO127+DN128-DW127,IF(A128&lt;'Données projet'!$A$166,$DL$205^A128,IF(A128='Données projet'!$A$166,'Données projet'!$B$166,DO127+DN128-DW127)))</f>
        <v>403.07300000000072</v>
      </c>
      <c r="DP128" s="17">
        <f>DO128*VLOOKUP('Données projet'!$B$14,Paramètres!$A$1:$I$89,3,0)*VLOOKUP('Données projet'!$B$14,Paramètres!$A$1:$I$89,5,0)</f>
        <v>364.70045040000065</v>
      </c>
      <c r="DQ128" s="13">
        <f t="shared" si="97"/>
        <v>84.582200429685614</v>
      </c>
      <c r="DR128" s="20">
        <f t="shared" si="70"/>
        <v>782.50061686170341</v>
      </c>
      <c r="DS128" s="59">
        <f t="shared" si="71"/>
        <v>1075.8339501950368</v>
      </c>
      <c r="DT128" s="59">
        <f ca="1">AVERAGE(OFFSET($DS$3,0,0,'Données projet'!$E$14+1,1))-AVERAGE(OFFSET($H$3,0,0,'Données projet'!$E$14+1,1))</f>
        <v>635.71275911100679</v>
      </c>
      <c r="DU128" s="59">
        <f t="shared" si="98"/>
        <v>281.7776857269169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37.855787251632833</v>
      </c>
      <c r="EB128" s="21">
        <f>EXP(-LN(2)/25)*EB127+(1-EXP(-LN(2)/25))/(LN(2)/25)*Calculateur!DW128*Calculateur!DY128*VLOOKUP('Données projet'!$B$14,Paramètres!$A$1:$I$89,3,0)*0.475*44/12</f>
        <v>23.821751780970196</v>
      </c>
      <c r="EC128" s="21">
        <f>EXP(-LN(2)/2)*EC127+(1-EXP(-LN(2)/2))/(LN(2)/2)*DW128*DZ128*VLOOKUP('Données projet'!$B$14,Paramètres!$A$1:$I$89,3,0)*0.475*44/12</f>
        <v>3.6104733212688425</v>
      </c>
      <c r="ED128" s="22">
        <f t="shared" si="72"/>
        <v>65.288012353871878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9.0229999999999961</v>
      </c>
      <c r="EJ128" s="12">
        <f>IF('Données projet'!$A$192&gt;35,EJ127+EI128-ER127,IF(A128&lt;'Données projet'!$A$192,$EG$205^A128,IF(A128='Données projet'!$A$192,'Données projet'!$B$192,EJ127+EI128-ER127)))</f>
        <v>403.07300000000072</v>
      </c>
      <c r="EK128" s="17">
        <f>EJ128*VLOOKUP('Données projet'!$B$15,Paramètres!$A$1:$I$89,3,0)*VLOOKUP('Données projet'!$B$15,Paramètres!$A$1:$I$89,5,0)</f>
        <v>270.38136840000044</v>
      </c>
      <c r="EL128" s="13">
        <f t="shared" si="99"/>
        <v>64.930198637474902</v>
      </c>
      <c r="EM128" s="20">
        <f t="shared" si="73"/>
        <v>584.00097925693615</v>
      </c>
      <c r="EN128" s="59">
        <f t="shared" si="74"/>
        <v>877.33431259026952</v>
      </c>
      <c r="EO128" s="59">
        <f ca="1">AVERAGE(OFFSET($EN$3,0,0,'Données projet'!$E$15+1,1))-AVERAGE(OFFSET($H$3,0,0,'Données projet'!$E$15+1,1))</f>
        <v>482.99915419700773</v>
      </c>
      <c r="EP128" s="59">
        <f t="shared" si="100"/>
        <v>219.74157899604279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34.592357316147236</v>
      </c>
      <c r="EW128" s="21">
        <f>EXP(-LN(2)/25)*EW127+(1-EXP(-LN(2)/25))/(LN(2)/25)*Calculateur!ER128*Calculateur!ET128*VLOOKUP('Données projet'!$B$15,Paramètres!$A$1:$I$89,3,0)*0.475*44/12</f>
        <v>21.768152489507248</v>
      </c>
      <c r="EX128" s="21">
        <f>EXP(-LN(2)/2)*EX127+(1-EXP(-LN(2)/2))/(LN(2)/2)*ER128*EU128*VLOOKUP('Données projet'!$B$15,Paramètres!$A$1:$I$89,3,0)*0.475*44/12</f>
        <v>2.6767302209406933</v>
      </c>
      <c r="EY128" s="22">
        <f t="shared" si="75"/>
        <v>59.037240026595178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9.0229999999999961</v>
      </c>
      <c r="FE128" s="12">
        <f>IF('Données projet'!$A$218&gt;35,FE127+FD128-FM127,IF(A128&lt;'Données projet'!$A$218,$FB$205^A128,IF(A128='Données projet'!$A$218,'Données projet'!$B$218,FE127+FD128-FM127)))</f>
        <v>403.07300000000072</v>
      </c>
      <c r="FF128" s="17">
        <f>FE128*VLOOKUP('Données projet'!$B$16,Paramètres!$A$1:$I$89,3,0)*VLOOKUP('Données projet'!$B$16,Paramètres!$A$1:$I$89,5,0)</f>
        <v>383.56426680000067</v>
      </c>
      <c r="FG128" s="13">
        <f t="shared" si="101"/>
        <v>88.436479622024081</v>
      </c>
      <c r="FH128" s="20">
        <f t="shared" si="76"/>
        <v>822.06796668502648</v>
      </c>
      <c r="FI128" s="59">
        <f t="shared" si="77"/>
        <v>1115.4013000183597</v>
      </c>
      <c r="FJ128" s="59">
        <f ca="1">AVERAGE(OFFSET($FI$3,0,0,'Données projet'!$E$16+1,1))-AVERAGE(OFFSET($H$3,0,0,'Données projet'!$E$16+1,1))</f>
        <v>666.1523645983184</v>
      </c>
      <c r="FK128" s="59">
        <f t="shared" si="102"/>
        <v>294.13851344047526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39.813845212924186</v>
      </c>
      <c r="FR128" s="21">
        <f>EXP(-LN(2)/25)*FR127+(1-EXP(-LN(2)/25))/(LN(2)/25)*Calculateur!FM128*Calculateur!FO128*VLOOKUP('Données projet'!$B$16,Paramètres!$A$1:$I$89,3,0)*0.475*44/12</f>
        <v>25.053911355847962</v>
      </c>
      <c r="FS128" s="21">
        <f>EXP(-LN(2)/2)*FS127+(1-EXP(-LN(2)/2))/(LN(2)/2)*FM128*FP128*VLOOKUP('Données projet'!$B$16,Paramètres!$A$1:$I$89,3,0)*0.475*44/12</f>
        <v>3.7972219413344721</v>
      </c>
      <c r="FT128" s="22">
        <f t="shared" si="78"/>
        <v>68.664978510106621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328.55631138162721</v>
      </c>
      <c r="T129" s="59">
        <f t="shared" si="88"/>
        <v>321.81422611044985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15.62912144638732</v>
      </c>
      <c r="AA129" s="21">
        <f>EXP(-LN(2)/25)*AA128+(1-EXP(-LN(2)/25))/(LN(2)/25)*Calculateur!V129*Calculateur!X129*VLOOKUP('Données projet'!$B$9,Paramètres!$A$1:$I$89,3,0)*0.475*44/12</f>
        <v>10.71873243241741</v>
      </c>
      <c r="AB129" s="21">
        <f>EXP(-LN(2)/2)*AB128+(1-EXP(-LN(2)/2))/(LN(2)/2)*V129*Y129*VLOOKUP('Données projet'!$B$9,Paramètres!$A$1:$I$89,3,0)*0.475*44/12</f>
        <v>6.8575777180214825E-6</v>
      </c>
      <c r="AC129" s="22">
        <f t="shared" si="57"/>
        <v>26.347860736382444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353.37479213497227</v>
      </c>
      <c r="AO129" s="59">
        <f t="shared" si="90"/>
        <v>345.4750813433123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20.90327326550468</v>
      </c>
      <c r="AV129" s="21">
        <f>EXP(-LN(2)/25)*AV128+(1-EXP(-LN(2)/25))/(LN(2)/25)*Calculateur!AQ129*Calculateur!AS129*VLOOKUP('Données projet'!$B$10,Paramètres!$A$1:$I$89,3,0)*0.475*44/12</f>
        <v>14.335840556568181</v>
      </c>
      <c r="AW129" s="21">
        <f>EXP(-LN(2)/2)*AW128+(1-EXP(-LN(2)/2))/(LN(2)/2)*AQ129*AT129*VLOOKUP('Données projet'!$B$10,Paramètres!$A$1:$I$89,3,0)*0.475*44/12</f>
        <v>7.4412013535977962E-6</v>
      </c>
      <c r="AX129" s="21">
        <f t="shared" si="60"/>
        <v>35.239121263274214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359.57284550600366</v>
      </c>
      <c r="BJ129" s="59">
        <f t="shared" si="92"/>
        <v>351.38386928091433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21.313141368749871</v>
      </c>
      <c r="BQ129" s="21">
        <f>EXP(-LN(2)/25)*BQ128+(1-EXP(-LN(2)/25))/(LN(2)/25)*Calculateur!BL129*Calculateur!BN129*VLOOKUP('Données projet'!$B$11,Paramètres!$A$1:$I$89,3,0)*0.475*44/12</f>
        <v>14.616935469442065</v>
      </c>
      <c r="BR129" s="21">
        <f>EXP(-LN(2)/2)*BR128+(1-EXP(-LN(2)/2))/(LN(2)/2)*BL129*BO129*VLOOKUP('Données projet'!$B$11,Paramètres!$A$1:$I$89,3,0)*0.475*44/12</f>
        <v>7.5871072624918721E-6</v>
      </c>
      <c r="BS129" s="22">
        <f t="shared" si="63"/>
        <v>35.930084425299199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-8.5265128291212022E-14</v>
      </c>
      <c r="BZ129" s="13">
        <f>BY129*VLOOKUP('Données projet'!$B$12,Paramètres!$A$1:$I$89,3,0)*VLOOKUP('Données projet'!$B$12,Paramètres!$A$1:$I$89,5,0)</f>
        <v>-6.9167072069831198E-14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159.4660488566085</v>
      </c>
      <c r="CE129" s="59">
        <f t="shared" si="94"/>
        <v>135.33030558297088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5.9631724199770311</v>
      </c>
      <c r="CM129" s="21">
        <f>EXP(-LN(2)/2)*CM128+(1-EXP(-LN(2)/2))/(LN(2)/2)*CG129*CJ129*VLOOKUP('Données projet'!$B$12,Paramètres!$A$1:$I$89,3,0)*0.475*44/12</f>
        <v>9.5539346402094625E-5</v>
      </c>
      <c r="CN129" s="22">
        <f t="shared" si="66"/>
        <v>5.9632679593234332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353.37479213497227</v>
      </c>
      <c r="CZ129" s="59">
        <f t="shared" si="96"/>
        <v>345.4750813433123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20.90327326550468</v>
      </c>
      <c r="DG129" s="21">
        <f>EXP(-LN(2)/25)*DG128+(1-EXP(-LN(2)/25))/(LN(2)/25)*Calculateur!DB129*Calculateur!DD129*VLOOKUP('Données projet'!$B$13,Paramètres!$A$1:$I$89,3,0)*0.475*44/12</f>
        <v>14.335840556568181</v>
      </c>
      <c r="DH129" s="21">
        <f>EXP(-LN(2)/2)*DH128+(1-EXP(-LN(2)/2))/(LN(2)/2)*DB129*DE129*VLOOKUP('Données projet'!$B$13,Paramètres!$A$1:$I$89,3,0)*0.475*44/12</f>
        <v>7.4412013535977962E-6</v>
      </c>
      <c r="DI129" s="22">
        <f t="shared" si="69"/>
        <v>35.239121263274214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9.0229999999999961</v>
      </c>
      <c r="DO129" s="12">
        <f>IF('Données projet'!$A$166&gt;35,DO128+DN129-DW128,IF(A129&lt;'Données projet'!$A$166,$DL$205^A129,IF(A129='Données projet'!$A$166,'Données projet'!$B$166,DO128+DN129-DW128)))</f>
        <v>412.09600000000069</v>
      </c>
      <c r="DP129" s="17">
        <f>DO129*VLOOKUP('Données projet'!$B$14,Paramètres!$A$1:$I$89,3,0)*VLOOKUP('Données projet'!$B$14,Paramètres!$A$1:$I$89,5,0)</f>
        <v>372.86446080000059</v>
      </c>
      <c r="DQ129" s="13">
        <f t="shared" si="97"/>
        <v>86.253061792690659</v>
      </c>
      <c r="DR129" s="20">
        <f t="shared" si="70"/>
        <v>799.62968518227046</v>
      </c>
      <c r="DS129" s="59">
        <f t="shared" si="71"/>
        <v>1092.9630185156038</v>
      </c>
      <c r="DT129" s="59">
        <f ca="1">AVERAGE(OFFSET($DS$3,0,0,'Données projet'!$E$14+1,1))-AVERAGE(OFFSET($H$3,0,0,'Données projet'!$E$14+1,1))</f>
        <v>635.71275911100679</v>
      </c>
      <c r="DU129" s="59">
        <f t="shared" si="98"/>
        <v>281.7776857269169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37.113458353378611</v>
      </c>
      <c r="EB129" s="21">
        <f>EXP(-LN(2)/25)*EB128+(1-EXP(-LN(2)/25))/(LN(2)/25)*Calculateur!DW129*Calculateur!DY129*VLOOKUP('Données projet'!$B$14,Paramètres!$A$1:$I$89,3,0)*0.475*44/12</f>
        <v>23.170344725788084</v>
      </c>
      <c r="EC129" s="21">
        <f>EXP(-LN(2)/2)*EC128+(1-EXP(-LN(2)/2))/(LN(2)/2)*DW129*DZ129*VLOOKUP('Données projet'!$B$14,Paramètres!$A$1:$I$89,3,0)*0.475*44/12</f>
        <v>2.5529901687623151</v>
      </c>
      <c r="ED129" s="22">
        <f t="shared" si="72"/>
        <v>62.836793247929009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9.0229999999999961</v>
      </c>
      <c r="EJ129" s="12">
        <f>IF('Données projet'!$A$192&gt;35,EJ128+EI129-ER128,IF(A129&lt;'Données projet'!$A$192,$EG$205^A129,IF(A129='Données projet'!$A$192,'Données projet'!$B$192,EJ128+EI129-ER128)))</f>
        <v>412.09600000000069</v>
      </c>
      <c r="EK129" s="17">
        <f>EJ129*VLOOKUP('Données projet'!$B$15,Paramètres!$A$1:$I$89,3,0)*VLOOKUP('Données projet'!$B$15,Paramètres!$A$1:$I$89,5,0)</f>
        <v>276.43399680000044</v>
      </c>
      <c r="EL129" s="13">
        <f t="shared" si="99"/>
        <v>66.212848647104224</v>
      </c>
      <c r="EM129" s="20">
        <f t="shared" si="73"/>
        <v>596.77658915370728</v>
      </c>
      <c r="EN129" s="59">
        <f t="shared" si="74"/>
        <v>890.10992248704065</v>
      </c>
      <c r="EO129" s="59">
        <f ca="1">AVERAGE(OFFSET($EN$3,0,0,'Données projet'!$E$15+1,1))-AVERAGE(OFFSET($H$3,0,0,'Données projet'!$E$15+1,1))</f>
        <v>482.99915419700773</v>
      </c>
      <c r="EP129" s="59">
        <f t="shared" si="100"/>
        <v>219.74157899604279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33.914022288432172</v>
      </c>
      <c r="EW129" s="21">
        <f>EXP(-LN(2)/25)*EW128+(1-EXP(-LN(2)/25))/(LN(2)/25)*Calculateur!ER129*Calculateur!ET129*VLOOKUP('Données projet'!$B$15,Paramètres!$A$1:$I$89,3,0)*0.475*44/12</f>
        <v>21.172901214944286</v>
      </c>
      <c r="EX129" s="21">
        <f>EXP(-LN(2)/2)*EX128+(1-EXP(-LN(2)/2))/(LN(2)/2)*ER129*EU129*VLOOKUP('Données projet'!$B$15,Paramètres!$A$1:$I$89,3,0)*0.475*44/12</f>
        <v>1.8927340906341299</v>
      </c>
      <c r="EY129" s="22">
        <f t="shared" si="75"/>
        <v>56.979657594010582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9.0229999999999961</v>
      </c>
      <c r="FE129" s="12">
        <f>IF('Données projet'!$A$218&gt;35,FE128+FD129-FM128,IF(A129&lt;'Données projet'!$A$218,$FB$205^A129,IF(A129='Données projet'!$A$218,'Données projet'!$B$218,FE128+FD129-FM128)))</f>
        <v>412.09600000000069</v>
      </c>
      <c r="FF129" s="17">
        <f>FE129*VLOOKUP('Données projet'!$B$16,Paramètres!$A$1:$I$89,3,0)*VLOOKUP('Données projet'!$B$16,Paramètres!$A$1:$I$89,5,0)</f>
        <v>392.15055360000065</v>
      </c>
      <c r="FG129" s="13">
        <f t="shared" si="101"/>
        <v>90.183479536071829</v>
      </c>
      <c r="FH129" s="20">
        <f t="shared" si="76"/>
        <v>840.06510771199294</v>
      </c>
      <c r="FI129" s="59">
        <f t="shared" si="77"/>
        <v>1133.3984410453263</v>
      </c>
      <c r="FJ129" s="59">
        <f ca="1">AVERAGE(OFFSET($FI$3,0,0,'Données projet'!$E$16+1,1))-AVERAGE(OFFSET($H$3,0,0,'Données projet'!$E$16+1,1))</f>
        <v>666.1523645983184</v>
      </c>
      <c r="FK129" s="59">
        <f t="shared" si="102"/>
        <v>294.13851344047526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39.033119992346471</v>
      </c>
      <c r="FR129" s="21">
        <f>EXP(-LN(2)/25)*FR128+(1-EXP(-LN(2)/25))/(LN(2)/25)*Calculateur!FM129*Calculateur!FO129*VLOOKUP('Données projet'!$B$16,Paramètres!$A$1:$I$89,3,0)*0.475*44/12</f>
        <v>24.368810832294361</v>
      </c>
      <c r="FS129" s="21">
        <f>EXP(-LN(2)/2)*FS128+(1-EXP(-LN(2)/2))/(LN(2)/2)*FM129*FP129*VLOOKUP('Données projet'!$B$16,Paramètres!$A$1:$I$89,3,0)*0.475*44/12</f>
        <v>2.6850413843879521</v>
      </c>
      <c r="FT129" s="22">
        <f t="shared" si="78"/>
        <v>66.086972209028787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328.55631138162721</v>
      </c>
      <c r="T130" s="59">
        <f t="shared" si="88"/>
        <v>321.81422611044985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15.322643907646459</v>
      </c>
      <c r="AA130" s="21">
        <f>EXP(-LN(2)/25)*AA129+(1-EXP(-LN(2)/25))/(LN(2)/25)*Calculateur!V130*Calculateur!X130*VLOOKUP('Données projet'!$B$9,Paramètres!$A$1:$I$89,3,0)*0.475*44/12</f>
        <v>10.425628130379314</v>
      </c>
      <c r="AB130" s="21">
        <f>EXP(-LN(2)/2)*AB129+(1-EXP(-LN(2)/2))/(LN(2)/2)*V130*Y130*VLOOKUP('Données projet'!$B$9,Paramètres!$A$1:$I$89,3,0)*0.475*44/12</f>
        <v>4.8490397069267602E-6</v>
      </c>
      <c r="AC130" s="22">
        <f t="shared" si="57"/>
        <v>25.748276887065483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353.37479213497227</v>
      </c>
      <c r="AO130" s="59">
        <f t="shared" si="90"/>
        <v>345.4750813433123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20.493372826505894</v>
      </c>
      <c r="AV130" s="21">
        <f>EXP(-LN(2)/25)*AV129+(1-EXP(-LN(2)/25))/(LN(2)/25)*Calculateur!AQ130*Calculateur!AS130*VLOOKUP('Données projet'!$B$10,Paramètres!$A$1:$I$89,3,0)*0.475*44/12</f>
        <v>13.943826242659734</v>
      </c>
      <c r="AW130" s="21">
        <f>EXP(-LN(2)/2)*AW129+(1-EXP(-LN(2)/2))/(LN(2)/2)*AQ130*AT130*VLOOKUP('Données projet'!$B$10,Paramètres!$A$1:$I$89,3,0)*0.475*44/12</f>
        <v>5.2617239373035189E-6</v>
      </c>
      <c r="AX130" s="21">
        <f t="shared" si="60"/>
        <v>34.437204330889564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359.57284550600366</v>
      </c>
      <c r="BJ130" s="59">
        <f t="shared" si="92"/>
        <v>351.38386928091433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20.895203666241304</v>
      </c>
      <c r="BQ130" s="21">
        <f>EXP(-LN(2)/25)*BQ129+(1-EXP(-LN(2)/25))/(LN(2)/25)*Calculateur!BL130*Calculateur!BN130*VLOOKUP('Données projet'!$B$11,Paramètres!$A$1:$I$89,3,0)*0.475*44/12</f>
        <v>14.217234600358942</v>
      </c>
      <c r="BR130" s="21">
        <f>EXP(-LN(2)/2)*BR129+(1-EXP(-LN(2)/2))/(LN(2)/2)*BL130*BO130*VLOOKUP('Données projet'!$B$11,Paramètres!$A$1:$I$89,3,0)*0.475*44/12</f>
        <v>5.3648949948977062E-6</v>
      </c>
      <c r="BS130" s="22">
        <f t="shared" si="63"/>
        <v>35.112443631495246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-8.5265128291212022E-14</v>
      </c>
      <c r="BZ130" s="13">
        <f>BY130*VLOOKUP('Données projet'!$B$12,Paramètres!$A$1:$I$89,3,0)*VLOOKUP('Données projet'!$B$12,Paramètres!$A$1:$I$89,5,0)</f>
        <v>-6.9167072069831198E-14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159.4660488566085</v>
      </c>
      <c r="CE130" s="59">
        <f t="shared" si="94"/>
        <v>135.33030558297088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5.8001091565631508</v>
      </c>
      <c r="CM130" s="21">
        <f>EXP(-LN(2)/2)*CM129+(1-EXP(-LN(2)/2))/(LN(2)/2)*CG130*CJ130*VLOOKUP('Données projet'!$B$12,Paramètres!$A$1:$I$89,3,0)*0.475*44/12</f>
        <v>6.7556519711051689E-5</v>
      </c>
      <c r="CN130" s="22">
        <f t="shared" si="66"/>
        <v>5.8001767130828616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353.37479213497227</v>
      </c>
      <c r="CZ130" s="59">
        <f t="shared" si="96"/>
        <v>345.4750813433123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20.493372826505894</v>
      </c>
      <c r="DG130" s="21">
        <f>EXP(-LN(2)/25)*DG129+(1-EXP(-LN(2)/25))/(LN(2)/25)*Calculateur!DB130*Calculateur!DD130*VLOOKUP('Données projet'!$B$13,Paramètres!$A$1:$I$89,3,0)*0.475*44/12</f>
        <v>13.943826242659734</v>
      </c>
      <c r="DH130" s="21">
        <f>EXP(-LN(2)/2)*DH129+(1-EXP(-LN(2)/2))/(LN(2)/2)*DB130*DE130*VLOOKUP('Données projet'!$B$13,Paramètres!$A$1:$I$89,3,0)*0.475*44/12</f>
        <v>5.2617239373035189E-6</v>
      </c>
      <c r="DI130" s="22">
        <f t="shared" si="69"/>
        <v>34.437204330889564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9.0229999999999961</v>
      </c>
      <c r="DO130" s="12">
        <f>IF('Données projet'!$A$166&gt;35,DO129+DN130-DW129,IF(A130&lt;'Données projet'!$A$166,$DL$205^A130,IF(A130='Données projet'!$A$166,'Données projet'!$B$166,DO129+DN130-DW129)))</f>
        <v>421.11900000000071</v>
      </c>
      <c r="DP130" s="17">
        <f>DO130*VLOOKUP('Données projet'!$B$14,Paramètres!$A$1:$I$89,3,0)*VLOOKUP('Données projet'!$B$14,Paramètres!$A$1:$I$89,5,0)</f>
        <v>381.02847120000064</v>
      </c>
      <c r="DQ130" s="13">
        <f t="shared" si="97"/>
        <v>87.919669823283783</v>
      </c>
      <c r="DR130" s="20">
        <f t="shared" si="70"/>
        <v>816.75134561555353</v>
      </c>
      <c r="DS130" s="59">
        <f t="shared" si="71"/>
        <v>1110.0846789488869</v>
      </c>
      <c r="DT130" s="59">
        <f ca="1">AVERAGE(OFFSET($DS$3,0,0,'Données projet'!$E$14+1,1))-AVERAGE(OFFSET($H$3,0,0,'Données projet'!$E$14+1,1))</f>
        <v>635.71275911100679</v>
      </c>
      <c r="DU130" s="59">
        <f t="shared" si="98"/>
        <v>281.7776857269169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36.385686072043235</v>
      </c>
      <c r="EB130" s="21">
        <f>EXP(-LN(2)/25)*EB129+(1-EXP(-LN(2)/25))/(LN(2)/25)*Calculateur!DW130*Calculateur!DY130*VLOOKUP('Données projet'!$B$14,Paramètres!$A$1:$I$89,3,0)*0.475*44/12</f>
        <v>22.536750430785936</v>
      </c>
      <c r="EC130" s="21">
        <f>EXP(-LN(2)/2)*EC129+(1-EXP(-LN(2)/2))/(LN(2)/2)*DW130*DZ130*VLOOKUP('Données projet'!$B$14,Paramètres!$A$1:$I$89,3,0)*0.475*44/12</f>
        <v>1.8052366606344215</v>
      </c>
      <c r="ED130" s="22">
        <f t="shared" si="72"/>
        <v>60.727673163463592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9.0229999999999961</v>
      </c>
      <c r="EJ130" s="12">
        <f>IF('Données projet'!$A$192&gt;35,EJ129+EI130-ER129,IF(A130&lt;'Données projet'!$A$192,$EG$205^A130,IF(A130='Données projet'!$A$192,'Données projet'!$B$192,EJ129+EI130-ER129)))</f>
        <v>421.11900000000071</v>
      </c>
      <c r="EK130" s="17">
        <f>EJ130*VLOOKUP('Données projet'!$B$15,Paramètres!$A$1:$I$89,3,0)*VLOOKUP('Données projet'!$B$15,Paramètres!$A$1:$I$89,5,0)</f>
        <v>282.4866252000005</v>
      </c>
      <c r="EL130" s="13">
        <f t="shared" si="99"/>
        <v>67.492233552290998</v>
      </c>
      <c r="EM130" s="20">
        <f t="shared" si="73"/>
        <v>609.54651232690765</v>
      </c>
      <c r="EN130" s="59">
        <f t="shared" si="74"/>
        <v>902.87984566024102</v>
      </c>
      <c r="EO130" s="59">
        <f ca="1">AVERAGE(OFFSET($EN$3,0,0,'Données projet'!$E$15+1,1))-AVERAGE(OFFSET($H$3,0,0,'Données projet'!$E$15+1,1))</f>
        <v>482.99915419700773</v>
      </c>
      <c r="EP130" s="59">
        <f t="shared" si="100"/>
        <v>219.74157899604279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33.248988996867091</v>
      </c>
      <c r="EW130" s="21">
        <f>EXP(-LN(2)/25)*EW129+(1-EXP(-LN(2)/25))/(LN(2)/25)*Calculateur!ER130*Calculateur!ET130*VLOOKUP('Données projet'!$B$15,Paramètres!$A$1:$I$89,3,0)*0.475*44/12</f>
        <v>20.59392711778715</v>
      </c>
      <c r="EX130" s="21">
        <f>EXP(-LN(2)/2)*EX129+(1-EXP(-LN(2)/2))/(LN(2)/2)*ER130*EU130*VLOOKUP('Données projet'!$B$15,Paramètres!$A$1:$I$89,3,0)*0.475*44/12</f>
        <v>1.3383651104703469</v>
      </c>
      <c r="EY130" s="22">
        <f t="shared" si="75"/>
        <v>55.181281225124593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9.0229999999999961</v>
      </c>
      <c r="FE130" s="12">
        <f>IF('Données projet'!$A$218&gt;35,FE129+FD130-FM129,IF(A130&lt;'Données projet'!$A$218,$FB$205^A130,IF(A130='Données projet'!$A$218,'Données projet'!$B$218,FE129+FD130-FM129)))</f>
        <v>421.11900000000071</v>
      </c>
      <c r="FF130" s="17">
        <f>FE130*VLOOKUP('Données projet'!$B$16,Paramètres!$A$1:$I$89,3,0)*VLOOKUP('Données projet'!$B$16,Paramètres!$A$1:$I$89,5,0)</f>
        <v>400.73684040000069</v>
      </c>
      <c r="FG130" s="13">
        <f t="shared" si="101"/>
        <v>91.92603229997124</v>
      </c>
      <c r="FH130" s="20">
        <f t="shared" si="76"/>
        <v>858.05450328578445</v>
      </c>
      <c r="FI130" s="59">
        <f t="shared" si="77"/>
        <v>1151.3878366191177</v>
      </c>
      <c r="FJ130" s="59">
        <f ca="1">AVERAGE(OFFSET($FI$3,0,0,'Données projet'!$E$16+1,1))-AVERAGE(OFFSET($H$3,0,0,'Données projet'!$E$16+1,1))</f>
        <v>666.1523645983184</v>
      </c>
      <c r="FK130" s="59">
        <f t="shared" si="102"/>
        <v>294.13851344047526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38.267704317148919</v>
      </c>
      <c r="FR130" s="21">
        <f>EXP(-LN(2)/25)*FR129+(1-EXP(-LN(2)/25))/(LN(2)/25)*Calculateur!FM130*Calculateur!FO130*VLOOKUP('Données projet'!$B$16,Paramètres!$A$1:$I$89,3,0)*0.475*44/12</f>
        <v>23.702444418585205</v>
      </c>
      <c r="FS130" s="21">
        <f>EXP(-LN(2)/2)*FS129+(1-EXP(-LN(2)/2))/(LN(2)/2)*FM130*FP130*VLOOKUP('Données projet'!$B$16,Paramètres!$A$1:$I$89,3,0)*0.475*44/12</f>
        <v>1.8986109706672365</v>
      </c>
      <c r="FT130" s="22">
        <f t="shared" si="78"/>
        <v>63.868759706401363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328.55631138162721</v>
      </c>
      <c r="T131" s="59">
        <f t="shared" si="88"/>
        <v>321.81422611044985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15.022176206507465</v>
      </c>
      <c r="AA131" s="21">
        <f>EXP(-LN(2)/25)*AA130+(1-EXP(-LN(2)/25))/(LN(2)/25)*Calculateur!V131*Calculateur!X131*VLOOKUP('Données projet'!$B$9,Paramètres!$A$1:$I$89,3,0)*0.475*44/12</f>
        <v>10.140538780894136</v>
      </c>
      <c r="AB131" s="21">
        <f>EXP(-LN(2)/2)*AB130+(1-EXP(-LN(2)/2))/(LN(2)/2)*V131*Y131*VLOOKUP('Données projet'!$B$9,Paramètres!$A$1:$I$89,3,0)*0.475*44/12</f>
        <v>3.4287888590107413E-6</v>
      </c>
      <c r="AC131" s="22">
        <f t="shared" si="57"/>
        <v>25.162718416190458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353.37479213497227</v>
      </c>
      <c r="AO131" s="59">
        <f t="shared" si="90"/>
        <v>345.4750813433123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20.091510285101293</v>
      </c>
      <c r="AV131" s="21">
        <f>EXP(-LN(2)/25)*AV130+(1-EXP(-LN(2)/25))/(LN(2)/25)*Calculateur!AQ131*Calculateur!AS131*VLOOKUP('Données projet'!$B$10,Paramètres!$A$1:$I$89,3,0)*0.475*44/12</f>
        <v>13.56253158078025</v>
      </c>
      <c r="AW131" s="21">
        <f>EXP(-LN(2)/2)*AW130+(1-EXP(-LN(2)/2))/(LN(2)/2)*AQ131*AT131*VLOOKUP('Données projet'!$B$10,Paramètres!$A$1:$I$89,3,0)*0.475*44/12</f>
        <v>3.7206006767988989E-6</v>
      </c>
      <c r="AX131" s="21">
        <f t="shared" si="60"/>
        <v>33.654045586482219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359.57284550600366</v>
      </c>
      <c r="BJ131" s="59">
        <f t="shared" si="92"/>
        <v>351.38386928091433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20.485461467162104</v>
      </c>
      <c r="BQ131" s="21">
        <f>EXP(-LN(2)/25)*BQ130+(1-EXP(-LN(2)/25))/(LN(2)/25)*Calculateur!BL131*Calculateur!BN131*VLOOKUP('Données projet'!$B$11,Paramètres!$A$1:$I$89,3,0)*0.475*44/12</f>
        <v>13.828463572560253</v>
      </c>
      <c r="BR131" s="21">
        <f>EXP(-LN(2)/2)*BR130+(1-EXP(-LN(2)/2))/(LN(2)/2)*BL131*BO131*VLOOKUP('Données projet'!$B$11,Paramètres!$A$1:$I$89,3,0)*0.475*44/12</f>
        <v>3.7935536312459365E-6</v>
      </c>
      <c r="BS131" s="22">
        <f t="shared" si="63"/>
        <v>34.313928833275988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-8.5265128291212022E-14</v>
      </c>
      <c r="BZ131" s="13">
        <f>BY131*VLOOKUP('Données projet'!$B$12,Paramètres!$A$1:$I$89,3,0)*VLOOKUP('Données projet'!$B$12,Paramètres!$A$1:$I$89,5,0)</f>
        <v>-6.9167072069831198E-14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159.4660488566085</v>
      </c>
      <c r="CE131" s="59">
        <f t="shared" si="94"/>
        <v>135.33030558297088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5.641504866662447</v>
      </c>
      <c r="CM131" s="21">
        <f>EXP(-LN(2)/2)*CM130+(1-EXP(-LN(2)/2))/(LN(2)/2)*CG131*CJ131*VLOOKUP('Données projet'!$B$12,Paramètres!$A$1:$I$89,3,0)*0.475*44/12</f>
        <v>4.7769673201047313E-5</v>
      </c>
      <c r="CN131" s="22">
        <f t="shared" si="66"/>
        <v>5.6415526363356481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353.37479213497227</v>
      </c>
      <c r="CZ131" s="59">
        <f t="shared" si="96"/>
        <v>345.4750813433123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20.091510285101293</v>
      </c>
      <c r="DG131" s="21">
        <f>EXP(-LN(2)/25)*DG130+(1-EXP(-LN(2)/25))/(LN(2)/25)*Calculateur!DB131*Calculateur!DD131*VLOOKUP('Données projet'!$B$13,Paramètres!$A$1:$I$89,3,0)*0.475*44/12</f>
        <v>13.56253158078025</v>
      </c>
      <c r="DH131" s="21">
        <f>EXP(-LN(2)/2)*DH130+(1-EXP(-LN(2)/2))/(LN(2)/2)*DB131*DE131*VLOOKUP('Données projet'!$B$13,Paramètres!$A$1:$I$89,3,0)*0.475*44/12</f>
        <v>3.7206006767988989E-6</v>
      </c>
      <c r="DI131" s="22">
        <f t="shared" si="69"/>
        <v>33.654045586482219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9.0229999999999961</v>
      </c>
      <c r="DO131" s="12">
        <f>IF('Données projet'!$A$166&gt;35,DO130+DN131-DW130,IF(A131&lt;'Données projet'!$A$166,$DL$205^A131,IF(A131='Données projet'!$A$166,'Données projet'!$B$166,DO130+DN131-DW130)))</f>
        <v>430.14200000000073</v>
      </c>
      <c r="DP131" s="17">
        <f>DO131*VLOOKUP('Données projet'!$B$14,Paramètres!$A$1:$I$89,3,0)*VLOOKUP('Données projet'!$B$14,Paramètres!$A$1:$I$89,5,0)</f>
        <v>389.19248160000063</v>
      </c>
      <c r="DQ131" s="13">
        <f t="shared" si="97"/>
        <v>89.582126151232899</v>
      </c>
      <c r="DR131" s="20">
        <f t="shared" si="70"/>
        <v>833.86577516673162</v>
      </c>
      <c r="DS131" s="59">
        <f t="shared" si="71"/>
        <v>1127.199108500065</v>
      </c>
      <c r="DT131" s="59">
        <f ca="1">AVERAGE(OFFSET($DS$3,0,0,'Données projet'!$E$14+1,1))-AVERAGE(OFFSET($H$3,0,0,'Données projet'!$E$14+1,1))</f>
        <v>635.71275911100679</v>
      </c>
      <c r="DU131" s="59">
        <f t="shared" si="98"/>
        <v>281.7776857269169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35.672184961247588</v>
      </c>
      <c r="EB131" s="21">
        <f>EXP(-LN(2)/25)*EB130+(1-EXP(-LN(2)/25))/(LN(2)/25)*Calculateur!DW131*Calculateur!DY131*VLOOKUP('Données projet'!$B$14,Paramètres!$A$1:$I$89,3,0)*0.475*44/12</f>
        <v>21.920481805099897</v>
      </c>
      <c r="EC131" s="21">
        <f>EXP(-LN(2)/2)*EC130+(1-EXP(-LN(2)/2))/(LN(2)/2)*DW131*DZ131*VLOOKUP('Données projet'!$B$14,Paramètres!$A$1:$I$89,3,0)*0.475*44/12</f>
        <v>1.2764950843811578</v>
      </c>
      <c r="ED131" s="22">
        <f t="shared" si="72"/>
        <v>58.869161850728645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9.0229999999999961</v>
      </c>
      <c r="EJ131" s="12">
        <f>IF('Données projet'!$A$192&gt;35,EJ130+EI131-ER130,IF(A131&lt;'Données projet'!$A$192,$EG$205^A131,IF(A131='Données projet'!$A$192,'Données projet'!$B$192,EJ130+EI131-ER130)))</f>
        <v>430.14200000000073</v>
      </c>
      <c r="EK131" s="17">
        <f>EJ131*VLOOKUP('Données projet'!$B$15,Paramètres!$A$1:$I$89,3,0)*VLOOKUP('Données projet'!$B$15,Paramètres!$A$1:$I$89,5,0)</f>
        <v>288.53925360000051</v>
      </c>
      <c r="EL131" s="13">
        <f t="shared" si="99"/>
        <v>68.768431369934589</v>
      </c>
      <c r="EM131" s="20">
        <f t="shared" si="73"/>
        <v>622.31088465597031</v>
      </c>
      <c r="EN131" s="59">
        <f t="shared" si="74"/>
        <v>915.64421798930357</v>
      </c>
      <c r="EO131" s="59">
        <f ca="1">AVERAGE(OFFSET($EN$3,0,0,'Données projet'!$E$15+1,1))-AVERAGE(OFFSET($H$3,0,0,'Données projet'!$E$15+1,1))</f>
        <v>482.99915419700773</v>
      </c>
      <c r="EP131" s="59">
        <f t="shared" si="100"/>
        <v>219.74157899604279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32.59699660251934</v>
      </c>
      <c r="EW131" s="21">
        <f>EXP(-LN(2)/25)*EW130+(1-EXP(-LN(2)/25))/(LN(2)/25)*Calculateur!ER131*Calculateur!ET131*VLOOKUP('Données projet'!$B$15,Paramètres!$A$1:$I$89,3,0)*0.475*44/12</f>
        <v>20.030785097763701</v>
      </c>
      <c r="EX131" s="21">
        <f>EXP(-LN(2)/2)*EX130+(1-EXP(-LN(2)/2))/(LN(2)/2)*ER131*EU131*VLOOKUP('Données projet'!$B$15,Paramètres!$A$1:$I$89,3,0)*0.475*44/12</f>
        <v>0.94636704531706517</v>
      </c>
      <c r="EY131" s="22">
        <f t="shared" si="75"/>
        <v>53.574148745600105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9.0229999999999961</v>
      </c>
      <c r="FE131" s="12">
        <f>IF('Données projet'!$A$218&gt;35,FE130+FD131-FM130,IF(A131&lt;'Données projet'!$A$218,$FB$205^A131,IF(A131='Données projet'!$A$218,'Données projet'!$B$218,FE130+FD131-FM130)))</f>
        <v>430.14200000000073</v>
      </c>
      <c r="FF131" s="17">
        <f>FE131*VLOOKUP('Données projet'!$B$16,Paramètres!$A$1:$I$89,3,0)*VLOOKUP('Données projet'!$B$16,Paramètres!$A$1:$I$89,5,0)</f>
        <v>409.32312720000073</v>
      </c>
      <c r="FG131" s="13">
        <f t="shared" si="101"/>
        <v>93.66424417460081</v>
      </c>
      <c r="FH131" s="20">
        <f t="shared" si="76"/>
        <v>876.03633847743095</v>
      </c>
      <c r="FI131" s="59">
        <f t="shared" si="77"/>
        <v>1169.3696718107642</v>
      </c>
      <c r="FJ131" s="59">
        <f ca="1">AVERAGE(OFFSET($FI$3,0,0,'Données projet'!$E$16+1,1))-AVERAGE(OFFSET($H$3,0,0,'Données projet'!$E$16+1,1))</f>
        <v>666.1523645983184</v>
      </c>
      <c r="FK131" s="59">
        <f t="shared" si="102"/>
        <v>294.13851344047526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37.517297976484528</v>
      </c>
      <c r="FR131" s="21">
        <f>EXP(-LN(2)/25)*FR130+(1-EXP(-LN(2)/25))/(LN(2)/25)*Calculateur!FM131*Calculateur!FO131*VLOOKUP('Données projet'!$B$16,Paramètres!$A$1:$I$89,3,0)*0.475*44/12</f>
        <v>23.054299829501613</v>
      </c>
      <c r="FS131" s="21">
        <f>EXP(-LN(2)/2)*FS130+(1-EXP(-LN(2)/2))/(LN(2)/2)*FM131*FP131*VLOOKUP('Données projet'!$B$16,Paramètres!$A$1:$I$89,3,0)*0.475*44/12</f>
        <v>1.3425206921939763</v>
      </c>
      <c r="FT131" s="22">
        <f t="shared" si="78"/>
        <v>61.914118498180123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328.55631138162721</v>
      </c>
      <c r="T132" s="59">
        <f t="shared" si="88"/>
        <v>321.81422611044985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14.727600493720606</v>
      </c>
      <c r="AA132" s="21">
        <f>EXP(-LN(2)/25)*AA131+(1-EXP(-LN(2)/25))/(LN(2)/25)*Calculateur!V132*Calculateur!X132*VLOOKUP('Données projet'!$B$9,Paramètres!$A$1:$I$89,3,0)*0.475*44/12</f>
        <v>9.8632452146628289</v>
      </c>
      <c r="AB132" s="21">
        <f>EXP(-LN(2)/2)*AB131+(1-EXP(-LN(2)/2))/(LN(2)/2)*V132*Y132*VLOOKUP('Données projet'!$B$9,Paramètres!$A$1:$I$89,3,0)*0.475*44/12</f>
        <v>2.4245198534633801E-6</v>
      </c>
      <c r="AC132" s="22">
        <f t="shared" ref="AC132:AC153" si="111">SUM(Z132:AB132)</f>
        <v>24.590848132903286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353.37479213497227</v>
      </c>
      <c r="AO132" s="59">
        <f t="shared" si="90"/>
        <v>345.4750813433123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19.69752802302169</v>
      </c>
      <c r="AV132" s="21">
        <f>EXP(-LN(2)/25)*AV131+(1-EXP(-LN(2)/25))/(LN(2)/25)*Calculateur!AQ132*Calculateur!AS132*VLOOKUP('Données projet'!$B$10,Paramètres!$A$1:$I$89,3,0)*0.475*44/12</f>
        <v>13.191663441481277</v>
      </c>
      <c r="AW132" s="21">
        <f>EXP(-LN(2)/2)*AW131+(1-EXP(-LN(2)/2))/(LN(2)/2)*AQ132*AT132*VLOOKUP('Données projet'!$B$10,Paramètres!$A$1:$I$89,3,0)*0.475*44/12</f>
        <v>2.6308619686517599E-6</v>
      </c>
      <c r="AX132" s="21">
        <f t="shared" ref="AX132:AX153" si="114">SUM(AU132:AW132)</f>
        <v>32.889194095364935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359.57284550600366</v>
      </c>
      <c r="BJ132" s="59">
        <f t="shared" si="92"/>
        <v>351.38386928091433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20.083754062688779</v>
      </c>
      <c r="BQ132" s="21">
        <f>EXP(-LN(2)/25)*BQ131+(1-EXP(-LN(2)/25))/(LN(2)/25)*Calculateur!BL132*Calculateur!BN132*VLOOKUP('Données projet'!$B$11,Paramètres!$A$1:$I$89,3,0)*0.475*44/12</f>
        <v>13.450323508961299</v>
      </c>
      <c r="BR132" s="21">
        <f>EXP(-LN(2)/2)*BR131+(1-EXP(-LN(2)/2))/(LN(2)/2)*BL132*BO132*VLOOKUP('Données projet'!$B$11,Paramètres!$A$1:$I$89,3,0)*0.475*44/12</f>
        <v>2.6824474974488535E-6</v>
      </c>
      <c r="BS132" s="22">
        <f t="shared" ref="BS132:BS153" si="117">SUM(BP132:BR132)</f>
        <v>33.534080254097574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-8.5265128291212022E-14</v>
      </c>
      <c r="BZ132" s="13">
        <f>BY132*VLOOKUP('Données projet'!$B$12,Paramètres!$A$1:$I$89,3,0)*VLOOKUP('Données projet'!$B$12,Paramètres!$A$1:$I$89,5,0)</f>
        <v>-6.9167072069831198E-14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159.4660488566085</v>
      </c>
      <c r="CE132" s="59">
        <f t="shared" si="94"/>
        <v>135.33030558297088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5.487237619409715</v>
      </c>
      <c r="CM132" s="21">
        <f>EXP(-LN(2)/2)*CM131+(1-EXP(-LN(2)/2))/(LN(2)/2)*CG132*CJ132*VLOOKUP('Données projet'!$B$12,Paramètres!$A$1:$I$89,3,0)*0.475*44/12</f>
        <v>3.3778259855525844E-5</v>
      </c>
      <c r="CN132" s="22">
        <f t="shared" ref="CN132:CN153" si="120">SUM(CK132:CM132)</f>
        <v>5.4872713976695708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353.37479213497227</v>
      </c>
      <c r="CZ132" s="59">
        <f t="shared" si="96"/>
        <v>345.4750813433123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19.69752802302169</v>
      </c>
      <c r="DG132" s="21">
        <f>EXP(-LN(2)/25)*DG131+(1-EXP(-LN(2)/25))/(LN(2)/25)*Calculateur!DB132*Calculateur!DD132*VLOOKUP('Données projet'!$B$13,Paramètres!$A$1:$I$89,3,0)*0.475*44/12</f>
        <v>13.191663441481277</v>
      </c>
      <c r="DH132" s="21">
        <f>EXP(-LN(2)/2)*DH131+(1-EXP(-LN(2)/2))/(LN(2)/2)*DB132*DE132*VLOOKUP('Données projet'!$B$13,Paramètres!$A$1:$I$89,3,0)*0.475*44/12</f>
        <v>2.6308619686517599E-6</v>
      </c>
      <c r="DI132" s="22">
        <f t="shared" ref="DI132:DI153" si="123">SUM(DF132:DH132)</f>
        <v>32.889194095364935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9.0229999999999961</v>
      </c>
      <c r="DO132" s="12">
        <f>IF('Données projet'!$A$166&gt;35,DO131+DN132-DW131,IF(A132&lt;'Données projet'!$A$166,$DL$205^A132,IF(A132='Données projet'!$A$166,'Données projet'!$B$166,DO131+DN132-DW131)))</f>
        <v>439.16500000000076</v>
      </c>
      <c r="DP132" s="17">
        <f>DO132*VLOOKUP('Données projet'!$B$14,Paramètres!$A$1:$I$89,3,0)*VLOOKUP('Données projet'!$B$14,Paramètres!$A$1:$I$89,5,0)</f>
        <v>397.35649200000069</v>
      </c>
      <c r="DQ132" s="13">
        <f t="shared" si="97"/>
        <v>91.240527898934658</v>
      </c>
      <c r="DR132" s="20">
        <f t="shared" ref="DR132:DR153" si="124">(DP132+DQ132)*0.475*44/12</f>
        <v>850.97314299064567</v>
      </c>
      <c r="DS132" s="59">
        <f t="shared" ref="DS132:DS195" si="125">DR132+(DJ132+DK132)*44/12</f>
        <v>1144.306476323979</v>
      </c>
      <c r="DT132" s="59">
        <f ca="1">AVERAGE(OFFSET($DS$3,0,0,'Données projet'!$E$14+1,1))-AVERAGE(OFFSET($H$3,0,0,'Données projet'!$E$14+1,1))</f>
        <v>635.71275911100679</v>
      </c>
      <c r="DU132" s="59">
        <f t="shared" si="98"/>
        <v>281.7776857269169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34.972675172041939</v>
      </c>
      <c r="EB132" s="21">
        <f>EXP(-LN(2)/25)*EB131+(1-EXP(-LN(2)/25))/(LN(2)/25)*Calculateur!DW132*Calculateur!DY132*VLOOKUP('Données projet'!$B$14,Paramètres!$A$1:$I$89,3,0)*0.475*44/12</f>
        <v>21.321065077391403</v>
      </c>
      <c r="EC132" s="21">
        <f>EXP(-LN(2)/2)*EC131+(1-EXP(-LN(2)/2))/(LN(2)/2)*DW132*DZ132*VLOOKUP('Données projet'!$B$14,Paramètres!$A$1:$I$89,3,0)*0.475*44/12</f>
        <v>0.90261833031721095</v>
      </c>
      <c r="ED132" s="22">
        <f t="shared" ref="ED132:ED153" si="126">SUM(EA132:EC132)</f>
        <v>57.196358579750552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9.0229999999999961</v>
      </c>
      <c r="EJ132" s="12">
        <f>IF('Données projet'!$A$192&gt;35,EJ131+EI132-ER131,IF(A132&lt;'Données projet'!$A$192,$EG$205^A132,IF(A132='Données projet'!$A$192,'Données projet'!$B$192,EJ131+EI132-ER131)))</f>
        <v>439.16500000000076</v>
      </c>
      <c r="EK132" s="17">
        <f>EJ132*VLOOKUP('Données projet'!$B$15,Paramètres!$A$1:$I$89,3,0)*VLOOKUP('Données projet'!$B$15,Paramètres!$A$1:$I$89,5,0)</f>
        <v>294.59188200000051</v>
      </c>
      <c r="EL132" s="13">
        <f t="shared" si="99"/>
        <v>70.041516656815105</v>
      </c>
      <c r="EM132" s="20">
        <f t="shared" ref="EM132:EM153" si="127">(EK132+EL132)*0.475*44/12</f>
        <v>635.06983599395392</v>
      </c>
      <c r="EN132" s="59">
        <f t="shared" ref="EN132:EN195" si="128">EM132+(EE132+EF132)*44/12</f>
        <v>928.40316932728729</v>
      </c>
      <c r="EO132" s="59">
        <f ca="1">AVERAGE(OFFSET($EN$3,0,0,'Données projet'!$E$15+1,1))-AVERAGE(OFFSET($H$3,0,0,'Données projet'!$E$15+1,1))</f>
        <v>482.99915419700773</v>
      </c>
      <c r="EP132" s="59">
        <f t="shared" si="100"/>
        <v>219.74157899604279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31.957789381348658</v>
      </c>
      <c r="EW132" s="21">
        <f>EXP(-LN(2)/25)*EW131+(1-EXP(-LN(2)/25))/(LN(2)/25)*Calculateur!ER132*Calculateur!ET132*VLOOKUP('Données projet'!$B$15,Paramètres!$A$1:$I$89,3,0)*0.475*44/12</f>
        <v>19.483042225892145</v>
      </c>
      <c r="EX132" s="21">
        <f>EXP(-LN(2)/2)*EX131+(1-EXP(-LN(2)/2))/(LN(2)/2)*ER132*EU132*VLOOKUP('Données projet'!$B$15,Paramètres!$A$1:$I$89,3,0)*0.475*44/12</f>
        <v>0.66918255523517356</v>
      </c>
      <c r="EY132" s="22">
        <f t="shared" ref="EY132:EY153" si="129">SUM(EV132:EX132)</f>
        <v>52.110014162475977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9.0229999999999961</v>
      </c>
      <c r="FE132" s="12">
        <f>IF('Données projet'!$A$218&gt;35,FE131+FD132-FM131,IF(A132&lt;'Données projet'!$A$218,$FB$205^A132,IF(A132='Données projet'!$A$218,'Données projet'!$B$218,FE131+FD132-FM131)))</f>
        <v>439.16500000000076</v>
      </c>
      <c r="FF132" s="17">
        <f>FE132*VLOOKUP('Données projet'!$B$16,Paramètres!$A$1:$I$89,3,0)*VLOOKUP('Données projet'!$B$16,Paramètres!$A$1:$I$89,5,0)</f>
        <v>417.90941400000071</v>
      </c>
      <c r="FG132" s="13">
        <f t="shared" si="101"/>
        <v>95.398216708073406</v>
      </c>
      <c r="FH132" s="20">
        <f t="shared" ref="FH132:FH153" si="130">(FF132+FG132)*0.475*44/12</f>
        <v>894.0107901498958</v>
      </c>
      <c r="FI132" s="59">
        <f t="shared" ref="FI132:FI195" si="131">FH132+(EZ132+FA132)*44/12</f>
        <v>1187.3441234832292</v>
      </c>
      <c r="FJ132" s="59">
        <f ca="1">AVERAGE(OFFSET($FI$3,0,0,'Données projet'!$E$16+1,1))-AVERAGE(OFFSET($H$3,0,0,'Données projet'!$E$16+1,1))</f>
        <v>666.1523645983184</v>
      </c>
      <c r="FK132" s="59">
        <f t="shared" si="102"/>
        <v>294.13851344047526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36.781606646457895</v>
      </c>
      <c r="FR132" s="21">
        <f>EXP(-LN(2)/25)*FR131+(1-EXP(-LN(2)/25))/(LN(2)/25)*Calculateur!FM132*Calculateur!FO132*VLOOKUP('Données projet'!$B$16,Paramètres!$A$1:$I$89,3,0)*0.475*44/12</f>
        <v>22.423878788290953</v>
      </c>
      <c r="FS132" s="21">
        <f>EXP(-LN(2)/2)*FS131+(1-EXP(-LN(2)/2))/(LN(2)/2)*FM132*FP132*VLOOKUP('Données projet'!$B$16,Paramètres!$A$1:$I$89,3,0)*0.475*44/12</f>
        <v>0.94930548533361836</v>
      </c>
      <c r="FT132" s="22">
        <f t="shared" ref="FT132:FT153" si="132">SUM(FQ132:FS132)</f>
        <v>60.154790920082469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328.55631138162721</v>
      </c>
      <c r="T133" s="59">
        <f t="shared" ref="T133:T196" si="142">$T$3</f>
        <v>321.81422611044985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14.438801230988053</v>
      </c>
      <c r="AA133" s="21">
        <f>EXP(-LN(2)/25)*AA132+(1-EXP(-LN(2)/25))/(LN(2)/25)*Calculateur!V133*Calculateur!X133*VLOOKUP('Données projet'!$B$9,Paramètres!$A$1:$I$89,3,0)*0.475*44/12</f>
        <v>9.59353425558235</v>
      </c>
      <c r="AB133" s="21">
        <f>EXP(-LN(2)/2)*AB132+(1-EXP(-LN(2)/2))/(LN(2)/2)*V133*Y133*VLOOKUP('Données projet'!$B$9,Paramètres!$A$1:$I$89,3,0)*0.475*44/12</f>
        <v>1.7143944295053706E-6</v>
      </c>
      <c r="AC133" s="22">
        <f t="shared" si="111"/>
        <v>24.032337200964832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353.37479213497227</v>
      </c>
      <c r="AO133" s="59">
        <f t="shared" ref="AO133:AO196" si="144">$AO$3</f>
        <v>345.4750813433123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19.311271512796015</v>
      </c>
      <c r="AV133" s="21">
        <f>EXP(-LN(2)/25)*AV132+(1-EXP(-LN(2)/25))/(LN(2)/25)*Calculateur!AQ133*Calculateur!AS133*VLOOKUP('Données projet'!$B$10,Paramètres!$A$1:$I$89,3,0)*0.475*44/12</f>
        <v>12.830936710954541</v>
      </c>
      <c r="AW133" s="21">
        <f>EXP(-LN(2)/2)*AW132+(1-EXP(-LN(2)/2))/(LN(2)/2)*AQ133*AT133*VLOOKUP('Données projet'!$B$10,Paramètres!$A$1:$I$89,3,0)*0.475*44/12</f>
        <v>1.8603003383994497E-6</v>
      </c>
      <c r="AX133" s="21">
        <f t="shared" si="114"/>
        <v>32.142210084050895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359.57284550600366</v>
      </c>
      <c r="BJ133" s="59">
        <f t="shared" ref="BJ133:BJ196" si="146">$BJ$3</f>
        <v>351.38386928091433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19.689923895399854</v>
      </c>
      <c r="BQ133" s="21">
        <f>EXP(-LN(2)/25)*BQ132+(1-EXP(-LN(2)/25))/(LN(2)/25)*Calculateur!BL133*Calculateur!BN133*VLOOKUP('Données projet'!$B$11,Paramètres!$A$1:$I$89,3,0)*0.475*44/12</f>
        <v>13.082523705286979</v>
      </c>
      <c r="BR133" s="21">
        <f>EXP(-LN(2)/2)*BR132+(1-EXP(-LN(2)/2))/(LN(2)/2)*BL133*BO133*VLOOKUP('Données projet'!$B$11,Paramètres!$A$1:$I$89,3,0)*0.475*44/12</f>
        <v>1.8967768156229687E-6</v>
      </c>
      <c r="BS133" s="22">
        <f t="shared" si="117"/>
        <v>32.772449497463647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-8.5265128291212022E-14</v>
      </c>
      <c r="BZ133" s="13">
        <f>BY133*VLOOKUP('Données projet'!$B$12,Paramètres!$A$1:$I$89,3,0)*VLOOKUP('Données projet'!$B$12,Paramètres!$A$1:$I$89,5,0)</f>
        <v>-6.9167072069831198E-14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159.4660488566085</v>
      </c>
      <c r="CE133" s="59">
        <f t="shared" ref="CE133:CE196" si="148">$CE$3</f>
        <v>135.33030558297088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5.3371888181456715</v>
      </c>
      <c r="CM133" s="21">
        <f>EXP(-LN(2)/2)*CM132+(1-EXP(-LN(2)/2))/(LN(2)/2)*CG133*CJ133*VLOOKUP('Données projet'!$B$12,Paramètres!$A$1:$I$89,3,0)*0.475*44/12</f>
        <v>2.3884836600523656E-5</v>
      </c>
      <c r="CN133" s="22">
        <f t="shared" si="120"/>
        <v>5.3372127029822716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353.37479213497227</v>
      </c>
      <c r="CZ133" s="59">
        <f t="shared" ref="CZ133:CZ196" si="150">$CZ$3</f>
        <v>345.4750813433123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19.311271512796015</v>
      </c>
      <c r="DG133" s="21">
        <f>EXP(-LN(2)/25)*DG132+(1-EXP(-LN(2)/25))/(LN(2)/25)*Calculateur!DB133*Calculateur!DD133*VLOOKUP('Données projet'!$B$13,Paramètres!$A$1:$I$89,3,0)*0.475*44/12</f>
        <v>12.830936710954541</v>
      </c>
      <c r="DH133" s="21">
        <f>EXP(-LN(2)/2)*DH132+(1-EXP(-LN(2)/2))/(LN(2)/2)*DB133*DE133*VLOOKUP('Données projet'!$B$13,Paramètres!$A$1:$I$89,3,0)*0.475*44/12</f>
        <v>1.8603003383994497E-6</v>
      </c>
      <c r="DI133" s="22">
        <f t="shared" si="123"/>
        <v>32.142210084050895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9.0229999999999961</v>
      </c>
      <c r="DO133" s="12">
        <f>IF('Données projet'!$A$166&gt;35,DO132+DN133-DW132,IF(A133&lt;'Données projet'!$A$166,$DL$205^A133,IF(A133='Données projet'!$A$166,'Données projet'!$B$166,DO132+DN133-DW132)))</f>
        <v>448.18800000000078</v>
      </c>
      <c r="DP133" s="17">
        <f>DO133*VLOOKUP('Données projet'!$B$14,Paramètres!$A$1:$I$89,3,0)*VLOOKUP('Données projet'!$B$14,Paramètres!$A$1:$I$89,5,0)</f>
        <v>405.52050240000068</v>
      </c>
      <c r="DQ133" s="13">
        <f t="shared" ref="DQ133:DQ153" si="151">EXP(-1.0587+0.8836*LN(DP133)+0.284)</f>
        <v>92.894967969753338</v>
      </c>
      <c r="DR133" s="20">
        <f t="shared" si="124"/>
        <v>868.07361089398819</v>
      </c>
      <c r="DS133" s="59">
        <f t="shared" si="125"/>
        <v>1161.4069442273214</v>
      </c>
      <c r="DT133" s="59">
        <f ca="1">AVERAGE(OFFSET($DS$3,0,0,'Données projet'!$E$14+1,1))-AVERAGE(OFFSET($H$3,0,0,'Données projet'!$E$14+1,1))</f>
        <v>635.71275911100679</v>
      </c>
      <c r="DU133" s="59">
        <f t="shared" ref="DU133:DU196" si="152">$DU$3</f>
        <v>281.7776857269169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34.286882343143766</v>
      </c>
      <c r="EB133" s="21">
        <f>EXP(-LN(2)/25)*EB132+(1-EXP(-LN(2)/25))/(LN(2)/25)*Calculateur!DW133*Calculateur!DY133*VLOOKUP('Données projet'!$B$14,Paramètres!$A$1:$I$89,3,0)*0.475*44/12</f>
        <v>20.738039431624053</v>
      </c>
      <c r="EC133" s="21">
        <f>EXP(-LN(2)/2)*EC132+(1-EXP(-LN(2)/2))/(LN(2)/2)*DW133*DZ133*VLOOKUP('Données projet'!$B$14,Paramètres!$A$1:$I$89,3,0)*0.475*44/12</f>
        <v>0.638247542190579</v>
      </c>
      <c r="ED133" s="22">
        <f t="shared" si="126"/>
        <v>55.663169316958395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9.0229999999999961</v>
      </c>
      <c r="EJ133" s="12">
        <f>IF('Données projet'!$A$192&gt;35,EJ132+EI133-ER132,IF(A133&lt;'Données projet'!$A$192,$EG$205^A133,IF(A133='Données projet'!$A$192,'Données projet'!$B$192,EJ132+EI133-ER132)))</f>
        <v>448.18800000000078</v>
      </c>
      <c r="EK133" s="17">
        <f>EJ133*VLOOKUP('Données projet'!$B$15,Paramètres!$A$1:$I$89,3,0)*VLOOKUP('Données projet'!$B$15,Paramètres!$A$1:$I$89,5,0)</f>
        <v>300.64451040000051</v>
      </c>
      <c r="EL133" s="13">
        <f t="shared" ref="EL133:EL153" si="153">EXP(-1.0587+0.8836*LN(EK133)+0.284)</f>
        <v>71.31156073093868</v>
      </c>
      <c r="EM133" s="20">
        <f t="shared" si="127"/>
        <v>647.82349055305247</v>
      </c>
      <c r="EN133" s="59">
        <f t="shared" si="128"/>
        <v>941.15682388638584</v>
      </c>
      <c r="EO133" s="59">
        <f ca="1">AVERAGE(OFFSET($EN$3,0,0,'Données projet'!$E$15+1,1))-AVERAGE(OFFSET($H$3,0,0,'Données projet'!$E$15+1,1))</f>
        <v>482.99915419700773</v>
      </c>
      <c r="EP133" s="59">
        <f t="shared" ref="EP133:EP196" si="154">$EP$3</f>
        <v>219.74157899604279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31.331116623907224</v>
      </c>
      <c r="EW133" s="21">
        <f>EXP(-LN(2)/25)*EW132+(1-EXP(-LN(2)/25))/(LN(2)/25)*Calculateur!ER133*Calculateur!ET133*VLOOKUP('Données projet'!$B$15,Paramètres!$A$1:$I$89,3,0)*0.475*44/12</f>
        <v>18.950277411656462</v>
      </c>
      <c r="EX133" s="21">
        <f>EXP(-LN(2)/2)*EX132+(1-EXP(-LN(2)/2))/(LN(2)/2)*ER133*EU133*VLOOKUP('Données projet'!$B$15,Paramètres!$A$1:$I$89,3,0)*0.475*44/12</f>
        <v>0.47318352265853264</v>
      </c>
      <c r="EY133" s="22">
        <f t="shared" si="129"/>
        <v>50.754577558222216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9.0229999999999961</v>
      </c>
      <c r="FE133" s="12">
        <f>IF('Données projet'!$A$218&gt;35,FE132+FD133-FM132,IF(A133&lt;'Données projet'!$A$218,$FB$205^A133,IF(A133='Données projet'!$A$218,'Données projet'!$B$218,FE132+FD133-FM132)))</f>
        <v>448.18800000000078</v>
      </c>
      <c r="FF133" s="17">
        <f>FE133*VLOOKUP('Données projet'!$B$16,Paramètres!$A$1:$I$89,3,0)*VLOOKUP('Données projet'!$B$16,Paramètres!$A$1:$I$89,5,0)</f>
        <v>426.49570080000069</v>
      </c>
      <c r="FG133" s="13">
        <f t="shared" ref="FG133:FG153" si="155">EXP(-1.0587+0.8836*LN(FF133)+0.284)</f>
        <v>97.128047037215154</v>
      </c>
      <c r="FH133" s="20">
        <f t="shared" si="130"/>
        <v>911.97802748315098</v>
      </c>
      <c r="FI133" s="59">
        <f t="shared" si="131"/>
        <v>1205.3113608164842</v>
      </c>
      <c r="FJ133" s="59">
        <f ca="1">AVERAGE(OFFSET($FI$3,0,0,'Données projet'!$E$16+1,1))-AVERAGE(OFFSET($H$3,0,0,'Données projet'!$E$16+1,1))</f>
        <v>666.1523645983184</v>
      </c>
      <c r="FK133" s="59">
        <f t="shared" ref="FK133:FK196" si="156">$FK$3</f>
        <v>294.13851344047526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36.060341774685682</v>
      </c>
      <c r="FR133" s="21">
        <f>EXP(-LN(2)/25)*FR132+(1-EXP(-LN(2)/25))/(LN(2)/25)*Calculateur!FM133*Calculateur!FO133*VLOOKUP('Données projet'!$B$16,Paramètres!$A$1:$I$89,3,0)*0.475*44/12</f>
        <v>21.810696643604601</v>
      </c>
      <c r="FS133" s="21">
        <f>EXP(-LN(2)/2)*FS132+(1-EXP(-LN(2)/2))/(LN(2)/2)*FM133*FP133*VLOOKUP('Données projet'!$B$16,Paramètres!$A$1:$I$89,3,0)*0.475*44/12</f>
        <v>0.67126034609698826</v>
      </c>
      <c r="FT133" s="22">
        <f t="shared" si="132"/>
        <v>58.542298764387269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328.55631138162721</v>
      </c>
      <c r="T134" s="59">
        <f t="shared" si="142"/>
        <v>321.81422611044985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14.155665145647529</v>
      </c>
      <c r="AA134" s="21">
        <f>EXP(-LN(2)/25)*AA133+(1-EXP(-LN(2)/25))/(LN(2)/25)*Calculateur!V134*Calculateur!X134*VLOOKUP('Données projet'!$B$9,Paramètres!$A$1:$I$89,3,0)*0.475*44/12</f>
        <v>9.3311985568614109</v>
      </c>
      <c r="AB134" s="21">
        <f>EXP(-LN(2)/2)*AB133+(1-EXP(-LN(2)/2))/(LN(2)/2)*V134*Y134*VLOOKUP('Données projet'!$B$9,Paramètres!$A$1:$I$89,3,0)*0.475*44/12</f>
        <v>1.2122599267316901E-6</v>
      </c>
      <c r="AC134" s="22">
        <f t="shared" si="111"/>
        <v>23.486864914768869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353.37479213497227</v>
      </c>
      <c r="AO134" s="59">
        <f t="shared" si="144"/>
        <v>345.4750813433123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18.932589257142656</v>
      </c>
      <c r="AV134" s="21">
        <f>EXP(-LN(2)/25)*AV133+(1-EXP(-LN(2)/25))/(LN(2)/25)*Calculateur!AQ134*Calculateur!AS134*VLOOKUP('Données projet'!$B$10,Paramètres!$A$1:$I$89,3,0)*0.475*44/12</f>
        <v>12.480074071843854</v>
      </c>
      <c r="AW134" s="21">
        <f>EXP(-LN(2)/2)*AW133+(1-EXP(-LN(2)/2))/(LN(2)/2)*AQ134*AT134*VLOOKUP('Données projet'!$B$10,Paramètres!$A$1:$I$89,3,0)*0.475*44/12</f>
        <v>1.3154309843258801E-6</v>
      </c>
      <c r="AX134" s="21">
        <f t="shared" si="114"/>
        <v>31.412664644417497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359.57284550600366</v>
      </c>
      <c r="BJ134" s="59">
        <f t="shared" si="146"/>
        <v>351.38386928091433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19.303816497478785</v>
      </c>
      <c r="BQ134" s="21">
        <f>EXP(-LN(2)/25)*BQ133+(1-EXP(-LN(2)/25))/(LN(2)/25)*Calculateur!BL134*Calculateur!BN134*VLOOKUP('Données projet'!$B$11,Paramètres!$A$1:$I$89,3,0)*0.475*44/12</f>
        <v>12.724781406585885</v>
      </c>
      <c r="BR134" s="21">
        <f>EXP(-LN(2)/2)*BR133+(1-EXP(-LN(2)/2))/(LN(2)/2)*BL134*BO134*VLOOKUP('Données projet'!$B$11,Paramètres!$A$1:$I$89,3,0)*0.475*44/12</f>
        <v>1.341223748724427E-6</v>
      </c>
      <c r="BS134" s="22">
        <f t="shared" si="117"/>
        <v>32.028599245288419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-8.5265128291212022E-14</v>
      </c>
      <c r="BZ134" s="13">
        <f>BY134*VLOOKUP('Données projet'!$B$12,Paramètres!$A$1:$I$89,3,0)*VLOOKUP('Données projet'!$B$12,Paramètres!$A$1:$I$89,5,0)</f>
        <v>-6.9167072069831198E-14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159.4660488566085</v>
      </c>
      <c r="CE134" s="59">
        <f t="shared" si="148"/>
        <v>135.33030558297088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5.1912431092429161</v>
      </c>
      <c r="CM134" s="21">
        <f>EXP(-LN(2)/2)*CM133+(1-EXP(-LN(2)/2))/(LN(2)/2)*CG134*CJ134*VLOOKUP('Données projet'!$B$12,Paramètres!$A$1:$I$89,3,0)*0.475*44/12</f>
        <v>1.6889129927762922E-5</v>
      </c>
      <c r="CN134" s="22">
        <f t="shared" si="120"/>
        <v>5.1912599983728436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353.37479213497227</v>
      </c>
      <c r="CZ134" s="59">
        <f t="shared" si="150"/>
        <v>345.4750813433123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18.932589257142656</v>
      </c>
      <c r="DG134" s="21">
        <f>EXP(-LN(2)/25)*DG133+(1-EXP(-LN(2)/25))/(LN(2)/25)*Calculateur!DB134*Calculateur!DD134*VLOOKUP('Données projet'!$B$13,Paramètres!$A$1:$I$89,3,0)*0.475*44/12</f>
        <v>12.480074071843854</v>
      </c>
      <c r="DH134" s="21">
        <f>EXP(-LN(2)/2)*DH133+(1-EXP(-LN(2)/2))/(LN(2)/2)*DB134*DE134*VLOOKUP('Données projet'!$B$13,Paramètres!$A$1:$I$89,3,0)*0.475*44/12</f>
        <v>1.3154309843258801E-6</v>
      </c>
      <c r="DI134" s="22">
        <f t="shared" si="123"/>
        <v>31.412664644417497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9.0229999999999961</v>
      </c>
      <c r="DO134" s="12">
        <f>IF('Données projet'!$A$166&gt;35,DO133+DN134-DW133,IF(A134&lt;'Données projet'!$A$166,$DL$205^A134,IF(A134='Données projet'!$A$166,'Données projet'!$B$166,DO133+DN134-DW133)))</f>
        <v>457.21100000000081</v>
      </c>
      <c r="DP134" s="17">
        <f>DO134*VLOOKUP('Données projet'!$B$14,Paramètres!$A$1:$I$89,3,0)*VLOOKUP('Données projet'!$B$14,Paramètres!$A$1:$I$89,5,0)</f>
        <v>413.68451280000073</v>
      </c>
      <c r="DQ134" s="13">
        <f t="shared" si="151"/>
        <v>94.545535312483779</v>
      </c>
      <c r="DR134" s="20">
        <f t="shared" si="124"/>
        <v>885.16733379591051</v>
      </c>
      <c r="DS134" s="59">
        <f t="shared" si="125"/>
        <v>1178.5006671292438</v>
      </c>
      <c r="DT134" s="59">
        <f ca="1">AVERAGE(OFFSET($DS$3,0,0,'Données projet'!$E$14+1,1))-AVERAGE(OFFSET($H$3,0,0,'Données projet'!$E$14+1,1))</f>
        <v>635.71275911100679</v>
      </c>
      <c r="DU134" s="59">
        <f t="shared" si="152"/>
        <v>281.7776857269169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33.614537493327965</v>
      </c>
      <c r="EB134" s="21">
        <f>EXP(-LN(2)/25)*EB133+(1-EXP(-LN(2)/25))/(LN(2)/25)*Calculateur!DW134*Calculateur!DY134*VLOOKUP('Données projet'!$B$14,Paramètres!$A$1:$I$89,3,0)*0.475*44/12</f>
        <v>20.170956652800196</v>
      </c>
      <c r="EC134" s="21">
        <f>EXP(-LN(2)/2)*EC133+(1-EXP(-LN(2)/2))/(LN(2)/2)*DW134*DZ134*VLOOKUP('Données projet'!$B$14,Paramètres!$A$1:$I$89,3,0)*0.475*44/12</f>
        <v>0.45130916515860553</v>
      </c>
      <c r="ED134" s="22">
        <f t="shared" si="126"/>
        <v>54.236803311286764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9.0229999999999961</v>
      </c>
      <c r="EJ134" s="12">
        <f>IF('Données projet'!$A$192&gt;35,EJ133+EI134-ER133,IF(A134&lt;'Données projet'!$A$192,$EG$205^A134,IF(A134='Données projet'!$A$192,'Données projet'!$B$192,EJ133+EI134-ER133)))</f>
        <v>457.21100000000081</v>
      </c>
      <c r="EK134" s="17">
        <f>EJ134*VLOOKUP('Données projet'!$B$15,Paramètres!$A$1:$I$89,3,0)*VLOOKUP('Données projet'!$B$15,Paramètres!$A$1:$I$89,5,0)</f>
        <v>306.69713880000052</v>
      </c>
      <c r="EL134" s="13">
        <f t="shared" si="153"/>
        <v>72.578631874554887</v>
      </c>
      <c r="EM134" s="20">
        <f t="shared" si="127"/>
        <v>660.57196725818403</v>
      </c>
      <c r="EN134" s="59">
        <f t="shared" si="128"/>
        <v>953.90530059151729</v>
      </c>
      <c r="EO134" s="59">
        <f ca="1">AVERAGE(OFFSET($EN$3,0,0,'Données projet'!$E$15+1,1))-AVERAGE(OFFSET($H$3,0,0,'Données projet'!$E$15+1,1))</f>
        <v>482.99915419700773</v>
      </c>
      <c r="EP134" s="59">
        <f t="shared" si="154"/>
        <v>219.74157899604279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30.716732537006578</v>
      </c>
      <c r="EW134" s="21">
        <f>EXP(-LN(2)/25)*EW133+(1-EXP(-LN(2)/25))/(LN(2)/25)*Calculateur!ER134*Calculateur!ET134*VLOOKUP('Données projet'!$B$15,Paramètres!$A$1:$I$89,3,0)*0.475*44/12</f>
        <v>18.432081079282938</v>
      </c>
      <c r="EX134" s="21">
        <f>EXP(-LN(2)/2)*EX133+(1-EXP(-LN(2)/2))/(LN(2)/2)*ER134*EU134*VLOOKUP('Données projet'!$B$15,Paramètres!$A$1:$I$89,3,0)*0.475*44/12</f>
        <v>0.33459127761758684</v>
      </c>
      <c r="EY134" s="22">
        <f t="shared" si="129"/>
        <v>49.4834048939071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9.0229999999999961</v>
      </c>
      <c r="FE134" s="12">
        <f>IF('Données projet'!$A$218&gt;35,FE133+FD134-FM133,IF(A134&lt;'Données projet'!$A$218,$FB$205^A134,IF(A134='Données projet'!$A$218,'Données projet'!$B$218,FE133+FD134-FM133)))</f>
        <v>457.21100000000081</v>
      </c>
      <c r="FF134" s="17">
        <f>FE134*VLOOKUP('Données projet'!$B$16,Paramètres!$A$1:$I$89,3,0)*VLOOKUP('Données projet'!$B$16,Paramètres!$A$1:$I$89,5,0)</f>
        <v>435.08198760000079</v>
      </c>
      <c r="FG134" s="13">
        <f t="shared" si="155"/>
        <v>98.853828164079005</v>
      </c>
      <c r="FH134" s="20">
        <f t="shared" si="130"/>
        <v>929.93821245577226</v>
      </c>
      <c r="FI134" s="59">
        <f t="shared" si="131"/>
        <v>1223.2715457891056</v>
      </c>
      <c r="FJ134" s="59">
        <f ca="1">AVERAGE(OFFSET($FI$3,0,0,'Données projet'!$E$16+1,1))-AVERAGE(OFFSET($H$3,0,0,'Données projet'!$E$16+1,1))</f>
        <v>666.1523645983184</v>
      </c>
      <c r="FK134" s="59">
        <f t="shared" si="156"/>
        <v>294.13851344047526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35.353220467120785</v>
      </c>
      <c r="FR134" s="21">
        <f>EXP(-LN(2)/25)*FR133+(1-EXP(-LN(2)/25))/(LN(2)/25)*Calculateur!FM134*Calculateur!FO134*VLOOKUP('Données projet'!$B$16,Paramètres!$A$1:$I$89,3,0)*0.475*44/12</f>
        <v>21.214281996910547</v>
      </c>
      <c r="FS134" s="21">
        <f>EXP(-LN(2)/2)*FS133+(1-EXP(-LN(2)/2))/(LN(2)/2)*FM134*FP134*VLOOKUP('Données projet'!$B$16,Paramètres!$A$1:$I$89,3,0)*0.475*44/12</f>
        <v>0.47465274266680929</v>
      </c>
      <c r="FT134" s="22">
        <f t="shared" si="132"/>
        <v>57.042155206698148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328.55631138162721</v>
      </c>
      <c r="T135" s="59">
        <f t="shared" si="142"/>
        <v>321.81422611044985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13.878081186244573</v>
      </c>
      <c r="AA135" s="21">
        <f>EXP(-LN(2)/25)*AA134+(1-EXP(-LN(2)/25))/(LN(2)/25)*Calculateur!V135*Calculateur!X135*VLOOKUP('Données projet'!$B$9,Paramètres!$A$1:$I$89,3,0)*0.475*44/12</f>
        <v>9.0760364416176298</v>
      </c>
      <c r="AB135" s="21">
        <f>EXP(-LN(2)/2)*AB134+(1-EXP(-LN(2)/2))/(LN(2)/2)*V135*Y135*VLOOKUP('Données projet'!$B$9,Paramètres!$A$1:$I$89,3,0)*0.475*44/12</f>
        <v>8.5719721475268531E-7</v>
      </c>
      <c r="AC135" s="22">
        <f t="shared" si="111"/>
        <v>22.954118485059418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353.37479213497227</v>
      </c>
      <c r="AO135" s="59">
        <f t="shared" si="144"/>
        <v>345.4750813433123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18.561332729549292</v>
      </c>
      <c r="AV135" s="21">
        <f>EXP(-LN(2)/25)*AV134+(1-EXP(-LN(2)/25))/(LN(2)/25)*Calculateur!AQ135*Calculateur!AS135*VLOOKUP('Données projet'!$B$10,Paramètres!$A$1:$I$89,3,0)*0.475*44/12</f>
        <v>12.138805790050712</v>
      </c>
      <c r="AW135" s="21">
        <f>EXP(-LN(2)/2)*AW134+(1-EXP(-LN(2)/2))/(LN(2)/2)*AQ135*AT135*VLOOKUP('Données projet'!$B$10,Paramètres!$A$1:$I$89,3,0)*0.475*44/12</f>
        <v>9.3015016919972505E-7</v>
      </c>
      <c r="AX135" s="21">
        <f t="shared" si="114"/>
        <v>30.700139449750171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359.57284550600366</v>
      </c>
      <c r="BJ135" s="59">
        <f t="shared" si="146"/>
        <v>351.38386928091433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18.925280430128687</v>
      </c>
      <c r="BQ135" s="21">
        <f>EXP(-LN(2)/25)*BQ134+(1-EXP(-LN(2)/25))/(LN(2)/25)*Calculateur!BL135*Calculateur!BN135*VLOOKUP('Données projet'!$B$11,Paramètres!$A$1:$I$89,3,0)*0.475*44/12</f>
        <v>12.376821589855624</v>
      </c>
      <c r="BR135" s="21">
        <f>EXP(-LN(2)/2)*BR134+(1-EXP(-LN(2)/2))/(LN(2)/2)*BL135*BO135*VLOOKUP('Données projet'!$B$11,Paramètres!$A$1:$I$89,3,0)*0.475*44/12</f>
        <v>9.4838840781148443E-7</v>
      </c>
      <c r="BS135" s="22">
        <f t="shared" si="117"/>
        <v>31.302102968372719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-8.5265128291212022E-14</v>
      </c>
      <c r="BZ135" s="13">
        <f>BY135*VLOOKUP('Données projet'!$B$12,Paramètres!$A$1:$I$89,3,0)*VLOOKUP('Données projet'!$B$12,Paramètres!$A$1:$I$89,5,0)</f>
        <v>-6.9167072069831198E-14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159.4660488566085</v>
      </c>
      <c r="CE135" s="59">
        <f t="shared" si="148"/>
        <v>135.33030558297088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5.0492882934250582</v>
      </c>
      <c r="CM135" s="21">
        <f>EXP(-LN(2)/2)*CM134+(1-EXP(-LN(2)/2))/(LN(2)/2)*CG135*CJ135*VLOOKUP('Données projet'!$B$12,Paramètres!$A$1:$I$89,3,0)*0.475*44/12</f>
        <v>1.1942418300261828E-5</v>
      </c>
      <c r="CN135" s="22">
        <f t="shared" si="120"/>
        <v>5.0493002358433587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353.37479213497227</v>
      </c>
      <c r="CZ135" s="59">
        <f t="shared" si="150"/>
        <v>345.4750813433123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18.561332729549292</v>
      </c>
      <c r="DG135" s="21">
        <f>EXP(-LN(2)/25)*DG134+(1-EXP(-LN(2)/25))/(LN(2)/25)*Calculateur!DB135*Calculateur!DD135*VLOOKUP('Données projet'!$B$13,Paramètres!$A$1:$I$89,3,0)*0.475*44/12</f>
        <v>12.138805790050712</v>
      </c>
      <c r="DH135" s="21">
        <f>EXP(-LN(2)/2)*DH134+(1-EXP(-LN(2)/2))/(LN(2)/2)*DB135*DE135*VLOOKUP('Données projet'!$B$13,Paramètres!$A$1:$I$89,3,0)*0.475*44/12</f>
        <v>9.3015016919972505E-7</v>
      </c>
      <c r="DI135" s="22">
        <f t="shared" si="123"/>
        <v>30.700139449750171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9.0229999999999961</v>
      </c>
      <c r="DO135" s="12">
        <f>IF('Données projet'!$A$166&gt;35,DO134+DN135-DW134,IF(A135&lt;'Données projet'!$A$166,$DL$205^A135,IF(A135='Données projet'!$A$166,'Données projet'!$B$166,DO134+DN135-DW134)))</f>
        <v>466.23400000000083</v>
      </c>
      <c r="DP135" s="17">
        <f>DO135*VLOOKUP('Données projet'!$B$14,Paramètres!$A$1:$I$89,3,0)*VLOOKUP('Données projet'!$B$14,Paramètres!$A$1:$I$89,5,0)</f>
        <v>421.84852320000078</v>
      </c>
      <c r="DQ135" s="13">
        <f t="shared" si="151"/>
        <v>96.192315164348642</v>
      </c>
      <c r="DR135" s="20">
        <f t="shared" si="124"/>
        <v>902.2544601512418</v>
      </c>
      <c r="DS135" s="59">
        <f t="shared" si="125"/>
        <v>1195.5877934845751</v>
      </c>
      <c r="DT135" s="59">
        <f ca="1">AVERAGE(OFFSET($DS$3,0,0,'Données projet'!$E$14+1,1))-AVERAGE(OFFSET($H$3,0,0,'Données projet'!$E$14+1,1))</f>
        <v>635.71275911100679</v>
      </c>
      <c r="DU135" s="59">
        <f t="shared" si="152"/>
        <v>281.7776857269169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32.955376915927189</v>
      </c>
      <c r="EB135" s="21">
        <f>EXP(-LN(2)/25)*EB134+(1-EXP(-LN(2)/25))/(LN(2)/25)*Calculateur!DW135*Calculateur!DY135*VLOOKUP('Données projet'!$B$14,Paramètres!$A$1:$I$89,3,0)*0.475*44/12</f>
        <v>19.619380782384866</v>
      </c>
      <c r="EC135" s="21">
        <f>EXP(-LN(2)/2)*EC134+(1-EXP(-LN(2)/2))/(LN(2)/2)*DW135*DZ135*VLOOKUP('Données projet'!$B$14,Paramètres!$A$1:$I$89,3,0)*0.475*44/12</f>
        <v>0.31912377109528955</v>
      </c>
      <c r="ED135" s="22">
        <f t="shared" si="126"/>
        <v>52.893881469407347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9.0229999999999961</v>
      </c>
      <c r="EJ135" s="12">
        <f>IF('Données projet'!$A$192&gt;35,EJ134+EI135-ER134,IF(A135&lt;'Données projet'!$A$192,$EG$205^A135,IF(A135='Données projet'!$A$192,'Données projet'!$B$192,EJ134+EI135-ER134)))</f>
        <v>466.23400000000083</v>
      </c>
      <c r="EK135" s="17">
        <f>EJ135*VLOOKUP('Données projet'!$B$15,Paramètres!$A$1:$I$89,3,0)*VLOOKUP('Données projet'!$B$15,Paramètres!$A$1:$I$89,5,0)</f>
        <v>312.74976720000058</v>
      </c>
      <c r="EL135" s="13">
        <f t="shared" si="153"/>
        <v>73.842795520695446</v>
      </c>
      <c r="EM135" s="20">
        <f t="shared" si="127"/>
        <v>673.31538007187885</v>
      </c>
      <c r="EN135" s="59">
        <f t="shared" si="128"/>
        <v>966.64871340521222</v>
      </c>
      <c r="EO135" s="59">
        <f ca="1">AVERAGE(OFFSET($EN$3,0,0,'Données projet'!$E$15+1,1))-AVERAGE(OFFSET($H$3,0,0,'Données projet'!$E$15+1,1))</f>
        <v>482.99915419700773</v>
      </c>
      <c r="EP135" s="59">
        <f t="shared" si="154"/>
        <v>219.74157899604279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30.114396147312764</v>
      </c>
      <c r="EW135" s="21">
        <f>EXP(-LN(2)/25)*EW134+(1-EXP(-LN(2)/25))/(LN(2)/25)*Calculateur!ER135*Calculateur!ET135*VLOOKUP('Données projet'!$B$15,Paramètres!$A$1:$I$89,3,0)*0.475*44/12</f>
        <v>17.928054852868929</v>
      </c>
      <c r="EX135" s="21">
        <f>EXP(-LN(2)/2)*EX134+(1-EXP(-LN(2)/2))/(LN(2)/2)*ER135*EU135*VLOOKUP('Données projet'!$B$15,Paramètres!$A$1:$I$89,3,0)*0.475*44/12</f>
        <v>0.23659176132926638</v>
      </c>
      <c r="EY135" s="22">
        <f t="shared" si="129"/>
        <v>48.279042761510958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9.0229999999999961</v>
      </c>
      <c r="FE135" s="12">
        <f>IF('Données projet'!$A$218&gt;35,FE134+FD135-FM134,IF(A135&lt;'Données projet'!$A$218,$FB$205^A135,IF(A135='Données projet'!$A$218,'Données projet'!$B$218,FE134+FD135-FM134)))</f>
        <v>466.23400000000083</v>
      </c>
      <c r="FF135" s="17">
        <f>FE135*VLOOKUP('Données projet'!$B$16,Paramètres!$A$1:$I$89,3,0)*VLOOKUP('Données projet'!$B$16,Paramètres!$A$1:$I$89,5,0)</f>
        <v>443.66827440000083</v>
      </c>
      <c r="FG135" s="13">
        <f t="shared" si="155"/>
        <v>100.57564921001506</v>
      </c>
      <c r="FH135" s="20">
        <f t="shared" si="130"/>
        <v>947.89150028744427</v>
      </c>
      <c r="FI135" s="59">
        <f t="shared" si="131"/>
        <v>1241.2248336207776</v>
      </c>
      <c r="FJ135" s="59">
        <f ca="1">AVERAGE(OFFSET($FI$3,0,0,'Données projet'!$E$16+1,1))-AVERAGE(OFFSET($H$3,0,0,'Données projet'!$E$16+1,1))</f>
        <v>666.1523645983184</v>
      </c>
      <c r="FK135" s="59">
        <f t="shared" si="156"/>
        <v>294.13851344047526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34.65996537709583</v>
      </c>
      <c r="FR135" s="21">
        <f>EXP(-LN(2)/25)*FR134+(1-EXP(-LN(2)/25))/(LN(2)/25)*Calculateur!FM135*Calculateur!FO135*VLOOKUP('Données projet'!$B$16,Paramètres!$A$1:$I$89,3,0)*0.475*44/12</f>
        <v>20.634176340094424</v>
      </c>
      <c r="FS135" s="21">
        <f>EXP(-LN(2)/2)*FS134+(1-EXP(-LN(2)/2))/(LN(2)/2)*FM135*FP135*VLOOKUP('Données projet'!$B$16,Paramètres!$A$1:$I$89,3,0)*0.475*44/12</f>
        <v>0.33563017304849418</v>
      </c>
      <c r="FT135" s="22">
        <f t="shared" si="132"/>
        <v>55.62977189023875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328.55631138162721</v>
      </c>
      <c r="T136" s="59">
        <f t="shared" si="142"/>
        <v>321.81422611044985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13.605940478976011</v>
      </c>
      <c r="AA136" s="21">
        <f>EXP(-LN(2)/25)*AA135+(1-EXP(-LN(2)/25))/(LN(2)/25)*Calculateur!V136*Calculateur!X136*VLOOKUP('Données projet'!$B$9,Paramètres!$A$1:$I$89,3,0)*0.475*44/12</f>
        <v>8.8278517478335825</v>
      </c>
      <c r="AB136" s="21">
        <f>EXP(-LN(2)/2)*AB135+(1-EXP(-LN(2)/2))/(LN(2)/2)*V136*Y136*VLOOKUP('Données projet'!$B$9,Paramètres!$A$1:$I$89,3,0)*0.475*44/12</f>
        <v>6.0612996336584503E-7</v>
      </c>
      <c r="AC136" s="22">
        <f t="shared" si="111"/>
        <v>22.433792832939556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353.37479213497227</v>
      </c>
      <c r="AO136" s="59">
        <f t="shared" si="144"/>
        <v>345.4750813433123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18.19735631601791</v>
      </c>
      <c r="AV136" s="21">
        <f>EXP(-LN(2)/25)*AV135+(1-EXP(-LN(2)/25))/(LN(2)/25)*Calculateur!AQ136*Calculateur!AS136*VLOOKUP('Données projet'!$B$10,Paramètres!$A$1:$I$89,3,0)*0.475*44/12</f>
        <v>11.806869507369722</v>
      </c>
      <c r="AW136" s="21">
        <f>EXP(-LN(2)/2)*AW135+(1-EXP(-LN(2)/2))/(LN(2)/2)*AQ136*AT136*VLOOKUP('Données projet'!$B$10,Paramètres!$A$1:$I$89,3,0)*0.475*44/12</f>
        <v>6.5771549216294018E-7</v>
      </c>
      <c r="AX136" s="21">
        <f t="shared" si="114"/>
        <v>30.004226481103125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359.57284550600366</v>
      </c>
      <c r="BJ136" s="59">
        <f t="shared" si="146"/>
        <v>351.38386928091433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18.554167224175121</v>
      </c>
      <c r="BQ136" s="21">
        <f>EXP(-LN(2)/25)*BQ135+(1-EXP(-LN(2)/25))/(LN(2)/25)*Calculateur!BL136*Calculateur!BN136*VLOOKUP('Données projet'!$B$11,Paramètres!$A$1:$I$89,3,0)*0.475*44/12</f>
        <v>12.038376752612262</v>
      </c>
      <c r="BR136" s="21">
        <f>EXP(-LN(2)/2)*BR135+(1-EXP(-LN(2)/2))/(LN(2)/2)*BL136*BO136*VLOOKUP('Données projet'!$B$11,Paramètres!$A$1:$I$89,3,0)*0.475*44/12</f>
        <v>6.7061187436221359E-7</v>
      </c>
      <c r="BS136" s="22">
        <f t="shared" si="117"/>
        <v>30.592544647399258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-8.5265128291212022E-14</v>
      </c>
      <c r="BZ136" s="13">
        <f>BY136*VLOOKUP('Données projet'!$B$12,Paramètres!$A$1:$I$89,3,0)*VLOOKUP('Données projet'!$B$12,Paramètres!$A$1:$I$89,5,0)</f>
        <v>-6.9167072069831198E-14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159.4660488566085</v>
      </c>
      <c r="CE136" s="59">
        <f t="shared" si="148"/>
        <v>135.33030558297088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4.9112152395108186</v>
      </c>
      <c r="CM136" s="21">
        <f>EXP(-LN(2)/2)*CM135+(1-EXP(-LN(2)/2))/(LN(2)/2)*CG136*CJ136*VLOOKUP('Données projet'!$B$12,Paramètres!$A$1:$I$89,3,0)*0.475*44/12</f>
        <v>8.4445649638814611E-6</v>
      </c>
      <c r="CN136" s="22">
        <f t="shared" si="120"/>
        <v>4.9112236840757824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353.37479213497227</v>
      </c>
      <c r="CZ136" s="59">
        <f t="shared" si="150"/>
        <v>345.4750813433123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18.19735631601791</v>
      </c>
      <c r="DG136" s="21">
        <f>EXP(-LN(2)/25)*DG135+(1-EXP(-LN(2)/25))/(LN(2)/25)*Calculateur!DB136*Calculateur!DD136*VLOOKUP('Données projet'!$B$13,Paramètres!$A$1:$I$89,3,0)*0.475*44/12</f>
        <v>11.806869507369722</v>
      </c>
      <c r="DH136" s="21">
        <f>EXP(-LN(2)/2)*DH135+(1-EXP(-LN(2)/2))/(LN(2)/2)*DB136*DE136*VLOOKUP('Données projet'!$B$13,Paramètres!$A$1:$I$89,3,0)*0.475*44/12</f>
        <v>6.5771549216294018E-7</v>
      </c>
      <c r="DI136" s="22">
        <f t="shared" si="123"/>
        <v>30.004226481103125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9.0229999999999961</v>
      </c>
      <c r="DO136" s="12">
        <f>IF('Données projet'!$A$166&gt;35,DO135+DN136-DW135,IF(A136&lt;'Données projet'!$A$166,$DL$205^A136,IF(A136='Données projet'!$A$166,'Données projet'!$B$166,DO135+DN136-DW135)))</f>
        <v>475.25700000000086</v>
      </c>
      <c r="DP136" s="17">
        <f>DO136*VLOOKUP('Données projet'!$B$14,Paramètres!$A$1:$I$89,3,0)*VLOOKUP('Données projet'!$B$14,Paramètres!$A$1:$I$89,5,0)</f>
        <v>430.01253360000078</v>
      </c>
      <c r="DQ136" s="13">
        <f t="shared" si="151"/>
        <v>97.835389274652726</v>
      </c>
      <c r="DR136" s="20">
        <f t="shared" si="124"/>
        <v>919.33513234002146</v>
      </c>
      <c r="DS136" s="59">
        <f t="shared" si="125"/>
        <v>1212.6684656733548</v>
      </c>
      <c r="DT136" s="59">
        <f ca="1">AVERAGE(OFFSET($DS$3,0,0,'Données projet'!$E$14+1,1))-AVERAGE(OFFSET($H$3,0,0,'Données projet'!$E$14+1,1))</f>
        <v>635.71275911100679</v>
      </c>
      <c r="DU136" s="59">
        <f t="shared" si="152"/>
        <v>281.7776857269169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32.309142075400985</v>
      </c>
      <c r="EB136" s="21">
        <f>EXP(-LN(2)/25)*EB135+(1-EXP(-LN(2)/25))/(LN(2)/25)*Calculateur!DW136*Calculateur!DY136*VLOOKUP('Données projet'!$B$14,Paramètres!$A$1:$I$89,3,0)*0.475*44/12</f>
        <v>19.082887783152156</v>
      </c>
      <c r="EC136" s="21">
        <f>EXP(-LN(2)/2)*EC135+(1-EXP(-LN(2)/2))/(LN(2)/2)*DW136*DZ136*VLOOKUP('Données projet'!$B$14,Paramètres!$A$1:$I$89,3,0)*0.475*44/12</f>
        <v>0.22565458257930279</v>
      </c>
      <c r="ED136" s="22">
        <f t="shared" si="126"/>
        <v>51.617684441132447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9.0229999999999961</v>
      </c>
      <c r="EJ136" s="12">
        <f>IF('Données projet'!$A$192&gt;35,EJ135+EI136-ER135,IF(A136&lt;'Données projet'!$A$192,$EG$205^A136,IF(A136='Données projet'!$A$192,'Données projet'!$B$192,EJ135+EI136-ER135)))</f>
        <v>475.25700000000086</v>
      </c>
      <c r="EK136" s="17">
        <f>EJ136*VLOOKUP('Données projet'!$B$15,Paramètres!$A$1:$I$89,3,0)*VLOOKUP('Données projet'!$B$15,Paramètres!$A$1:$I$89,5,0)</f>
        <v>318.80239560000058</v>
      </c>
      <c r="EL136" s="13">
        <f t="shared" si="153"/>
        <v>75.104114424863937</v>
      </c>
      <c r="EM136" s="20">
        <f t="shared" si="127"/>
        <v>686.0538382933056</v>
      </c>
      <c r="EN136" s="59">
        <f t="shared" si="128"/>
        <v>979.38717162663897</v>
      </c>
      <c r="EO136" s="59">
        <f ca="1">AVERAGE(OFFSET($EN$3,0,0,'Données projet'!$E$15+1,1))-AVERAGE(OFFSET($H$3,0,0,'Données projet'!$E$15+1,1))</f>
        <v>482.99915419700773</v>
      </c>
      <c r="EP136" s="59">
        <f t="shared" si="154"/>
        <v>219.74157899604279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29.523871206831924</v>
      </c>
      <c r="EW136" s="21">
        <f>EXP(-LN(2)/25)*EW135+(1-EXP(-LN(2)/25))/(LN(2)/25)*Calculateur!ER136*Calculateur!ET136*VLOOKUP('Données projet'!$B$15,Paramètres!$A$1:$I$89,3,0)*0.475*44/12</f>
        <v>17.437811250121797</v>
      </c>
      <c r="EX136" s="21">
        <f>EXP(-LN(2)/2)*EX135+(1-EXP(-LN(2)/2))/(LN(2)/2)*ER136*EU136*VLOOKUP('Données projet'!$B$15,Paramètres!$A$1:$I$89,3,0)*0.475*44/12</f>
        <v>0.16729563880879345</v>
      </c>
      <c r="EY136" s="22">
        <f t="shared" si="129"/>
        <v>47.12897809576252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9.0229999999999961</v>
      </c>
      <c r="FE136" s="12">
        <f>IF('Données projet'!$A$218&gt;35,FE135+FD136-FM135,IF(A136&lt;'Données projet'!$A$218,$FB$205^A136,IF(A136='Données projet'!$A$218,'Données projet'!$B$218,FE135+FD136-FM135)))</f>
        <v>475.25700000000086</v>
      </c>
      <c r="FF136" s="17">
        <f>FE136*VLOOKUP('Données projet'!$B$16,Paramètres!$A$1:$I$89,3,0)*VLOOKUP('Données projet'!$B$16,Paramètres!$A$1:$I$89,5,0)</f>
        <v>452.25456120000081</v>
      </c>
      <c r="FG136" s="13">
        <f t="shared" si="155"/>
        <v>102.29359564951639</v>
      </c>
      <c r="FH136" s="20">
        <f t="shared" si="130"/>
        <v>965.83803984624228</v>
      </c>
      <c r="FI136" s="59">
        <f t="shared" si="131"/>
        <v>1259.1713731795755</v>
      </c>
      <c r="FJ136" s="59">
        <f ca="1">AVERAGE(OFFSET($FI$3,0,0,'Données projet'!$E$16+1,1))-AVERAGE(OFFSET($H$3,0,0,'Données projet'!$E$16+1,1))</f>
        <v>666.1523645983184</v>
      </c>
      <c r="FK136" s="59">
        <f t="shared" si="156"/>
        <v>294.13851344047526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33.98030459654241</v>
      </c>
      <c r="FR136" s="21">
        <f>EXP(-LN(2)/25)*FR135+(1-EXP(-LN(2)/25))/(LN(2)/25)*Calculateur!FM136*Calculateur!FO136*VLOOKUP('Données projet'!$B$16,Paramètres!$A$1:$I$89,3,0)*0.475*44/12</f>
        <v>20.069933702970367</v>
      </c>
      <c r="FS136" s="21">
        <f>EXP(-LN(2)/2)*FS135+(1-EXP(-LN(2)/2))/(LN(2)/2)*FM136*FP136*VLOOKUP('Données projet'!$B$16,Paramètres!$A$1:$I$89,3,0)*0.475*44/12</f>
        <v>0.23732637133340467</v>
      </c>
      <c r="FT136" s="22">
        <f t="shared" si="132"/>
        <v>54.28756467084618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328.55631138162721</v>
      </c>
      <c r="T137" s="59">
        <f t="shared" si="142"/>
        <v>321.81422611044985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13.339136284987545</v>
      </c>
      <c r="AA137" s="21">
        <f>EXP(-LN(2)/25)*AA136+(1-EXP(-LN(2)/25))/(LN(2)/25)*Calculateur!V137*Calculateur!X137*VLOOKUP('Données projet'!$B$9,Paramètres!$A$1:$I$89,3,0)*0.475*44/12</f>
        <v>8.5864536775525266</v>
      </c>
      <c r="AB137" s="21">
        <f>EXP(-LN(2)/2)*AB136+(1-EXP(-LN(2)/2))/(LN(2)/2)*V137*Y137*VLOOKUP('Données projet'!$B$9,Paramètres!$A$1:$I$89,3,0)*0.475*44/12</f>
        <v>4.2859860737634266E-7</v>
      </c>
      <c r="AC137" s="22">
        <f t="shared" si="111"/>
        <v>21.92559039113868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353.37479213497227</v>
      </c>
      <c r="AO137" s="59">
        <f t="shared" si="144"/>
        <v>345.4750813433123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17.840517257952186</v>
      </c>
      <c r="AV137" s="21">
        <f>EXP(-LN(2)/25)*AV136+(1-EXP(-LN(2)/25))/(LN(2)/25)*Calculateur!AQ137*Calculateur!AS137*VLOOKUP('Données projet'!$B$10,Paramètres!$A$1:$I$89,3,0)*0.475*44/12</f>
        <v>11.484010039794414</v>
      </c>
      <c r="AW137" s="21">
        <f>EXP(-LN(2)/2)*AW136+(1-EXP(-LN(2)/2))/(LN(2)/2)*AQ137*AT137*VLOOKUP('Données projet'!$B$10,Paramètres!$A$1:$I$89,3,0)*0.475*44/12</f>
        <v>4.6507508459986258E-7</v>
      </c>
      <c r="AX137" s="21">
        <f t="shared" si="114"/>
        <v>29.324527762821685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359.57284550600366</v>
      </c>
      <c r="BJ137" s="59">
        <f t="shared" si="146"/>
        <v>351.38386928091433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18.1903313218336</v>
      </c>
      <c r="BQ137" s="21">
        <f>EXP(-LN(2)/25)*BQ136+(1-EXP(-LN(2)/25))/(LN(2)/25)*Calculateur!BL137*Calculateur!BN137*VLOOKUP('Données projet'!$B$11,Paramètres!$A$1:$I$89,3,0)*0.475*44/12</f>
        <v>11.70918670724136</v>
      </c>
      <c r="BR137" s="21">
        <f>EXP(-LN(2)/2)*BR136+(1-EXP(-LN(2)/2))/(LN(2)/2)*BL137*BO137*VLOOKUP('Données projet'!$B$11,Paramètres!$A$1:$I$89,3,0)*0.475*44/12</f>
        <v>4.7419420390574232E-7</v>
      </c>
      <c r="BS137" s="22">
        <f t="shared" si="117"/>
        <v>29.899518503269167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-8.5265128291212022E-14</v>
      </c>
      <c r="BZ137" s="13">
        <f>BY137*VLOOKUP('Données projet'!$B$12,Paramètres!$A$1:$I$89,3,0)*VLOOKUP('Données projet'!$B$12,Paramètres!$A$1:$I$89,5,0)</f>
        <v>-6.9167072069831198E-14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159.4660488566085</v>
      </c>
      <c r="CE137" s="59">
        <f t="shared" si="148"/>
        <v>135.33030558297088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4.7769178005168103</v>
      </c>
      <c r="CM137" s="21">
        <f>EXP(-LN(2)/2)*CM136+(1-EXP(-LN(2)/2))/(LN(2)/2)*CG137*CJ137*VLOOKUP('Données projet'!$B$12,Paramètres!$A$1:$I$89,3,0)*0.475*44/12</f>
        <v>5.9712091501309141E-6</v>
      </c>
      <c r="CN137" s="22">
        <f t="shared" si="120"/>
        <v>4.7769237717259605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353.37479213497227</v>
      </c>
      <c r="CZ137" s="59">
        <f t="shared" si="150"/>
        <v>345.4750813433123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17.840517257952186</v>
      </c>
      <c r="DG137" s="21">
        <f>EXP(-LN(2)/25)*DG136+(1-EXP(-LN(2)/25))/(LN(2)/25)*Calculateur!DB137*Calculateur!DD137*VLOOKUP('Données projet'!$B$13,Paramètres!$A$1:$I$89,3,0)*0.475*44/12</f>
        <v>11.484010039794414</v>
      </c>
      <c r="DH137" s="21">
        <f>EXP(-LN(2)/2)*DH136+(1-EXP(-LN(2)/2))/(LN(2)/2)*DB137*DE137*VLOOKUP('Données projet'!$B$13,Paramètres!$A$1:$I$89,3,0)*0.475*44/12</f>
        <v>4.6507508459986258E-7</v>
      </c>
      <c r="DI137" s="22">
        <f t="shared" si="123"/>
        <v>29.324527762821685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>
        <f>VLOOKUP(A137,'Données projet'!$A$165:$I$185,2,0)</f>
        <v>484.28</v>
      </c>
      <c r="DM137" s="12">
        <f>VLOOKUP(A137,'Données projet'!$A$165:$I$185,9,0)</f>
        <v>9.0229999999999961</v>
      </c>
      <c r="DN137" s="12">
        <f t="array" ref="DN137">INDEX(DM:DM,MIN(IF(ISNUMBER(DM137:DM333),ROW(DM137:DM333),"")))</f>
        <v>9.0229999999999961</v>
      </c>
      <c r="DO137" s="12">
        <f>IF('Données projet'!$A$166&gt;35,DO136+DN137-DW136,IF(A137&lt;'Données projet'!$A$166,$DL$205^A137,IF(A137='Données projet'!$A$166,'Données projet'!$B$166,DO136+DN137-DW136)))</f>
        <v>484.28000000000088</v>
      </c>
      <c r="DP137" s="17">
        <f>DO137*VLOOKUP('Données projet'!$B$14,Paramètres!$A$1:$I$89,3,0)*VLOOKUP('Données projet'!$B$14,Paramètres!$A$1:$I$89,5,0)</f>
        <v>438.17654400000077</v>
      </c>
      <c r="DQ137" s="13">
        <f t="shared" si="151"/>
        <v>99.474836110972063</v>
      </c>
      <c r="DR137" s="20">
        <f t="shared" si="124"/>
        <v>936.40948702661092</v>
      </c>
      <c r="DS137" s="59">
        <f t="shared" si="125"/>
        <v>1229.7428203599443</v>
      </c>
      <c r="DT137" s="59">
        <f ca="1">AVERAGE(OFFSET($DS$3,0,0,'Données projet'!$E$14+1,1))-AVERAGE(OFFSET($H$3,0,0,'Données projet'!$E$14+1,1))</f>
        <v>635.71275911100679</v>
      </c>
      <c r="DU137" s="59">
        <f t="shared" si="152"/>
        <v>281.7776857269169</v>
      </c>
      <c r="DV137" s="15">
        <f>IF(ISNA(VLOOKUP(A137,'Données projet'!$A$165:$I$185,3,0)),0,VLOOKUP(A137,'Données projet'!$A$165:$I$185,3,0))</f>
        <v>11</v>
      </c>
      <c r="DW137" s="15">
        <f>IF(ISNA(VLOOKUP(A137,'Données projet'!$A$165:$I$185,4,0)),0,VLOOKUP(A137,'Données projet'!$A$165:$I$185,4,0))</f>
        <v>60.779999999999973</v>
      </c>
      <c r="DX137" s="16">
        <f>IF(ISNA(VLOOKUP(A137,'Données projet'!$A$165:$I$185,5,0)),0%,VLOOKUP(A137,'Données projet'!$A$165:$I$185,5,0)*VLOOKUP('Données projet'!$B$14,Paramètres!$A$1:$I$89,7,0))</f>
        <v>0.215</v>
      </c>
      <c r="DY137" s="16">
        <f>IF(ISNA(VLOOKUP(A137,'Données projet'!$A$165:$I$185,6,0)),0%,VLOOKUP(A137,'Données projet'!$A$165:$I$185,6,0)*VLOOKUP('Données projet'!$B$14,Paramètres!$A$1:$I$89,7,0))</f>
        <v>8.6000000000000007E-2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44.746279842031008</v>
      </c>
      <c r="EB137" s="21">
        <f>EXP(-LN(2)/25)*EB136+(1-EXP(-LN(2)/25))/(LN(2)/25)*Calculateur!DW137*Calculateur!DY137*VLOOKUP('Données projet'!$B$14,Paramètres!$A$1:$I$89,3,0)*0.475*44/12</f>
        <v>23.768759616615345</v>
      </c>
      <c r="EC137" s="21">
        <f>EXP(-LN(2)/2)*EC136+(1-EXP(-LN(2)/2))/(LN(2)/2)*DW137*DZ137*VLOOKUP('Données projet'!$B$14,Paramètres!$A$1:$I$89,3,0)*0.475*44/12</f>
        <v>0.15956188554764478</v>
      </c>
      <c r="ED137" s="22">
        <f t="shared" si="126"/>
        <v>68.674601344194002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>
        <f>VLOOKUP(A137,'Données projet'!$A$191:$I$211,2,0)</f>
        <v>484.28</v>
      </c>
      <c r="EH137" s="12">
        <f>VLOOKUP(A137,'Données projet'!$A$191:$I$211,9,0)</f>
        <v>9.0229999999999961</v>
      </c>
      <c r="EI137" s="12">
        <f t="array" ref="EI137">INDEX(EH:EH,MIN(IF(ISNUMBER(EH137:EH333),ROW(EH137:EH333),"")))</f>
        <v>9.0229999999999961</v>
      </c>
      <c r="EJ137" s="12">
        <f>IF('Données projet'!$A$192&gt;35,EJ136+EI137-ER136,IF(A137&lt;'Données projet'!$A$192,$EG$205^A137,IF(A137='Données projet'!$A$192,'Données projet'!$B$192,EJ136+EI137-ER136)))</f>
        <v>484.28000000000088</v>
      </c>
      <c r="EK137" s="17">
        <f>EJ137*VLOOKUP('Données projet'!$B$15,Paramètres!$A$1:$I$89,3,0)*VLOOKUP('Données projet'!$B$15,Paramètres!$A$1:$I$89,5,0)</f>
        <v>324.85502400000058</v>
      </c>
      <c r="EL137" s="13">
        <f t="shared" si="153"/>
        <v>76.362648823319162</v>
      </c>
      <c r="EM137" s="20">
        <f t="shared" si="127"/>
        <v>698.78744683394837</v>
      </c>
      <c r="EN137" s="59">
        <f t="shared" si="128"/>
        <v>992.12078016728174</v>
      </c>
      <c r="EO137" s="59">
        <f ca="1">AVERAGE(OFFSET($EN$3,0,0,'Données projet'!$E$15+1,1))-AVERAGE(OFFSET($H$3,0,0,'Données projet'!$E$15+1,1))</f>
        <v>482.99915419700773</v>
      </c>
      <c r="EP137" s="59">
        <f t="shared" si="154"/>
        <v>219.74157899604279</v>
      </c>
      <c r="EQ137" s="15">
        <f>IF(ISNA(VLOOKUP(A137,'Données projet'!$A$191:$I$211,3,0)),0,VLOOKUP(A137,'Données projet'!$A$191:$I$211,3,0))</f>
        <v>11</v>
      </c>
      <c r="ER137" s="15">
        <f>IF(ISNA(VLOOKUP(A137,'Données projet'!$A$191:$I$211,4,0)),0,VLOOKUP(A137,'Données projet'!$A$191:$I$211,4,0))</f>
        <v>60.779999999999973</v>
      </c>
      <c r="ES137" s="16">
        <f>IF(ISNA(VLOOKUP(A137,'Données projet'!$A$191:$I$211,5,0)),0%,VLOOKUP(A137,'Données projet'!$A$191:$I$211,5,0)*VLOOKUP('Données projet'!$B$15,Paramètres!$A$1:$I$89,7,0))</f>
        <v>0.26500000000000001</v>
      </c>
      <c r="ET137" s="16">
        <f>IF(ISNA(VLOOKUP(A137,'Données projet'!$A$191:$I$211,6,0)),0%,VLOOKUP(A137,'Données projet'!$A$191:$I$211,6,0)*VLOOKUP('Données projet'!$B$15,Paramètres!$A$1:$I$89,7,0))</f>
        <v>0.10600000000000001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40.888841924614539</v>
      </c>
      <c r="EW137" s="21">
        <f>EXP(-LN(2)/25)*EW136+(1-EXP(-LN(2)/25))/(LN(2)/25)*Calculateur!ER137*Calculateur!ET137*VLOOKUP('Données projet'!$B$15,Paramètres!$A$1:$I$89,3,0)*0.475*44/12</f>
        <v>21.719728615182987</v>
      </c>
      <c r="EX137" s="21">
        <f>EXP(-LN(2)/2)*EX136+(1-EXP(-LN(2)/2))/(LN(2)/2)*ER137*EU137*VLOOKUP('Données projet'!$B$15,Paramètres!$A$1:$I$89,3,0)*0.475*44/12</f>
        <v>0.1182958806646332</v>
      </c>
      <c r="EY137" s="22">
        <f t="shared" si="129"/>
        <v>62.726866420462159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>
        <f>VLOOKUP(A137,'Données projet'!$A$217:$I$237,2,0)</f>
        <v>484.28</v>
      </c>
      <c r="FC137" s="12">
        <f>VLOOKUP(A137,'Données projet'!$A$217:$I$237,9,0)</f>
        <v>9.0229999999999961</v>
      </c>
      <c r="FD137" s="12">
        <f t="array" ref="FD137">INDEX(FC:FC,MIN(IF(ISNUMBER(FC137:FC333),ROW(FC137:FC333),"")))</f>
        <v>9.0229999999999961</v>
      </c>
      <c r="FE137" s="12">
        <f>IF('Données projet'!$A$218&gt;35,FE136+FD137-FM136,IF(A137&lt;'Données projet'!$A$218,$FB$205^A137,IF(A137='Données projet'!$A$218,'Données projet'!$B$218,FE136+FD137-FM136)))</f>
        <v>484.28000000000088</v>
      </c>
      <c r="FF137" s="17">
        <f>FE137*VLOOKUP('Données projet'!$B$16,Paramètres!$A$1:$I$89,3,0)*VLOOKUP('Données projet'!$B$16,Paramètres!$A$1:$I$89,5,0)</f>
        <v>460.84084800000079</v>
      </c>
      <c r="FG137" s="13">
        <f t="shared" si="155"/>
        <v>104.00774952580478</v>
      </c>
      <c r="FH137" s="20">
        <f t="shared" si="130"/>
        <v>983.77797402411124</v>
      </c>
      <c r="FI137" s="59">
        <f t="shared" si="131"/>
        <v>1277.1113073574445</v>
      </c>
      <c r="FJ137" s="59">
        <f ca="1">AVERAGE(OFFSET($FI$3,0,0,'Données projet'!$E$16+1,1))-AVERAGE(OFFSET($H$3,0,0,'Données projet'!$E$16+1,1))</f>
        <v>666.1523645983184</v>
      </c>
      <c r="FK137" s="59">
        <f t="shared" si="156"/>
        <v>294.13851344047526</v>
      </c>
      <c r="FL137" s="15">
        <f>IF(ISNA(VLOOKUP(A137,'Données projet'!$A$217:$I$237,3,0)),0,VLOOKUP(A137,'Données projet'!$A$217:$I$237,3,0))</f>
        <v>11</v>
      </c>
      <c r="FM137" s="15">
        <f>IF(ISNA(VLOOKUP(A137,'Données projet'!$A$217:$I$237,4,0)),0,VLOOKUP(A137,'Données projet'!$A$217:$I$237,4,0))</f>
        <v>60.779999999999973</v>
      </c>
      <c r="FN137" s="16">
        <f>IF(ISNA(VLOOKUP(A137,'Données projet'!$A$217:$I$237,5,0)),0%,VLOOKUP(A137,'Données projet'!$A$217:$I$237,5,0)*VLOOKUP('Données projet'!$B$16,Paramètres!$A$1:$I$89,7,0))</f>
        <v>0.215</v>
      </c>
      <c r="FO137" s="16">
        <f>IF(ISNA(VLOOKUP(A137,'Données projet'!$A$217:$I$237,6,0)),0%,VLOOKUP(A137,'Données projet'!$A$217:$I$237,6,0)*VLOOKUP('Données projet'!$B$16,Paramètres!$A$1:$I$89,7,0))</f>
        <v>8.6000000000000007E-2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47.060742592480885</v>
      </c>
      <c r="FR137" s="21">
        <f>EXP(-LN(2)/25)*FR136+(1-EXP(-LN(2)/25))/(LN(2)/25)*Calculateur!FM137*Calculateur!FO137*VLOOKUP('Données projet'!$B$16,Paramètres!$A$1:$I$89,3,0)*0.475*44/12</f>
        <v>24.998178217474756</v>
      </c>
      <c r="FS137" s="21">
        <f>EXP(-LN(2)/2)*FS136+(1-EXP(-LN(2)/2))/(LN(2)/2)*FM137*FP137*VLOOKUP('Données projet'!$B$16,Paramètres!$A$1:$I$89,3,0)*0.475*44/12</f>
        <v>0.16781508652424712</v>
      </c>
      <c r="FT137" s="22">
        <f t="shared" si="132"/>
        <v>72.22673589647988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328.55631138162721</v>
      </c>
      <c r="T138" s="59">
        <f t="shared" si="142"/>
        <v>321.81422611044985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13.077563958508703</v>
      </c>
      <c r="AA138" s="21">
        <f>EXP(-LN(2)/25)*AA137+(1-EXP(-LN(2)/25))/(LN(2)/25)*Calculateur!V138*Calculateur!X138*VLOOKUP('Données projet'!$B$9,Paramètres!$A$1:$I$89,3,0)*0.475*44/12</f>
        <v>8.351656650197878</v>
      </c>
      <c r="AB138" s="21">
        <f>EXP(-LN(2)/2)*AB137+(1-EXP(-LN(2)/2))/(LN(2)/2)*V138*Y138*VLOOKUP('Données projet'!$B$9,Paramètres!$A$1:$I$89,3,0)*0.475*44/12</f>
        <v>3.0306498168292252E-7</v>
      </c>
      <c r="AC138" s="22">
        <f t="shared" si="111"/>
        <v>21.429220911771562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353.37479213497227</v>
      </c>
      <c r="AO138" s="59">
        <f t="shared" si="144"/>
        <v>345.4750813433123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17.490675596164799</v>
      </c>
      <c r="AV138" s="21">
        <f>EXP(-LN(2)/25)*AV137+(1-EXP(-LN(2)/25))/(LN(2)/25)*Calculateur!AQ138*Calculateur!AS138*VLOOKUP('Données projet'!$B$10,Paramètres!$A$1:$I$89,3,0)*0.475*44/12</f>
        <v>11.169979181338395</v>
      </c>
      <c r="AW138" s="21">
        <f>EXP(-LN(2)/2)*AW137+(1-EXP(-LN(2)/2))/(LN(2)/2)*AQ138*AT138*VLOOKUP('Données projet'!$B$10,Paramètres!$A$1:$I$89,3,0)*0.475*44/12</f>
        <v>3.2885774608147014E-7</v>
      </c>
      <c r="AX138" s="21">
        <f t="shared" si="114"/>
        <v>28.660655106360938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359.57284550600366</v>
      </c>
      <c r="BJ138" s="59">
        <f t="shared" si="146"/>
        <v>351.38386928091433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17.833630019619008</v>
      </c>
      <c r="BQ138" s="21">
        <f>EXP(-LN(2)/25)*BQ137+(1-EXP(-LN(2)/25))/(LN(2)/25)*Calculateur!BL138*Calculateur!BN138*VLOOKUP('Données projet'!$B$11,Paramètres!$A$1:$I$89,3,0)*0.475*44/12</f>
        <v>11.388998380972478</v>
      </c>
      <c r="BR138" s="21">
        <f>EXP(-LN(2)/2)*BR137+(1-EXP(-LN(2)/2))/(LN(2)/2)*BL138*BO138*VLOOKUP('Données projet'!$B$11,Paramètres!$A$1:$I$89,3,0)*0.475*44/12</f>
        <v>3.3530593718110685E-7</v>
      </c>
      <c r="BS138" s="22">
        <f t="shared" si="117"/>
        <v>29.222628735897423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-8.5265128291212022E-14</v>
      </c>
      <c r="BZ138" s="13">
        <f>BY138*VLOOKUP('Données projet'!$B$12,Paramètres!$A$1:$I$89,3,0)*VLOOKUP('Données projet'!$B$12,Paramètres!$A$1:$I$89,5,0)</f>
        <v>-6.9167072069831198E-14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159.4660488566085</v>
      </c>
      <c r="CE138" s="59">
        <f t="shared" si="148"/>
        <v>135.33030558297088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4.6462927320544889</v>
      </c>
      <c r="CM138" s="21">
        <f>EXP(-LN(2)/2)*CM137+(1-EXP(-LN(2)/2))/(LN(2)/2)*CG138*CJ138*VLOOKUP('Données projet'!$B$12,Paramètres!$A$1:$I$89,3,0)*0.475*44/12</f>
        <v>4.2222824819407305E-6</v>
      </c>
      <c r="CN138" s="22">
        <f t="shared" si="120"/>
        <v>4.6462969543369708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353.37479213497227</v>
      </c>
      <c r="CZ138" s="59">
        <f t="shared" si="150"/>
        <v>345.4750813433123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17.490675596164799</v>
      </c>
      <c r="DG138" s="21">
        <f>EXP(-LN(2)/25)*DG137+(1-EXP(-LN(2)/25))/(LN(2)/25)*Calculateur!DB138*Calculateur!DD138*VLOOKUP('Données projet'!$B$13,Paramètres!$A$1:$I$89,3,0)*0.475*44/12</f>
        <v>11.169979181338395</v>
      </c>
      <c r="DH138" s="21">
        <f>EXP(-LN(2)/2)*DH137+(1-EXP(-LN(2)/2))/(LN(2)/2)*DB138*DE138*VLOOKUP('Données projet'!$B$13,Paramètres!$A$1:$I$89,3,0)*0.475*44/12</f>
        <v>3.2885774608147014E-7</v>
      </c>
      <c r="DI138" s="22">
        <f t="shared" si="123"/>
        <v>28.660655106360938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9.1440000000000055</v>
      </c>
      <c r="DO138" s="12">
        <f>IF('Données projet'!$A$166&gt;35,DO137+DN138-DW137,IF(A138&lt;'Données projet'!$A$166,$DL$205^A138,IF(A138='Données projet'!$A$166,'Données projet'!$B$166,DO137+DN138-DW137)))</f>
        <v>432.64400000000091</v>
      </c>
      <c r="DP138" s="17">
        <f>DO138*VLOOKUP('Données projet'!$B$14,Paramètres!$A$1:$I$89,3,0)*VLOOKUP('Données projet'!$B$14,Paramètres!$A$1:$I$89,5,0)</f>
        <v>391.45629120000086</v>
      </c>
      <c r="DQ138" s="13">
        <f t="shared" si="151"/>
        <v>90.042388870129827</v>
      </c>
      <c r="DR138" s="20">
        <f t="shared" si="124"/>
        <v>838.6102011221443</v>
      </c>
      <c r="DS138" s="59">
        <f t="shared" si="125"/>
        <v>1131.9435344554777</v>
      </c>
      <c r="DT138" s="59">
        <f ca="1">AVERAGE(OFFSET($DS$3,0,0,'Données projet'!$E$14+1,1))-AVERAGE(OFFSET($H$3,0,0,'Données projet'!$E$14+1,1))</f>
        <v>635.71275911100679</v>
      </c>
      <c r="DU138" s="59">
        <f t="shared" si="152"/>
        <v>281.7776857269169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43.868832586864571</v>
      </c>
      <c r="EB138" s="21">
        <f>EXP(-LN(2)/25)*EB137+(1-EXP(-LN(2)/25))/(LN(2)/25)*Calculateur!DW138*Calculateur!DY138*VLOOKUP('Données projet'!$B$14,Paramètres!$A$1:$I$89,3,0)*0.475*44/12</f>
        <v>23.118801634954256</v>
      </c>
      <c r="EC138" s="21">
        <f>EXP(-LN(2)/2)*EC137+(1-EXP(-LN(2)/2))/(LN(2)/2)*DW138*DZ138*VLOOKUP('Données projet'!$B$14,Paramètres!$A$1:$I$89,3,0)*0.475*44/12</f>
        <v>0.1128272912896514</v>
      </c>
      <c r="ED138" s="22">
        <f t="shared" si="126"/>
        <v>67.100461513108471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9.1440000000000055</v>
      </c>
      <c r="EJ138" s="12">
        <f>IF('Données projet'!$A$192&gt;35,EJ137+EI138-ER137,IF(A138&lt;'Données projet'!$A$192,$EG$205^A138,IF(A138='Données projet'!$A$192,'Données projet'!$B$192,EJ137+EI138-ER137)))</f>
        <v>432.64400000000091</v>
      </c>
      <c r="EK138" s="17">
        <f>EJ138*VLOOKUP('Données projet'!$B$15,Paramètres!$A$1:$I$89,3,0)*VLOOKUP('Données projet'!$B$15,Paramètres!$A$1:$I$89,5,0)</f>
        <v>290.21759520000057</v>
      </c>
      <c r="EL138" s="13">
        <f t="shared" si="153"/>
        <v>69.121755705451861</v>
      </c>
      <c r="EM138" s="20">
        <f t="shared" si="127"/>
        <v>625.84936949366295</v>
      </c>
      <c r="EN138" s="59">
        <f t="shared" si="128"/>
        <v>919.18270282699632</v>
      </c>
      <c r="EO138" s="59">
        <f ca="1">AVERAGE(OFFSET($EN$3,0,0,'Données projet'!$E$15+1,1))-AVERAGE(OFFSET($H$3,0,0,'Données projet'!$E$15+1,1))</f>
        <v>482.99915419700773</v>
      </c>
      <c r="EP138" s="59">
        <f t="shared" si="154"/>
        <v>219.74157899604279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40.08703667420383</v>
      </c>
      <c r="EW138" s="21">
        <f>EXP(-LN(2)/25)*EW137+(1-EXP(-LN(2)/25))/(LN(2)/25)*Calculateur!ER138*Calculateur!ET138*VLOOKUP('Données projet'!$B$15,Paramètres!$A$1:$I$89,3,0)*0.475*44/12</f>
        <v>21.12580149400992</v>
      </c>
      <c r="EX138" s="21">
        <f>EXP(-LN(2)/2)*EX137+(1-EXP(-LN(2)/2))/(LN(2)/2)*ER138*EU138*VLOOKUP('Données projet'!$B$15,Paramètres!$A$1:$I$89,3,0)*0.475*44/12</f>
        <v>8.3647819404396737E-2</v>
      </c>
      <c r="EY138" s="22">
        <f t="shared" si="129"/>
        <v>61.296485987618148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9.1440000000000055</v>
      </c>
      <c r="FE138" s="12">
        <f>IF('Données projet'!$A$218&gt;35,FE137+FD138-FM137,IF(A138&lt;'Données projet'!$A$218,$FB$205^A138,IF(A138='Données projet'!$A$218,'Données projet'!$B$218,FE137+FD138-FM137)))</f>
        <v>432.64400000000091</v>
      </c>
      <c r="FF138" s="17">
        <f>FE138*VLOOKUP('Données projet'!$B$16,Paramètres!$A$1:$I$89,3,0)*VLOOKUP('Données projet'!$B$16,Paramètres!$A$1:$I$89,5,0)</f>
        <v>411.70403040000082</v>
      </c>
      <c r="FG138" s="13">
        <f t="shared" si="155"/>
        <v>94.145480349040895</v>
      </c>
      <c r="FH138" s="20">
        <f t="shared" si="130"/>
        <v>881.0212312212476</v>
      </c>
      <c r="FI138" s="59">
        <f t="shared" si="131"/>
        <v>1174.354564554581</v>
      </c>
      <c r="FJ138" s="59">
        <f ca="1">AVERAGE(OFFSET($FI$3,0,0,'Données projet'!$E$16+1,1))-AVERAGE(OFFSET($H$3,0,0,'Données projet'!$E$16+1,1))</f>
        <v>666.1523645983184</v>
      </c>
      <c r="FK138" s="59">
        <f t="shared" si="156"/>
        <v>294.13851344047526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46.137910134461009</v>
      </c>
      <c r="FR138" s="21">
        <f>EXP(-LN(2)/25)*FR137+(1-EXP(-LN(2)/25))/(LN(2)/25)*Calculateur!FM138*Calculateur!FO138*VLOOKUP('Données projet'!$B$16,Paramètres!$A$1:$I$89,3,0)*0.475*44/12</f>
        <v>24.314601719520851</v>
      </c>
      <c r="FS138" s="21">
        <f>EXP(-LN(2)/2)*FS137+(1-EXP(-LN(2)/2))/(LN(2)/2)*FM138*FP138*VLOOKUP('Données projet'!$B$16,Paramètres!$A$1:$I$89,3,0)*0.475*44/12</f>
        <v>0.11866318566670235</v>
      </c>
      <c r="FT138" s="22">
        <f t="shared" si="132"/>
        <v>70.571175039648566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328.55631138162721</v>
      </c>
      <c r="T139" s="59">
        <f t="shared" si="142"/>
        <v>321.81422611044985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12.821120905808746</v>
      </c>
      <c r="AA139" s="21">
        <f>EXP(-LN(2)/25)*AA138+(1-EXP(-LN(2)/25))/(LN(2)/25)*Calculateur!V139*Calculateur!X139*VLOOKUP('Données projet'!$B$9,Paramètres!$A$1:$I$89,3,0)*0.475*44/12</f>
        <v>8.1232801599036826</v>
      </c>
      <c r="AB139" s="21">
        <f>EXP(-LN(2)/2)*AB138+(1-EXP(-LN(2)/2))/(LN(2)/2)*V139*Y139*VLOOKUP('Données projet'!$B$9,Paramètres!$A$1:$I$89,3,0)*0.475*44/12</f>
        <v>2.1429930368817133E-7</v>
      </c>
      <c r="AC139" s="22">
        <f t="shared" si="111"/>
        <v>20.944401280011732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353.37479213497227</v>
      </c>
      <c r="AO139" s="59">
        <f t="shared" si="144"/>
        <v>345.4750813433123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17.147694115982716</v>
      </c>
      <c r="AV139" s="21">
        <f>EXP(-LN(2)/25)*AV138+(1-EXP(-LN(2)/25))/(LN(2)/25)*Calculateur!AQ139*Calculateur!AS139*VLOOKUP('Données projet'!$B$10,Paramètres!$A$1:$I$89,3,0)*0.475*44/12</f>
        <v>10.864535513221021</v>
      </c>
      <c r="AW139" s="21">
        <f>EXP(-LN(2)/2)*AW138+(1-EXP(-LN(2)/2))/(LN(2)/2)*AQ139*AT139*VLOOKUP('Données projet'!$B$10,Paramètres!$A$1:$I$89,3,0)*0.475*44/12</f>
        <v>2.3253754229993132E-7</v>
      </c>
      <c r="AX139" s="21">
        <f t="shared" si="114"/>
        <v>28.012229861741279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359.57284550600366</v>
      </c>
      <c r="BJ139" s="59">
        <f t="shared" si="146"/>
        <v>351.38386928091433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17.483923412374534</v>
      </c>
      <c r="BQ139" s="21">
        <f>EXP(-LN(2)/25)*BQ138+(1-EXP(-LN(2)/25))/(LN(2)/25)*Calculateur!BL139*Calculateur!BN139*VLOOKUP('Données projet'!$B$11,Paramètres!$A$1:$I$89,3,0)*0.475*44/12</f>
        <v>11.077565621323391</v>
      </c>
      <c r="BR139" s="21">
        <f>EXP(-LN(2)/2)*BR138+(1-EXP(-LN(2)/2))/(LN(2)/2)*BL139*BO139*VLOOKUP('Données projet'!$B$11,Paramètres!$A$1:$I$89,3,0)*0.475*44/12</f>
        <v>2.3709710195287119E-7</v>
      </c>
      <c r="BS139" s="22">
        <f t="shared" si="117"/>
        <v>28.561489270795025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-8.5265128291212022E-14</v>
      </c>
      <c r="BZ139" s="13">
        <f>BY139*VLOOKUP('Données projet'!$B$12,Paramètres!$A$1:$I$89,3,0)*VLOOKUP('Données projet'!$B$12,Paramètres!$A$1:$I$89,5,0)</f>
        <v>-6.9167072069831198E-14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159.4660488566085</v>
      </c>
      <c r="CE139" s="59">
        <f t="shared" si="148"/>
        <v>135.33030558297088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4.5192396129585433</v>
      </c>
      <c r="CM139" s="21">
        <f>EXP(-LN(2)/2)*CM138+(1-EXP(-LN(2)/2))/(LN(2)/2)*CG139*CJ139*VLOOKUP('Données projet'!$B$12,Paramètres!$A$1:$I$89,3,0)*0.475*44/12</f>
        <v>2.985604575065457E-6</v>
      </c>
      <c r="CN139" s="22">
        <f t="shared" si="120"/>
        <v>4.5192425985631184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353.37479213497227</v>
      </c>
      <c r="CZ139" s="59">
        <f t="shared" si="150"/>
        <v>345.4750813433123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17.147694115982716</v>
      </c>
      <c r="DG139" s="21">
        <f>EXP(-LN(2)/25)*DG138+(1-EXP(-LN(2)/25))/(LN(2)/25)*Calculateur!DB139*Calculateur!DD139*VLOOKUP('Données projet'!$B$13,Paramètres!$A$1:$I$89,3,0)*0.475*44/12</f>
        <v>10.864535513221021</v>
      </c>
      <c r="DH139" s="21">
        <f>EXP(-LN(2)/2)*DH138+(1-EXP(-LN(2)/2))/(LN(2)/2)*DB139*DE139*VLOOKUP('Données projet'!$B$13,Paramètres!$A$1:$I$89,3,0)*0.475*44/12</f>
        <v>2.3253754229993132E-7</v>
      </c>
      <c r="DI139" s="22">
        <f t="shared" si="123"/>
        <v>28.012229861741279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9.1440000000000055</v>
      </c>
      <c r="DO139" s="12">
        <f>IF('Données projet'!$A$166&gt;35,DO138+DN139-DW138,IF(A139&lt;'Données projet'!$A$166,$DL$205^A139,IF(A139='Données projet'!$A$166,'Données projet'!$B$166,DO138+DN139-DW138)))</f>
        <v>441.78800000000092</v>
      </c>
      <c r="DP139" s="17">
        <f>DO139*VLOOKUP('Données projet'!$B$14,Paramètres!$A$1:$I$89,3,0)*VLOOKUP('Données projet'!$B$14,Paramètres!$A$1:$I$89,5,0)</f>
        <v>399.72978240000077</v>
      </c>
      <c r="DQ139" s="13">
        <f t="shared" si="151"/>
        <v>91.721880595341759</v>
      </c>
      <c r="DR139" s="20">
        <f t="shared" si="124"/>
        <v>855.94497971688827</v>
      </c>
      <c r="DS139" s="59">
        <f t="shared" si="125"/>
        <v>1149.2783130502216</v>
      </c>
      <c r="DT139" s="59">
        <f ca="1">AVERAGE(OFFSET($DS$3,0,0,'Données projet'!$E$14+1,1))-AVERAGE(OFFSET($H$3,0,0,'Données projet'!$E$14+1,1))</f>
        <v>635.71275911100679</v>
      </c>
      <c r="DU139" s="59">
        <f t="shared" si="152"/>
        <v>281.7776857269169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43.008591537181964</v>
      </c>
      <c r="EB139" s="21">
        <f>EXP(-LN(2)/25)*EB138+(1-EXP(-LN(2)/25))/(LN(2)/25)*Calculateur!DW139*Calculateur!DY139*VLOOKUP('Données projet'!$B$14,Paramètres!$A$1:$I$89,3,0)*0.475*44/12</f>
        <v>22.486616788481491</v>
      </c>
      <c r="EC139" s="21">
        <f>EXP(-LN(2)/2)*EC138+(1-EXP(-LN(2)/2))/(LN(2)/2)*DW139*DZ139*VLOOKUP('Données projet'!$B$14,Paramètres!$A$1:$I$89,3,0)*0.475*44/12</f>
        <v>7.9780942773822389E-2</v>
      </c>
      <c r="ED139" s="22">
        <f t="shared" si="126"/>
        <v>65.574989268437278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9.1440000000000055</v>
      </c>
      <c r="EJ139" s="12">
        <f>IF('Données projet'!$A$192&gt;35,EJ138+EI139-ER138,IF(A139&lt;'Données projet'!$A$192,$EG$205^A139,IF(A139='Données projet'!$A$192,'Données projet'!$B$192,EJ138+EI139-ER138)))</f>
        <v>441.78800000000092</v>
      </c>
      <c r="EK139" s="17">
        <f>EJ139*VLOOKUP('Données projet'!$B$15,Paramètres!$A$1:$I$89,3,0)*VLOOKUP('Données projet'!$B$15,Paramètres!$A$1:$I$89,5,0)</f>
        <v>296.35139040000064</v>
      </c>
      <c r="EL139" s="13">
        <f t="shared" si="153"/>
        <v>70.411030881245637</v>
      </c>
      <c r="EM139" s="20">
        <f t="shared" si="127"/>
        <v>638.77788373150395</v>
      </c>
      <c r="EN139" s="59">
        <f t="shared" si="128"/>
        <v>932.11121706483732</v>
      </c>
      <c r="EO139" s="59">
        <f ca="1">AVERAGE(OFFSET($EN$3,0,0,'Données projet'!$E$15+1,1))-AVERAGE(OFFSET($H$3,0,0,'Données projet'!$E$15+1,1))</f>
        <v>482.99915419700773</v>
      </c>
      <c r="EP139" s="59">
        <f t="shared" si="154"/>
        <v>219.74157899604279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39.300954335700759</v>
      </c>
      <c r="EW139" s="21">
        <f>EXP(-LN(2)/25)*EW138+(1-EXP(-LN(2)/25))/(LN(2)/25)*Calculateur!ER139*Calculateur!ET139*VLOOKUP('Données projet'!$B$15,Paramètres!$A$1:$I$89,3,0)*0.475*44/12</f>
        <v>20.548115341198603</v>
      </c>
      <c r="EX139" s="21">
        <f>EXP(-LN(2)/2)*EX138+(1-EXP(-LN(2)/2))/(LN(2)/2)*ER139*EU139*VLOOKUP('Données projet'!$B$15,Paramètres!$A$1:$I$89,3,0)*0.475*44/12</f>
        <v>5.9147940332316615E-2</v>
      </c>
      <c r="EY139" s="22">
        <f t="shared" si="129"/>
        <v>59.908217617231678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9.1440000000000055</v>
      </c>
      <c r="FE139" s="12">
        <f>IF('Données projet'!$A$218&gt;35,FE138+FD139-FM138,IF(A139&lt;'Données projet'!$A$218,$FB$205^A139,IF(A139='Données projet'!$A$218,'Données projet'!$B$218,FE138+FD139-FM138)))</f>
        <v>441.78800000000092</v>
      </c>
      <c r="FF139" s="17">
        <f>FE139*VLOOKUP('Données projet'!$B$16,Paramètres!$A$1:$I$89,3,0)*VLOOKUP('Données projet'!$B$16,Paramètres!$A$1:$I$89,5,0)</f>
        <v>420.40546080000092</v>
      </c>
      <c r="FG139" s="13">
        <f t="shared" si="155"/>
        <v>95.901503897465091</v>
      </c>
      <c r="FH139" s="20">
        <f t="shared" si="130"/>
        <v>899.2346301814199</v>
      </c>
      <c r="FI139" s="59">
        <f t="shared" si="131"/>
        <v>1192.5679635147533</v>
      </c>
      <c r="FJ139" s="59">
        <f ca="1">AVERAGE(OFFSET($FI$3,0,0,'Données projet'!$E$16+1,1))-AVERAGE(OFFSET($H$3,0,0,'Données projet'!$E$16+1,1))</f>
        <v>666.1523645983184</v>
      </c>
      <c r="FK139" s="59">
        <f t="shared" si="156"/>
        <v>294.13851344047526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45.233173858070685</v>
      </c>
      <c r="FR139" s="21">
        <f>EXP(-LN(2)/25)*FR138+(1-EXP(-LN(2)/25))/(LN(2)/25)*Calculateur!FM139*Calculateur!FO139*VLOOKUP('Données projet'!$B$16,Paramètres!$A$1:$I$89,3,0)*0.475*44/12</f>
        <v>23.64971765685122</v>
      </c>
      <c r="FS139" s="21">
        <f>EXP(-LN(2)/2)*FS138+(1-EXP(-LN(2)/2))/(LN(2)/2)*FM139*FP139*VLOOKUP('Données projet'!$B$16,Paramètres!$A$1:$I$89,3,0)*0.475*44/12</f>
        <v>8.3907543262123574E-2</v>
      </c>
      <c r="FT139" s="22">
        <f t="shared" si="132"/>
        <v>68.966799058184037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328.55631138162721</v>
      </c>
      <c r="T140" s="59">
        <f t="shared" si="142"/>
        <v>321.81422611044985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12.569706544957416</v>
      </c>
      <c r="AA140" s="21">
        <f>EXP(-LN(2)/25)*AA139+(1-EXP(-LN(2)/25))/(LN(2)/25)*Calculateur!V140*Calculateur!X140*VLOOKUP('Données projet'!$B$9,Paramètres!$A$1:$I$89,3,0)*0.475*44/12</f>
        <v>7.9011486367463784</v>
      </c>
      <c r="AB140" s="21">
        <f>EXP(-LN(2)/2)*AB139+(1-EXP(-LN(2)/2))/(LN(2)/2)*V140*Y140*VLOOKUP('Données projet'!$B$9,Paramètres!$A$1:$I$89,3,0)*0.475*44/12</f>
        <v>1.5153249084146126E-7</v>
      </c>
      <c r="AC140" s="22">
        <f t="shared" si="111"/>
        <v>20.470855333236283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353.37479213497227</v>
      </c>
      <c r="AO140" s="59">
        <f t="shared" si="144"/>
        <v>345.4750813433123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16.81143829342896</v>
      </c>
      <c r="AV140" s="21">
        <f>EXP(-LN(2)/25)*AV139+(1-EXP(-LN(2)/25))/(LN(2)/25)*Calculateur!AQ140*Calculateur!AS140*VLOOKUP('Données projet'!$B$10,Paramètres!$A$1:$I$89,3,0)*0.475*44/12</f>
        <v>10.567444218270902</v>
      </c>
      <c r="AW140" s="21">
        <f>EXP(-LN(2)/2)*AW139+(1-EXP(-LN(2)/2))/(LN(2)/2)*AQ140*AT140*VLOOKUP('Données projet'!$B$10,Paramètres!$A$1:$I$89,3,0)*0.475*44/12</f>
        <v>1.6442887304073507E-7</v>
      </c>
      <c r="AX140" s="21">
        <f t="shared" si="114"/>
        <v>27.378882676128736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359.57284550600366</v>
      </c>
      <c r="BJ140" s="59">
        <f t="shared" si="146"/>
        <v>351.38386928091433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17.141074338398155</v>
      </c>
      <c r="BQ140" s="21">
        <f>EXP(-LN(2)/25)*BQ139+(1-EXP(-LN(2)/25))/(LN(2)/25)*Calculateur!BL140*Calculateur!BN140*VLOOKUP('Données projet'!$B$11,Paramètres!$A$1:$I$89,3,0)*0.475*44/12</f>
        <v>10.774649006864445</v>
      </c>
      <c r="BR140" s="21">
        <f>EXP(-LN(2)/2)*BR139+(1-EXP(-LN(2)/2))/(LN(2)/2)*BL140*BO140*VLOOKUP('Données projet'!$B$11,Paramètres!$A$1:$I$89,3,0)*0.475*44/12</f>
        <v>1.6765296859055345E-7</v>
      </c>
      <c r="BS140" s="22">
        <f t="shared" si="117"/>
        <v>27.915723512915566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-8.5265128291212022E-14</v>
      </c>
      <c r="BZ140" s="13">
        <f>BY140*VLOOKUP('Données projet'!$B$12,Paramètres!$A$1:$I$89,3,0)*VLOOKUP('Données projet'!$B$12,Paramètres!$A$1:$I$89,5,0)</f>
        <v>-6.9167072069831198E-14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159.4660488566085</v>
      </c>
      <c r="CE140" s="59">
        <f t="shared" si="148"/>
        <v>135.33030558297088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4.3956607680857092</v>
      </c>
      <c r="CM140" s="21">
        <f>EXP(-LN(2)/2)*CM139+(1-EXP(-LN(2)/2))/(LN(2)/2)*CG140*CJ140*VLOOKUP('Données projet'!$B$12,Paramètres!$A$1:$I$89,3,0)*0.475*44/12</f>
        <v>2.1111412409703653E-6</v>
      </c>
      <c r="CN140" s="22">
        <f t="shared" si="120"/>
        <v>4.3956628792269505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353.37479213497227</v>
      </c>
      <c r="CZ140" s="59">
        <f t="shared" si="150"/>
        <v>345.4750813433123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16.81143829342896</v>
      </c>
      <c r="DG140" s="21">
        <f>EXP(-LN(2)/25)*DG139+(1-EXP(-LN(2)/25))/(LN(2)/25)*Calculateur!DB140*Calculateur!DD140*VLOOKUP('Données projet'!$B$13,Paramètres!$A$1:$I$89,3,0)*0.475*44/12</f>
        <v>10.567444218270902</v>
      </c>
      <c r="DH140" s="21">
        <f>EXP(-LN(2)/2)*DH139+(1-EXP(-LN(2)/2))/(LN(2)/2)*DB140*DE140*VLOOKUP('Données projet'!$B$13,Paramètres!$A$1:$I$89,3,0)*0.475*44/12</f>
        <v>1.6442887304073507E-7</v>
      </c>
      <c r="DI140" s="22">
        <f t="shared" si="123"/>
        <v>27.378882676128736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9.1440000000000055</v>
      </c>
      <c r="DO140" s="12">
        <f>IF('Données projet'!$A$166&gt;35,DO139+DN140-DW139,IF(A140&lt;'Données projet'!$A$166,$DL$205^A140,IF(A140='Données projet'!$A$166,'Données projet'!$B$166,DO139+DN140-DW139)))</f>
        <v>450.93200000000093</v>
      </c>
      <c r="DP140" s="17">
        <f>DO140*VLOOKUP('Données projet'!$B$14,Paramètres!$A$1:$I$89,3,0)*VLOOKUP('Données projet'!$B$14,Paramètres!$A$1:$I$89,5,0)</f>
        <v>408.00327360000085</v>
      </c>
      <c r="DQ140" s="13">
        <f t="shared" si="151"/>
        <v>93.397330631669121</v>
      </c>
      <c r="DR140" s="20">
        <f t="shared" si="124"/>
        <v>873.27271903682515</v>
      </c>
      <c r="DS140" s="59">
        <f t="shared" si="125"/>
        <v>1166.6060523701585</v>
      </c>
      <c r="DT140" s="59">
        <f ca="1">AVERAGE(OFFSET($DS$3,0,0,'Données projet'!$E$14+1,1))-AVERAGE(OFFSET($H$3,0,0,'Données projet'!$E$14+1,1))</f>
        <v>635.71275911100679</v>
      </c>
      <c r="DU140" s="59">
        <f t="shared" si="152"/>
        <v>281.7776857269169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42.165219289788404</v>
      </c>
      <c r="EB140" s="21">
        <f>EXP(-LN(2)/25)*EB139+(1-EXP(-LN(2)/25))/(LN(2)/25)*Calculateur!DW140*Calculateur!DY140*VLOOKUP('Données projet'!$B$14,Paramètres!$A$1:$I$89,3,0)*0.475*44/12</f>
        <v>21.871719069880683</v>
      </c>
      <c r="EC140" s="21">
        <f>EXP(-LN(2)/2)*EC139+(1-EXP(-LN(2)/2))/(LN(2)/2)*DW140*DZ140*VLOOKUP('Données projet'!$B$14,Paramètres!$A$1:$I$89,3,0)*0.475*44/12</f>
        <v>5.6413645644825698E-2</v>
      </c>
      <c r="ED140" s="22">
        <f t="shared" si="126"/>
        <v>64.093352005313903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9.1440000000000055</v>
      </c>
      <c r="EJ140" s="12">
        <f>IF('Données projet'!$A$192&gt;35,EJ139+EI140-ER139,IF(A140&lt;'Données projet'!$A$192,$EG$205^A140,IF(A140='Données projet'!$A$192,'Données projet'!$B$192,EJ139+EI140-ER139)))</f>
        <v>450.93200000000093</v>
      </c>
      <c r="EK140" s="17">
        <f>EJ140*VLOOKUP('Données projet'!$B$15,Paramètres!$A$1:$I$89,3,0)*VLOOKUP('Données projet'!$B$15,Paramètres!$A$1:$I$89,5,0)</f>
        <v>302.48518560000059</v>
      </c>
      <c r="EL140" s="13">
        <f t="shared" si="153"/>
        <v>71.697203422433319</v>
      </c>
      <c r="EM140" s="20">
        <f t="shared" si="127"/>
        <v>651.70099421407235</v>
      </c>
      <c r="EN140" s="59">
        <f t="shared" si="128"/>
        <v>945.03432754740561</v>
      </c>
      <c r="EO140" s="59">
        <f ca="1">AVERAGE(OFFSET($EN$3,0,0,'Données projet'!$E$15+1,1))-AVERAGE(OFFSET($H$3,0,0,'Données projet'!$E$15+1,1))</f>
        <v>482.99915419700773</v>
      </c>
      <c r="EP140" s="59">
        <f t="shared" si="154"/>
        <v>219.74157899604279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38.530286592392848</v>
      </c>
      <c r="EW140" s="21">
        <f>EXP(-LN(2)/25)*EW139+(1-EXP(-LN(2)/25))/(LN(2)/25)*Calculateur!ER140*Calculateur!ET140*VLOOKUP('Données projet'!$B$15,Paramètres!$A$1:$I$89,3,0)*0.475*44/12</f>
        <v>19.986226046615105</v>
      </c>
      <c r="EX140" s="21">
        <f>EXP(-LN(2)/2)*EX139+(1-EXP(-LN(2)/2))/(LN(2)/2)*ER140*EU140*VLOOKUP('Données projet'!$B$15,Paramètres!$A$1:$I$89,3,0)*0.475*44/12</f>
        <v>4.1823909702198375E-2</v>
      </c>
      <c r="EY140" s="22">
        <f t="shared" si="129"/>
        <v>58.558336548710152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9.1440000000000055</v>
      </c>
      <c r="FE140" s="12">
        <f>IF('Données projet'!$A$218&gt;35,FE139+FD140-FM139,IF(A140&lt;'Données projet'!$A$218,$FB$205^A140,IF(A140='Données projet'!$A$218,'Données projet'!$B$218,FE139+FD140-FM139)))</f>
        <v>450.93200000000093</v>
      </c>
      <c r="FF140" s="17">
        <f>FE140*VLOOKUP('Données projet'!$B$16,Paramètres!$A$1:$I$89,3,0)*VLOOKUP('Données projet'!$B$16,Paramètres!$A$1:$I$89,5,0)</f>
        <v>429.10689120000086</v>
      </c>
      <c r="FG140" s="13">
        <f t="shared" si="155"/>
        <v>97.653301583534528</v>
      </c>
      <c r="FH140" s="20">
        <f t="shared" si="130"/>
        <v>917.44066909799074</v>
      </c>
      <c r="FI140" s="59">
        <f t="shared" si="131"/>
        <v>1210.7740024313241</v>
      </c>
      <c r="FJ140" s="59">
        <f ca="1">AVERAGE(OFFSET($FI$3,0,0,'Données projet'!$E$16+1,1))-AVERAGE(OFFSET($H$3,0,0,'Données projet'!$E$16+1,1))</f>
        <v>666.1523645983184</v>
      </c>
      <c r="FK140" s="59">
        <f t="shared" si="156"/>
        <v>294.13851344047526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44.346178908225738</v>
      </c>
      <c r="FR140" s="21">
        <f>EXP(-LN(2)/25)*FR139+(1-EXP(-LN(2)/25))/(LN(2)/25)*Calculateur!FM140*Calculateur!FO140*VLOOKUP('Données projet'!$B$16,Paramètres!$A$1:$I$89,3,0)*0.475*44/12</f>
        <v>23.003014883840024</v>
      </c>
      <c r="FS140" s="21">
        <f>EXP(-LN(2)/2)*FS139+(1-EXP(-LN(2)/2))/(LN(2)/2)*FM140*FP140*VLOOKUP('Données projet'!$B$16,Paramètres!$A$1:$I$89,3,0)*0.475*44/12</f>
        <v>5.9331592833351189E-2</v>
      </c>
      <c r="FT140" s="22">
        <f t="shared" si="132"/>
        <v>67.408525384899107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328.55631138162721</v>
      </c>
      <c r="T141" s="59">
        <f t="shared" si="142"/>
        <v>321.81422611044985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12.323222266374763</v>
      </c>
      <c r="AA141" s="21">
        <f>EXP(-LN(2)/25)*AA140+(1-EXP(-LN(2)/25))/(LN(2)/25)*Calculateur!V141*Calculateur!X141*VLOOKUP('Données projet'!$B$9,Paramètres!$A$1:$I$89,3,0)*0.475*44/12</f>
        <v>7.6850913117711999</v>
      </c>
      <c r="AB141" s="21">
        <f>EXP(-LN(2)/2)*AB140+(1-EXP(-LN(2)/2))/(LN(2)/2)*V141*Y141*VLOOKUP('Données projet'!$B$9,Paramètres!$A$1:$I$89,3,0)*0.475*44/12</f>
        <v>1.0714965184408566E-7</v>
      </c>
      <c r="AC141" s="22">
        <f t="shared" si="111"/>
        <v>20.008313685295615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353.37479213497227</v>
      </c>
      <c r="AO141" s="59">
        <f t="shared" si="144"/>
        <v>345.4750813433123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16.481776242459681</v>
      </c>
      <c r="AV141" s="21">
        <f>EXP(-LN(2)/25)*AV140+(1-EXP(-LN(2)/25))/(LN(2)/25)*Calculateur!AQ141*Calculateur!AS141*VLOOKUP('Données projet'!$B$10,Paramètres!$A$1:$I$89,3,0)*0.475*44/12</f>
        <v>10.278476900404545</v>
      </c>
      <c r="AW141" s="21">
        <f>EXP(-LN(2)/2)*AW140+(1-EXP(-LN(2)/2))/(LN(2)/2)*AQ141*AT141*VLOOKUP('Données projet'!$B$10,Paramètres!$A$1:$I$89,3,0)*0.475*44/12</f>
        <v>1.1626877114996566E-7</v>
      </c>
      <c r="AX141" s="21">
        <f t="shared" si="114"/>
        <v>26.760253259132998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359.57284550600366</v>
      </c>
      <c r="BJ141" s="59">
        <f t="shared" si="146"/>
        <v>351.38386928091433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16.804948325645167</v>
      </c>
      <c r="BQ141" s="21">
        <f>EXP(-LN(2)/25)*BQ140+(1-EXP(-LN(2)/25))/(LN(2)/25)*Calculateur!BL141*Calculateur!BN141*VLOOKUP('Données projet'!$B$11,Paramètres!$A$1:$I$89,3,0)*0.475*44/12</f>
        <v>10.480015663157571</v>
      </c>
      <c r="BR141" s="21">
        <f>EXP(-LN(2)/2)*BR140+(1-EXP(-LN(2)/2))/(LN(2)/2)*BL141*BO141*VLOOKUP('Données projet'!$B$11,Paramètres!$A$1:$I$89,3,0)*0.475*44/12</f>
        <v>1.1854855097643561E-7</v>
      </c>
      <c r="BS141" s="22">
        <f t="shared" si="117"/>
        <v>27.284964107351289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-8.5265128291212022E-14</v>
      </c>
      <c r="BZ141" s="13">
        <f>BY141*VLOOKUP('Données projet'!$B$12,Paramètres!$A$1:$I$89,3,0)*VLOOKUP('Données projet'!$B$12,Paramètres!$A$1:$I$89,5,0)</f>
        <v>-6.9167072069831198E-14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159.4660488566085</v>
      </c>
      <c r="CE141" s="59">
        <f t="shared" si="148"/>
        <v>135.33030558297088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4.2754611932246522</v>
      </c>
      <c r="CM141" s="21">
        <f>EXP(-LN(2)/2)*CM140+(1-EXP(-LN(2)/2))/(LN(2)/2)*CG141*CJ141*VLOOKUP('Données projet'!$B$12,Paramètres!$A$1:$I$89,3,0)*0.475*44/12</f>
        <v>1.4928022875327285E-6</v>
      </c>
      <c r="CN141" s="22">
        <f t="shared" si="120"/>
        <v>4.2754626860269394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353.37479213497227</v>
      </c>
      <c r="CZ141" s="59">
        <f t="shared" si="150"/>
        <v>345.4750813433123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16.481776242459681</v>
      </c>
      <c r="DG141" s="21">
        <f>EXP(-LN(2)/25)*DG140+(1-EXP(-LN(2)/25))/(LN(2)/25)*Calculateur!DB141*Calculateur!DD141*VLOOKUP('Données projet'!$B$13,Paramètres!$A$1:$I$89,3,0)*0.475*44/12</f>
        <v>10.278476900404545</v>
      </c>
      <c r="DH141" s="21">
        <f>EXP(-LN(2)/2)*DH140+(1-EXP(-LN(2)/2))/(LN(2)/2)*DB141*DE141*VLOOKUP('Données projet'!$B$13,Paramètres!$A$1:$I$89,3,0)*0.475*44/12</f>
        <v>1.1626877114996566E-7</v>
      </c>
      <c r="DI141" s="22">
        <f t="shared" si="123"/>
        <v>26.760253259132998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9.1440000000000055</v>
      </c>
      <c r="DO141" s="12">
        <f>IF('Données projet'!$A$166&gt;35,DO140+DN141-DW140,IF(A141&lt;'Données projet'!$A$166,$DL$205^A141,IF(A141='Données projet'!$A$166,'Données projet'!$B$166,DO140+DN141-DW140)))</f>
        <v>460.07600000000093</v>
      </c>
      <c r="DP141" s="17">
        <f>DO141*VLOOKUP('Données projet'!$B$14,Paramètres!$A$1:$I$89,3,0)*VLOOKUP('Données projet'!$B$14,Paramètres!$A$1:$I$89,5,0)</f>
        <v>416.27676480000082</v>
      </c>
      <c r="DQ141" s="13">
        <f t="shared" si="151"/>
        <v>95.068830381071379</v>
      </c>
      <c r="DR141" s="20">
        <f t="shared" si="124"/>
        <v>890.5935782737007</v>
      </c>
      <c r="DS141" s="59">
        <f t="shared" si="125"/>
        <v>1183.9269116070341</v>
      </c>
      <c r="DT141" s="59">
        <f ca="1">AVERAGE(OFFSET($DS$3,0,0,'Données projet'!$E$14+1,1))-AVERAGE(OFFSET($H$3,0,0,'Données projet'!$E$14+1,1))</f>
        <v>635.71275911100679</v>
      </c>
      <c r="DU141" s="59">
        <f t="shared" si="152"/>
        <v>281.7776857269169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41.338385057759957</v>
      </c>
      <c r="EB141" s="21">
        <f>EXP(-LN(2)/25)*EB140+(1-EXP(-LN(2)/25))/(LN(2)/25)*Calculateur!DW141*Calculateur!DY141*VLOOKUP('Données projet'!$B$14,Paramètres!$A$1:$I$89,3,0)*0.475*44/12</f>
        <v>21.273635761731079</v>
      </c>
      <c r="EC141" s="21">
        <f>EXP(-LN(2)/2)*EC140+(1-EXP(-LN(2)/2))/(LN(2)/2)*DW141*DZ141*VLOOKUP('Données projet'!$B$14,Paramètres!$A$1:$I$89,3,0)*0.475*44/12</f>
        <v>3.9890471386911194E-2</v>
      </c>
      <c r="ED141" s="22">
        <f t="shared" si="126"/>
        <v>62.651911290877948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9.1440000000000055</v>
      </c>
      <c r="EJ141" s="12">
        <f>IF('Données projet'!$A$192&gt;35,EJ140+EI141-ER140,IF(A141&lt;'Données projet'!$A$192,$EG$205^A141,IF(A141='Données projet'!$A$192,'Données projet'!$B$192,EJ140+EI141-ER140)))</f>
        <v>460.07600000000093</v>
      </c>
      <c r="EK141" s="17">
        <f>EJ141*VLOOKUP('Données projet'!$B$15,Paramètres!$A$1:$I$89,3,0)*VLOOKUP('Données projet'!$B$15,Paramètres!$A$1:$I$89,5,0)</f>
        <v>308.61898080000066</v>
      </c>
      <c r="EL141" s="13">
        <f t="shared" si="153"/>
        <v>72.980343494456065</v>
      </c>
      <c r="EM141" s="20">
        <f t="shared" si="127"/>
        <v>664.61882314617878</v>
      </c>
      <c r="EN141" s="59">
        <f t="shared" si="128"/>
        <v>957.95215647951204</v>
      </c>
      <c r="EO141" s="59">
        <f ca="1">AVERAGE(OFFSET($EN$3,0,0,'Données projet'!$E$15+1,1))-AVERAGE(OFFSET($H$3,0,0,'Données projet'!$E$15+1,1))</f>
        <v>482.99915419700773</v>
      </c>
      <c r="EP141" s="59">
        <f t="shared" si="154"/>
        <v>219.74157899604279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37.7747311734703</v>
      </c>
      <c r="EW141" s="21">
        <f>EXP(-LN(2)/25)*EW140+(1-EXP(-LN(2)/25))/(LN(2)/25)*Calculateur!ER141*Calculateur!ET141*VLOOKUP('Données projet'!$B$15,Paramètres!$A$1:$I$89,3,0)*0.475*44/12</f>
        <v>19.439701644340467</v>
      </c>
      <c r="EX141" s="21">
        <f>EXP(-LN(2)/2)*EX140+(1-EXP(-LN(2)/2))/(LN(2)/2)*ER141*EU141*VLOOKUP('Données projet'!$B$15,Paramètres!$A$1:$I$89,3,0)*0.475*44/12</f>
        <v>2.9573970166158311E-2</v>
      </c>
      <c r="EY141" s="22">
        <f t="shared" si="129"/>
        <v>57.244006787976929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9.1440000000000055</v>
      </c>
      <c r="FE141" s="12">
        <f>IF('Données projet'!$A$218&gt;35,FE140+FD141-FM140,IF(A141&lt;'Données projet'!$A$218,$FB$205^A141,IF(A141='Données projet'!$A$218,'Données projet'!$B$218,FE140+FD141-FM140)))</f>
        <v>460.07600000000093</v>
      </c>
      <c r="FF141" s="17">
        <f>FE141*VLOOKUP('Données projet'!$B$16,Paramètres!$A$1:$I$89,3,0)*VLOOKUP('Données projet'!$B$16,Paramètres!$A$1:$I$89,5,0)</f>
        <v>437.80832160000091</v>
      </c>
      <c r="FG141" s="13">
        <f t="shared" si="155"/>
        <v>99.400968974253743</v>
      </c>
      <c r="FH141" s="20">
        <f t="shared" si="130"/>
        <v>935.63951441682673</v>
      </c>
      <c r="FI141" s="59">
        <f t="shared" si="131"/>
        <v>1228.9728477501601</v>
      </c>
      <c r="FJ141" s="59">
        <f ca="1">AVERAGE(OFFSET($FI$3,0,0,'Données projet'!$E$16+1,1))-AVERAGE(OFFSET($H$3,0,0,'Données projet'!$E$16+1,1))</f>
        <v>666.1523645983184</v>
      </c>
      <c r="FK141" s="59">
        <f t="shared" si="156"/>
        <v>294.13851344047526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43.476577388333752</v>
      </c>
      <c r="FR141" s="21">
        <f>EXP(-LN(2)/25)*FR140+(1-EXP(-LN(2)/25))/(LN(2)/25)*Calculateur!FM141*Calculateur!FO141*VLOOKUP('Données projet'!$B$16,Paramètres!$A$1:$I$89,3,0)*0.475*44/12</f>
        <v>22.373996232165439</v>
      </c>
      <c r="FS141" s="21">
        <f>EXP(-LN(2)/2)*FS140+(1-EXP(-LN(2)/2))/(LN(2)/2)*FM141*FP141*VLOOKUP('Données projet'!$B$16,Paramètres!$A$1:$I$89,3,0)*0.475*44/12</f>
        <v>4.1953771631061794E-2</v>
      </c>
      <c r="FT141" s="22">
        <f t="shared" si="132"/>
        <v>65.892527392130248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328.55631138162721</v>
      </c>
      <c r="T142" s="59">
        <f t="shared" si="142"/>
        <v>321.81422611044985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12.081571394154551</v>
      </c>
      <c r="AA142" s="21">
        <f>EXP(-LN(2)/25)*AA141+(1-EXP(-LN(2)/25))/(LN(2)/25)*Calculateur!V142*Calculateur!X142*VLOOKUP('Données projet'!$B$9,Paramètres!$A$1:$I$89,3,0)*0.475*44/12</f>
        <v>7.4749420857094284</v>
      </c>
      <c r="AB142" s="21">
        <f>EXP(-LN(2)/2)*AB141+(1-EXP(-LN(2)/2))/(LN(2)/2)*V142*Y142*VLOOKUP('Données projet'!$B$9,Paramètres!$A$1:$I$89,3,0)*0.475*44/12</f>
        <v>7.5766245420730629E-8</v>
      </c>
      <c r="AC142" s="22">
        <f t="shared" si="111"/>
        <v>19.556513555630225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353.37479213497227</v>
      </c>
      <c r="AO142" s="59">
        <f t="shared" si="144"/>
        <v>345.4750813433123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16.158578663235915</v>
      </c>
      <c r="AV142" s="21">
        <f>EXP(-LN(2)/25)*AV141+(1-EXP(-LN(2)/25))/(LN(2)/25)*Calculateur!AQ142*Calculateur!AS142*VLOOKUP('Données projet'!$B$10,Paramètres!$A$1:$I$89,3,0)*0.475*44/12</f>
        <v>9.9974114090413746</v>
      </c>
      <c r="AW142" s="21">
        <f>EXP(-LN(2)/2)*AW141+(1-EXP(-LN(2)/2))/(LN(2)/2)*AQ142*AT142*VLOOKUP('Données projet'!$B$10,Paramètres!$A$1:$I$89,3,0)*0.475*44/12</f>
        <v>8.2214436520367535E-8</v>
      </c>
      <c r="AX142" s="21">
        <f t="shared" si="114"/>
        <v>26.155990154491729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359.57284550600366</v>
      </c>
      <c r="BJ142" s="59">
        <f t="shared" si="146"/>
        <v>351.38386928091433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16.475413538985642</v>
      </c>
      <c r="BQ142" s="21">
        <f>EXP(-LN(2)/25)*BQ141+(1-EXP(-LN(2)/25))/(LN(2)/25)*Calculateur!BL142*Calculateur!BN142*VLOOKUP('Données projet'!$B$11,Paramètres!$A$1:$I$89,3,0)*0.475*44/12</f>
        <v>10.193439083728457</v>
      </c>
      <c r="BR142" s="21">
        <f>EXP(-LN(2)/2)*BR141+(1-EXP(-LN(2)/2))/(LN(2)/2)*BL142*BO142*VLOOKUP('Données projet'!$B$11,Paramètres!$A$1:$I$89,3,0)*0.475*44/12</f>
        <v>8.3826484295276739E-8</v>
      </c>
      <c r="BS142" s="22">
        <f t="shared" si="117"/>
        <v>26.668852706540584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-8.5265128291212022E-14</v>
      </c>
      <c r="BZ142" s="13">
        <f>BY142*VLOOKUP('Données projet'!$B$12,Paramètres!$A$1:$I$89,3,0)*VLOOKUP('Données projet'!$B$12,Paramètres!$A$1:$I$89,5,0)</f>
        <v>-6.9167072069831198E-14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159.4660488566085</v>
      </c>
      <c r="CE142" s="59">
        <f t="shared" si="148"/>
        <v>135.33030558297088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4.1585484820591914</v>
      </c>
      <c r="CM142" s="21">
        <f>EXP(-LN(2)/2)*CM141+(1-EXP(-LN(2)/2))/(LN(2)/2)*CG142*CJ142*VLOOKUP('Données projet'!$B$12,Paramètres!$A$1:$I$89,3,0)*0.475*44/12</f>
        <v>1.0555706204851826E-6</v>
      </c>
      <c r="CN142" s="22">
        <f t="shared" si="120"/>
        <v>4.1585495376298116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353.37479213497227</v>
      </c>
      <c r="CZ142" s="59">
        <f t="shared" si="150"/>
        <v>345.4750813433123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16.158578663235915</v>
      </c>
      <c r="DG142" s="21">
        <f>EXP(-LN(2)/25)*DG141+(1-EXP(-LN(2)/25))/(LN(2)/25)*Calculateur!DB142*Calculateur!DD142*VLOOKUP('Données projet'!$B$13,Paramètres!$A$1:$I$89,3,0)*0.475*44/12</f>
        <v>9.9974114090413746</v>
      </c>
      <c r="DH142" s="21">
        <f>EXP(-LN(2)/2)*DH141+(1-EXP(-LN(2)/2))/(LN(2)/2)*DB142*DE142*VLOOKUP('Données projet'!$B$13,Paramètres!$A$1:$I$89,3,0)*0.475*44/12</f>
        <v>8.2214436520367535E-8</v>
      </c>
      <c r="DI142" s="22">
        <f t="shared" si="123"/>
        <v>26.155990154491729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9.1440000000000055</v>
      </c>
      <c r="DO142" s="12">
        <f>IF('Données projet'!$A$166&gt;35,DO141+DN142-DW141,IF(A142&lt;'Données projet'!$A$166,$DL$205^A142,IF(A142='Données projet'!$A$166,'Données projet'!$B$166,DO141+DN142-DW141)))</f>
        <v>469.22000000000094</v>
      </c>
      <c r="DP142" s="17">
        <f>DO142*VLOOKUP('Données projet'!$B$14,Paramètres!$A$1:$I$89,3,0)*VLOOKUP('Données projet'!$B$14,Paramètres!$A$1:$I$89,5,0)</f>
        <v>424.55025600000084</v>
      </c>
      <c r="DQ142" s="13">
        <f t="shared" si="151"/>
        <v>96.736467404516418</v>
      </c>
      <c r="DR142" s="20">
        <f t="shared" si="124"/>
        <v>907.90770992953412</v>
      </c>
      <c r="DS142" s="59">
        <f t="shared" si="125"/>
        <v>1201.2410432628674</v>
      </c>
      <c r="DT142" s="59">
        <f ca="1">AVERAGE(OFFSET($DS$3,0,0,'Données projet'!$E$14+1,1))-AVERAGE(OFFSET($H$3,0,0,'Données projet'!$E$14+1,1))</f>
        <v>635.71275911100679</v>
      </c>
      <c r="DU142" s="59">
        <f t="shared" si="152"/>
        <v>281.7776857269169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40.527764540702499</v>
      </c>
      <c r="EB142" s="21">
        <f>EXP(-LN(2)/25)*EB141+(1-EXP(-LN(2)/25))/(LN(2)/25)*Calculateur!DW142*Calculateur!DY142*VLOOKUP('Données projet'!$B$14,Paramètres!$A$1:$I$89,3,0)*0.475*44/12</f>
        <v>20.691907073094658</v>
      </c>
      <c r="EC142" s="21">
        <f>EXP(-LN(2)/2)*EC141+(1-EXP(-LN(2)/2))/(LN(2)/2)*DW142*DZ142*VLOOKUP('Données projet'!$B$14,Paramètres!$A$1:$I$89,3,0)*0.475*44/12</f>
        <v>2.8206822822412849E-2</v>
      </c>
      <c r="ED142" s="22">
        <f t="shared" si="126"/>
        <v>61.247878436619573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9.1440000000000055</v>
      </c>
      <c r="EJ142" s="12">
        <f>IF('Données projet'!$A$192&gt;35,EJ141+EI142-ER141,IF(A142&lt;'Données projet'!$A$192,$EG$205^A142,IF(A142='Données projet'!$A$192,'Données projet'!$B$192,EJ141+EI142-ER141)))</f>
        <v>469.22000000000094</v>
      </c>
      <c r="EK142" s="17">
        <f>EJ142*VLOOKUP('Données projet'!$B$15,Paramètres!$A$1:$I$89,3,0)*VLOOKUP('Données projet'!$B$15,Paramètres!$A$1:$I$89,5,0)</f>
        <v>314.75277600000061</v>
      </c>
      <c r="EL142" s="13">
        <f t="shared" si="153"/>
        <v>74.260518314186569</v>
      </c>
      <c r="EM142" s="20">
        <f t="shared" si="127"/>
        <v>677.53148759720932</v>
      </c>
      <c r="EN142" s="59">
        <f t="shared" si="128"/>
        <v>970.86482093054269</v>
      </c>
      <c r="EO142" s="59">
        <f ca="1">AVERAGE(OFFSET($EN$3,0,0,'Données projet'!$E$15+1,1))-AVERAGE(OFFSET($H$3,0,0,'Données projet'!$E$15+1,1))</f>
        <v>482.99915419700773</v>
      </c>
      <c r="EP142" s="59">
        <f t="shared" si="154"/>
        <v>219.74157899604279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37.03399173546952</v>
      </c>
      <c r="EW142" s="21">
        <f>EXP(-LN(2)/25)*EW141+(1-EXP(-LN(2)/25))/(LN(2)/25)*Calculateur!ER142*Calculateur!ET142*VLOOKUP('Données projet'!$B$15,Paramètres!$A$1:$I$89,3,0)*0.475*44/12</f>
        <v>18.908121980586497</v>
      </c>
      <c r="EX142" s="21">
        <f>EXP(-LN(2)/2)*EX141+(1-EXP(-LN(2)/2))/(LN(2)/2)*ER142*EU142*VLOOKUP('Données projet'!$B$15,Paramètres!$A$1:$I$89,3,0)*0.475*44/12</f>
        <v>2.0911954851099191E-2</v>
      </c>
      <c r="EY142" s="22">
        <f t="shared" si="129"/>
        <v>55.963025670907115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9.1440000000000055</v>
      </c>
      <c r="FE142" s="12">
        <f>IF('Données projet'!$A$218&gt;35,FE141+FD142-FM141,IF(A142&lt;'Données projet'!$A$218,$FB$205^A142,IF(A142='Données projet'!$A$218,'Données projet'!$B$218,FE141+FD142-FM141)))</f>
        <v>469.22000000000094</v>
      </c>
      <c r="FF142" s="17">
        <f>FE142*VLOOKUP('Données projet'!$B$16,Paramètres!$A$1:$I$89,3,0)*VLOOKUP('Données projet'!$B$16,Paramètres!$A$1:$I$89,5,0)</f>
        <v>446.5097520000009</v>
      </c>
      <c r="FG142" s="13">
        <f t="shared" si="155"/>
        <v>101.14459762060724</v>
      </c>
      <c r="FH142" s="20">
        <f t="shared" si="130"/>
        <v>953.8313255892258</v>
      </c>
      <c r="FI142" s="59">
        <f t="shared" si="131"/>
        <v>1247.1646589225591</v>
      </c>
      <c r="FJ142" s="59">
        <f ca="1">AVERAGE(OFFSET($FI$3,0,0,'Données projet'!$E$16+1,1))-AVERAGE(OFFSET($H$3,0,0,'Données projet'!$E$16+1,1))</f>
        <v>666.1523645983184</v>
      </c>
      <c r="FK142" s="59">
        <f t="shared" si="156"/>
        <v>294.13851344047526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42.624028223842288</v>
      </c>
      <c r="FR142" s="21">
        <f>EXP(-LN(2)/25)*FR141+(1-EXP(-LN(2)/25))/(LN(2)/25)*Calculateur!FM142*Calculateur!FO142*VLOOKUP('Données projet'!$B$16,Paramètres!$A$1:$I$89,3,0)*0.475*44/12</f>
        <v>21.762178128599551</v>
      </c>
      <c r="FS142" s="21">
        <f>EXP(-LN(2)/2)*FS141+(1-EXP(-LN(2)/2))/(LN(2)/2)*FM142*FP142*VLOOKUP('Données projet'!$B$16,Paramètres!$A$1:$I$89,3,0)*0.475*44/12</f>
        <v>2.9665796416675598E-2</v>
      </c>
      <c r="FT142" s="22">
        <f t="shared" si="132"/>
        <v>64.415872148858512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328.55631138162721</v>
      </c>
      <c r="T143" s="59">
        <f t="shared" si="142"/>
        <v>321.81422611044985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11.8446591481461</v>
      </c>
      <c r="AA143" s="21">
        <f>EXP(-LN(2)/25)*AA142+(1-EXP(-LN(2)/25))/(LN(2)/25)*Calculateur!V143*Calculateur!X143*VLOOKUP('Données projet'!$B$9,Paramètres!$A$1:$I$89,3,0)*0.475*44/12</f>
        <v>7.2705394012855837</v>
      </c>
      <c r="AB143" s="21">
        <f>EXP(-LN(2)/2)*AB142+(1-EXP(-LN(2)/2))/(LN(2)/2)*V143*Y143*VLOOKUP('Données projet'!$B$9,Paramètres!$A$1:$I$89,3,0)*0.475*44/12</f>
        <v>5.3574825922042832E-8</v>
      </c>
      <c r="AC143" s="22">
        <f t="shared" si="111"/>
        <v>19.115198603006508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353.37479213497227</v>
      </c>
      <c r="AO143" s="59">
        <f t="shared" si="144"/>
        <v>345.4750813433123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15.841718791409667</v>
      </c>
      <c r="AV143" s="21">
        <f>EXP(-LN(2)/25)*AV142+(1-EXP(-LN(2)/25))/(LN(2)/25)*Calculateur!AQ143*Calculateur!AS143*VLOOKUP('Données projet'!$B$10,Paramètres!$A$1:$I$89,3,0)*0.475*44/12</f>
        <v>9.7240316683201211</v>
      </c>
      <c r="AW143" s="21">
        <f>EXP(-LN(2)/2)*AW142+(1-EXP(-LN(2)/2))/(LN(2)/2)*AQ143*AT143*VLOOKUP('Données projet'!$B$10,Paramètres!$A$1:$I$89,3,0)*0.475*44/12</f>
        <v>5.8134385574982829E-8</v>
      </c>
      <c r="AX143" s="21">
        <f t="shared" si="114"/>
        <v>25.565750517864174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359.57284550600366</v>
      </c>
      <c r="BJ143" s="59">
        <f t="shared" si="146"/>
        <v>351.38386928091433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16.152340728496135</v>
      </c>
      <c r="BQ143" s="21">
        <f>EXP(-LN(2)/25)*BQ142+(1-EXP(-LN(2)/25))/(LN(2)/25)*Calculateur!BL143*Calculateur!BN143*VLOOKUP('Données projet'!$B$11,Paramètres!$A$1:$I$89,3,0)*0.475*44/12</f>
        <v>9.914698955934238</v>
      </c>
      <c r="BR143" s="21">
        <f>EXP(-LN(2)/2)*BR142+(1-EXP(-LN(2)/2))/(LN(2)/2)*BL143*BO143*VLOOKUP('Données projet'!$B$11,Paramètres!$A$1:$I$89,3,0)*0.475*44/12</f>
        <v>5.9274275488217817E-8</v>
      </c>
      <c r="BS143" s="22">
        <f t="shared" si="117"/>
        <v>26.067039743704647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-8.5265128291212022E-14</v>
      </c>
      <c r="BZ143" s="13">
        <f>BY143*VLOOKUP('Données projet'!$B$12,Paramètres!$A$1:$I$89,3,0)*VLOOKUP('Données projet'!$B$12,Paramètres!$A$1:$I$89,5,0)</f>
        <v>-6.9167072069831198E-14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159.4660488566085</v>
      </c>
      <c r="CE143" s="59">
        <f t="shared" si="148"/>
        <v>135.33030558297088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4.0448327551287226</v>
      </c>
      <c r="CM143" s="21">
        <f>EXP(-LN(2)/2)*CM142+(1-EXP(-LN(2)/2))/(LN(2)/2)*CG143*CJ143*VLOOKUP('Données projet'!$B$12,Paramètres!$A$1:$I$89,3,0)*0.475*44/12</f>
        <v>7.4640114376636426E-7</v>
      </c>
      <c r="CN143" s="22">
        <f t="shared" si="120"/>
        <v>4.0448335015298662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353.37479213497227</v>
      </c>
      <c r="CZ143" s="59">
        <f t="shared" si="150"/>
        <v>345.4750813433123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15.841718791409667</v>
      </c>
      <c r="DG143" s="21">
        <f>EXP(-LN(2)/25)*DG142+(1-EXP(-LN(2)/25))/(LN(2)/25)*Calculateur!DB143*Calculateur!DD143*VLOOKUP('Données projet'!$B$13,Paramètres!$A$1:$I$89,3,0)*0.475*44/12</f>
        <v>9.7240316683201211</v>
      </c>
      <c r="DH143" s="21">
        <f>EXP(-LN(2)/2)*DH142+(1-EXP(-LN(2)/2))/(LN(2)/2)*DB143*DE143*VLOOKUP('Données projet'!$B$13,Paramètres!$A$1:$I$89,3,0)*0.475*44/12</f>
        <v>5.8134385574982829E-8</v>
      </c>
      <c r="DI143" s="22">
        <f t="shared" si="123"/>
        <v>25.565750517864174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9.1440000000000055</v>
      </c>
      <c r="DO143" s="12">
        <f>IF('Données projet'!$A$166&gt;35,DO142+DN143-DW142,IF(A143&lt;'Données projet'!$A$166,$DL$205^A143,IF(A143='Données projet'!$A$166,'Données projet'!$B$166,DO142+DN143-DW142)))</f>
        <v>478.36400000000094</v>
      </c>
      <c r="DP143" s="17">
        <f>DO143*VLOOKUP('Données projet'!$B$14,Paramètres!$A$1:$I$89,3,0)*VLOOKUP('Données projet'!$B$14,Paramètres!$A$1:$I$89,5,0)</f>
        <v>432.82374720000081</v>
      </c>
      <c r="DQ143" s="13">
        <f t="shared" si="151"/>
        <v>98.400325655042849</v>
      </c>
      <c r="DR143" s="20">
        <f t="shared" si="124"/>
        <v>925.21526022253431</v>
      </c>
      <c r="DS143" s="59">
        <f t="shared" si="125"/>
        <v>1218.5485935558677</v>
      </c>
      <c r="DT143" s="59">
        <f ca="1">AVERAGE(OFFSET($DS$3,0,0,'Données projet'!$E$14+1,1))-AVERAGE(OFFSET($H$3,0,0,'Données projet'!$E$14+1,1))</f>
        <v>635.71275911100679</v>
      </c>
      <c r="DU143" s="59">
        <f t="shared" si="152"/>
        <v>281.7776857269169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39.733039797554845</v>
      </c>
      <c r="EB143" s="21">
        <f>EXP(-LN(2)/25)*EB142+(1-EXP(-LN(2)/25))/(LN(2)/25)*Calculateur!DW143*Calculateur!DY143*VLOOKUP('Données projet'!$B$14,Paramètres!$A$1:$I$89,3,0)*0.475*44/12</f>
        <v>20.126085786040782</v>
      </c>
      <c r="EC143" s="21">
        <f>EXP(-LN(2)/2)*EC142+(1-EXP(-LN(2)/2))/(LN(2)/2)*DW143*DZ143*VLOOKUP('Données projet'!$B$14,Paramètres!$A$1:$I$89,3,0)*0.475*44/12</f>
        <v>1.9945235693455597E-2</v>
      </c>
      <c r="ED143" s="22">
        <f t="shared" si="126"/>
        <v>59.879070819289083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9.1440000000000055</v>
      </c>
      <c r="EJ143" s="12">
        <f>IF('Données projet'!$A$192&gt;35,EJ142+EI143-ER142,IF(A143&lt;'Données projet'!$A$192,$EG$205^A143,IF(A143='Données projet'!$A$192,'Données projet'!$B$192,EJ142+EI143-ER142)))</f>
        <v>478.36400000000094</v>
      </c>
      <c r="EK143" s="17">
        <f>EJ143*VLOOKUP('Données projet'!$B$15,Paramètres!$A$1:$I$89,3,0)*VLOOKUP('Données projet'!$B$15,Paramètres!$A$1:$I$89,5,0)</f>
        <v>320.88657120000062</v>
      </c>
      <c r="EL143" s="13">
        <f t="shared" si="153"/>
        <v>75.537792328842812</v>
      </c>
      <c r="EM143" s="20">
        <f t="shared" si="127"/>
        <v>690.43909981273555</v>
      </c>
      <c r="EN143" s="59">
        <f t="shared" si="128"/>
        <v>983.77243314606881</v>
      </c>
      <c r="EO143" s="59">
        <f ca="1">AVERAGE(OFFSET($EN$3,0,0,'Données projet'!$E$15+1,1))-AVERAGE(OFFSET($H$3,0,0,'Données projet'!$E$15+1,1))</f>
        <v>482.99915419700773</v>
      </c>
      <c r="EP143" s="59">
        <f t="shared" si="154"/>
        <v>219.74157899604279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36.307777746041495</v>
      </c>
      <c r="EW143" s="21">
        <f>EXP(-LN(2)/25)*EW142+(1-EXP(-LN(2)/25))/(LN(2)/25)*Calculateur!ER143*Calculateur!ET143*VLOOKUP('Données projet'!$B$15,Paramètres!$A$1:$I$89,3,0)*0.475*44/12</f>
        <v>18.391078390692439</v>
      </c>
      <c r="EX143" s="21">
        <f>EXP(-LN(2)/2)*EX142+(1-EXP(-LN(2)/2))/(LN(2)/2)*ER143*EU143*VLOOKUP('Données projet'!$B$15,Paramètres!$A$1:$I$89,3,0)*0.475*44/12</f>
        <v>1.4786985083079157E-2</v>
      </c>
      <c r="EY143" s="22">
        <f t="shared" si="129"/>
        <v>54.713643121817015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9.1440000000000055</v>
      </c>
      <c r="FE143" s="12">
        <f>IF('Données projet'!$A$218&gt;35,FE142+FD143-FM142,IF(A143&lt;'Données projet'!$A$218,$FB$205^A143,IF(A143='Données projet'!$A$218,'Données projet'!$B$218,FE142+FD143-FM142)))</f>
        <v>478.36400000000094</v>
      </c>
      <c r="FF143" s="17">
        <f>FE143*VLOOKUP('Données projet'!$B$16,Paramètres!$A$1:$I$89,3,0)*VLOOKUP('Données projet'!$B$16,Paramètres!$A$1:$I$89,5,0)</f>
        <v>455.21118240000089</v>
      </c>
      <c r="FG143" s="13">
        <f t="shared" si="155"/>
        <v>102.88427530124351</v>
      </c>
      <c r="FH143" s="20">
        <f t="shared" si="130"/>
        <v>972.016255496334</v>
      </c>
      <c r="FI143" s="59">
        <f t="shared" si="131"/>
        <v>1265.3495888296673</v>
      </c>
      <c r="FJ143" s="59">
        <f ca="1">AVERAGE(OFFSET($FI$3,0,0,'Données projet'!$E$16+1,1))-AVERAGE(OFFSET($H$3,0,0,'Données projet'!$E$16+1,1))</f>
        <v>666.1523645983184</v>
      </c>
      <c r="FK143" s="59">
        <f t="shared" si="156"/>
        <v>294.13851344047526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41.788197028462861</v>
      </c>
      <c r="FR143" s="21">
        <f>EXP(-LN(2)/25)*FR142+(1-EXP(-LN(2)/25))/(LN(2)/25)*Calculateur!FM143*Calculateur!FO143*VLOOKUP('Données projet'!$B$16,Paramètres!$A$1:$I$89,3,0)*0.475*44/12</f>
        <v>21.167090223249787</v>
      </c>
      <c r="FS143" s="21">
        <f>EXP(-LN(2)/2)*FS142+(1-EXP(-LN(2)/2))/(LN(2)/2)*FM143*FP143*VLOOKUP('Données projet'!$B$16,Paramètres!$A$1:$I$89,3,0)*0.475*44/12</f>
        <v>2.09768858155309E-2</v>
      </c>
      <c r="FT143" s="22">
        <f t="shared" si="132"/>
        <v>62.976264137528176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328.55631138162721</v>
      </c>
      <c r="T144" s="59">
        <f t="shared" si="142"/>
        <v>321.81422611044985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11.612392606779672</v>
      </c>
      <c r="AA144" s="21">
        <f>EXP(-LN(2)/25)*AA143+(1-EXP(-LN(2)/25))/(LN(2)/25)*Calculateur!V144*Calculateur!X144*VLOOKUP('Données projet'!$B$9,Paramètres!$A$1:$I$89,3,0)*0.475*44/12</f>
        <v>7.0717261190163798</v>
      </c>
      <c r="AB144" s="21">
        <f>EXP(-LN(2)/2)*AB143+(1-EXP(-LN(2)/2))/(LN(2)/2)*V144*Y144*VLOOKUP('Données projet'!$B$9,Paramètres!$A$1:$I$89,3,0)*0.475*44/12</f>
        <v>3.7883122710365314E-8</v>
      </c>
      <c r="AC144" s="22">
        <f t="shared" si="111"/>
        <v>18.684118763679173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353.37479213497227</v>
      </c>
      <c r="AO144" s="59">
        <f t="shared" si="144"/>
        <v>345.4750813433123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15.531072348404495</v>
      </c>
      <c r="AV144" s="21">
        <f>EXP(-LN(2)/25)*AV143+(1-EXP(-LN(2)/25))/(LN(2)/25)*Calculateur!AQ144*Calculateur!AS144*VLOOKUP('Données projet'!$B$10,Paramètres!$A$1:$I$89,3,0)*0.475*44/12</f>
        <v>9.4581275109853067</v>
      </c>
      <c r="AW144" s="21">
        <f>EXP(-LN(2)/2)*AW143+(1-EXP(-LN(2)/2))/(LN(2)/2)*AQ144*AT144*VLOOKUP('Données projet'!$B$10,Paramètres!$A$1:$I$89,3,0)*0.475*44/12</f>
        <v>4.1107218260183768E-8</v>
      </c>
      <c r="AX144" s="21">
        <f t="shared" si="114"/>
        <v>24.989199900497017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359.57284550600366</v>
      </c>
      <c r="BJ144" s="59">
        <f t="shared" si="146"/>
        <v>351.38386928091433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15.835603178765371</v>
      </c>
      <c r="BQ144" s="21">
        <f>EXP(-LN(2)/25)*BQ143+(1-EXP(-LN(2)/25))/(LN(2)/25)*Calculateur!BL144*Calculateur!BN144*VLOOKUP('Données projet'!$B$11,Paramètres!$A$1:$I$89,3,0)*0.475*44/12</f>
        <v>9.6435809915928576</v>
      </c>
      <c r="BR144" s="21">
        <f>EXP(-LN(2)/2)*BR143+(1-EXP(-LN(2)/2))/(LN(2)/2)*BL144*BO144*VLOOKUP('Données projet'!$B$11,Paramètres!$A$1:$I$89,3,0)*0.475*44/12</f>
        <v>4.1913242147638376E-8</v>
      </c>
      <c r="BS144" s="22">
        <f t="shared" si="117"/>
        <v>25.479184212271473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-8.5265128291212022E-14</v>
      </c>
      <c r="BZ144" s="13">
        <f>BY144*VLOOKUP('Données projet'!$B$12,Paramètres!$A$1:$I$89,3,0)*VLOOKUP('Données projet'!$B$12,Paramètres!$A$1:$I$89,5,0)</f>
        <v>-6.9167072069831198E-14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159.4660488566085</v>
      </c>
      <c r="CE144" s="59">
        <f t="shared" si="148"/>
        <v>135.33030558297088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3.9342265907312179</v>
      </c>
      <c r="CM144" s="21">
        <f>EXP(-LN(2)/2)*CM143+(1-EXP(-LN(2)/2))/(LN(2)/2)*CG144*CJ144*VLOOKUP('Données projet'!$B$12,Paramètres!$A$1:$I$89,3,0)*0.475*44/12</f>
        <v>5.2778531024259132E-7</v>
      </c>
      <c r="CN144" s="22">
        <f t="shared" si="120"/>
        <v>3.9342271185165281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353.37479213497227</v>
      </c>
      <c r="CZ144" s="59">
        <f t="shared" si="150"/>
        <v>345.4750813433123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15.531072348404495</v>
      </c>
      <c r="DG144" s="21">
        <f>EXP(-LN(2)/25)*DG143+(1-EXP(-LN(2)/25))/(LN(2)/25)*Calculateur!DB144*Calculateur!DD144*VLOOKUP('Données projet'!$B$13,Paramètres!$A$1:$I$89,3,0)*0.475*44/12</f>
        <v>9.4581275109853067</v>
      </c>
      <c r="DH144" s="21">
        <f>EXP(-LN(2)/2)*DH143+(1-EXP(-LN(2)/2))/(LN(2)/2)*DB144*DE144*VLOOKUP('Données projet'!$B$13,Paramètres!$A$1:$I$89,3,0)*0.475*44/12</f>
        <v>4.1107218260183768E-8</v>
      </c>
      <c r="DI144" s="22">
        <f t="shared" si="123"/>
        <v>24.989199900497017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9.1440000000000055</v>
      </c>
      <c r="DO144" s="12">
        <f>IF('Données projet'!$A$166&gt;35,DO143+DN144-DW143,IF(A144&lt;'Données projet'!$A$166,$DL$205^A144,IF(A144='Données projet'!$A$166,'Données projet'!$B$166,DO143+DN144-DW143)))</f>
        <v>487.50800000000095</v>
      </c>
      <c r="DP144" s="17">
        <f>DO144*VLOOKUP('Données projet'!$B$14,Paramètres!$A$1:$I$89,3,0)*VLOOKUP('Données projet'!$B$14,Paramètres!$A$1:$I$89,5,0)</f>
        <v>441.09723840000083</v>
      </c>
      <c r="DQ144" s="13">
        <f t="shared" si="151"/>
        <v>100.06048569250036</v>
      </c>
      <c r="DR144" s="20">
        <f t="shared" si="124"/>
        <v>942.51636946110614</v>
      </c>
      <c r="DS144" s="59">
        <f t="shared" si="125"/>
        <v>1235.8497027944395</v>
      </c>
      <c r="DT144" s="59">
        <f ca="1">AVERAGE(OFFSET($DS$3,0,0,'Données projet'!$E$14+1,1))-AVERAGE(OFFSET($H$3,0,0,'Données projet'!$E$14+1,1))</f>
        <v>635.71275911100679</v>
      </c>
      <c r="DU144" s="59">
        <f t="shared" si="152"/>
        <v>281.7776857269169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38.953899121886089</v>
      </c>
      <c r="EB144" s="21">
        <f>EXP(-LN(2)/25)*EB143+(1-EXP(-LN(2)/25))/(LN(2)/25)*Calculateur!DW144*Calculateur!DY144*VLOOKUP('Données projet'!$B$14,Paramètres!$A$1:$I$89,3,0)*0.475*44/12</f>
        <v>19.575736911836646</v>
      </c>
      <c r="EC144" s="21">
        <f>EXP(-LN(2)/2)*EC143+(1-EXP(-LN(2)/2))/(LN(2)/2)*DW144*DZ144*VLOOKUP('Données projet'!$B$14,Paramètres!$A$1:$I$89,3,0)*0.475*44/12</f>
        <v>1.4103411411206425E-2</v>
      </c>
      <c r="ED144" s="22">
        <f t="shared" si="126"/>
        <v>58.543739445133944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9.1440000000000055</v>
      </c>
      <c r="EJ144" s="12">
        <f>IF('Données projet'!$A$192&gt;35,EJ143+EI144-ER143,IF(A144&lt;'Données projet'!$A$192,$EG$205^A144,IF(A144='Données projet'!$A$192,'Données projet'!$B$192,EJ143+EI144-ER143)))</f>
        <v>487.50800000000095</v>
      </c>
      <c r="EK144" s="17">
        <f>EJ144*VLOOKUP('Données projet'!$B$15,Paramètres!$A$1:$I$89,3,0)*VLOOKUP('Données projet'!$B$15,Paramètres!$A$1:$I$89,5,0)</f>
        <v>327.02036640000063</v>
      </c>
      <c r="EL144" s="13">
        <f t="shared" si="153"/>
        <v>76.812227380833733</v>
      </c>
      <c r="EM144" s="20">
        <f t="shared" si="127"/>
        <v>703.34176750161987</v>
      </c>
      <c r="EN144" s="59">
        <f t="shared" si="128"/>
        <v>996.67510083495313</v>
      </c>
      <c r="EO144" s="59">
        <f ca="1">AVERAGE(OFFSET($EN$3,0,0,'Données projet'!$E$15+1,1))-AVERAGE(OFFSET($H$3,0,0,'Données projet'!$E$15+1,1))</f>
        <v>482.99915419700773</v>
      </c>
      <c r="EP144" s="59">
        <f t="shared" si="154"/>
        <v>219.74157899604279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35.595804369999357</v>
      </c>
      <c r="EW144" s="21">
        <f>EXP(-LN(2)/25)*EW143+(1-EXP(-LN(2)/25))/(LN(2)/25)*Calculateur!ER144*Calculateur!ET144*VLOOKUP('Données projet'!$B$15,Paramètres!$A$1:$I$89,3,0)*0.475*44/12</f>
        <v>17.888173384954175</v>
      </c>
      <c r="EX144" s="21">
        <f>EXP(-LN(2)/2)*EX143+(1-EXP(-LN(2)/2))/(LN(2)/2)*ER144*EU144*VLOOKUP('Données projet'!$B$15,Paramètres!$A$1:$I$89,3,0)*0.475*44/12</f>
        <v>1.0455977425549597E-2</v>
      </c>
      <c r="EY144" s="22">
        <f t="shared" si="129"/>
        <v>53.494433732379079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9.1440000000000055</v>
      </c>
      <c r="FE144" s="12">
        <f>IF('Données projet'!$A$218&gt;35,FE143+FD144-FM143,IF(A144&lt;'Données projet'!$A$218,$FB$205^A144,IF(A144='Données projet'!$A$218,'Données projet'!$B$218,FE143+FD144-FM143)))</f>
        <v>487.50800000000095</v>
      </c>
      <c r="FF144" s="17">
        <f>FE144*VLOOKUP('Données projet'!$B$16,Paramètres!$A$1:$I$89,3,0)*VLOOKUP('Données projet'!$B$16,Paramètres!$A$1:$I$89,5,0)</f>
        <v>463.91261280000094</v>
      </c>
      <c r="FG144" s="13">
        <f t="shared" si="155"/>
        <v>104.62008624699871</v>
      </c>
      <c r="FH144" s="20">
        <f t="shared" si="130"/>
        <v>990.19445084019083</v>
      </c>
      <c r="FI144" s="59">
        <f t="shared" si="131"/>
        <v>1283.5277841735242</v>
      </c>
      <c r="FJ144" s="59">
        <f ca="1">AVERAGE(OFFSET($FI$3,0,0,'Données projet'!$E$16+1,1))-AVERAGE(OFFSET($H$3,0,0,'Données projet'!$E$16+1,1))</f>
        <v>666.1523645983184</v>
      </c>
      <c r="FK144" s="59">
        <f t="shared" si="156"/>
        <v>294.13851344047526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40.968755973018133</v>
      </c>
      <c r="FR144" s="21">
        <f>EXP(-LN(2)/25)*FR143+(1-EXP(-LN(2)/25))/(LN(2)/25)*Calculateur!FM144*Calculateur!FO144*VLOOKUP('Données projet'!$B$16,Paramètres!$A$1:$I$89,3,0)*0.475*44/12</f>
        <v>20.588275027966123</v>
      </c>
      <c r="FS144" s="21">
        <f>EXP(-LN(2)/2)*FS143+(1-EXP(-LN(2)/2))/(LN(2)/2)*FM144*FP144*VLOOKUP('Données projet'!$B$16,Paramètres!$A$1:$I$89,3,0)*0.475*44/12</f>
        <v>1.4832898208337802E-2</v>
      </c>
      <c r="FT144" s="22">
        <f t="shared" si="132"/>
        <v>61.571863899192593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328.55631138162721</v>
      </c>
      <c r="T145" s="59">
        <f t="shared" si="142"/>
        <v>321.81422611044985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11.384680670620838</v>
      </c>
      <c r="AA145" s="21">
        <f>EXP(-LN(2)/25)*AA144+(1-EXP(-LN(2)/25))/(LN(2)/25)*Calculateur!V145*Calculateur!X145*VLOOKUP('Données projet'!$B$9,Paramètres!$A$1:$I$89,3,0)*0.475*44/12</f>
        <v>6.8783493964059632</v>
      </c>
      <c r="AB145" s="21">
        <f>EXP(-LN(2)/2)*AB144+(1-EXP(-LN(2)/2))/(LN(2)/2)*V145*Y145*VLOOKUP('Données projet'!$B$9,Paramètres!$A$1:$I$89,3,0)*0.475*44/12</f>
        <v>2.6787412961021416E-8</v>
      </c>
      <c r="AC145" s="22">
        <f t="shared" si="111"/>
        <v>18.263030093814212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353.37479213497227</v>
      </c>
      <c r="AO145" s="59">
        <f t="shared" si="144"/>
        <v>345.4750813433123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15.226517492671032</v>
      </c>
      <c r="AV145" s="21">
        <f>EXP(-LN(2)/25)*AV144+(1-EXP(-LN(2)/25))/(LN(2)/25)*Calculateur!AQ145*Calculateur!AS145*VLOOKUP('Données projet'!$B$10,Paramètres!$A$1:$I$89,3,0)*0.475*44/12</f>
        <v>9.1994945168161042</v>
      </c>
      <c r="AW145" s="21">
        <f>EXP(-LN(2)/2)*AW144+(1-EXP(-LN(2)/2))/(LN(2)/2)*AQ145*AT145*VLOOKUP('Données projet'!$B$10,Paramètres!$A$1:$I$89,3,0)*0.475*44/12</f>
        <v>2.9067192787491415E-8</v>
      </c>
      <c r="AX145" s="21">
        <f t="shared" si="114"/>
        <v>24.42601203855433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359.57284550600366</v>
      </c>
      <c r="BJ145" s="59">
        <f t="shared" si="146"/>
        <v>351.38386928091433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15.525076659193997</v>
      </c>
      <c r="BQ145" s="21">
        <f>EXP(-LN(2)/25)*BQ144+(1-EXP(-LN(2)/25))/(LN(2)/25)*Calculateur!BL145*Calculateur!BN145*VLOOKUP('Données projet'!$B$11,Paramètres!$A$1:$I$89,3,0)*0.475*44/12</f>
        <v>9.3798767622438675</v>
      </c>
      <c r="BR145" s="21">
        <f>EXP(-LN(2)/2)*BR144+(1-EXP(-LN(2)/2))/(LN(2)/2)*BL145*BO145*VLOOKUP('Données projet'!$B$11,Paramètres!$A$1:$I$89,3,0)*0.475*44/12</f>
        <v>2.9637137744108912E-8</v>
      </c>
      <c r="BS145" s="22">
        <f t="shared" si="117"/>
        <v>24.904953451075006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-8.5265128291212022E-14</v>
      </c>
      <c r="BZ145" s="13">
        <f>BY145*VLOOKUP('Données projet'!$B$12,Paramètres!$A$1:$I$89,3,0)*VLOOKUP('Données projet'!$B$12,Paramètres!$A$1:$I$89,5,0)</f>
        <v>-6.9167072069831198E-14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159.4660488566085</v>
      </c>
      <c r="CE145" s="59">
        <f t="shared" si="148"/>
        <v>135.33030558297088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3.826644957715688</v>
      </c>
      <c r="CM145" s="21">
        <f>EXP(-LN(2)/2)*CM144+(1-EXP(-LN(2)/2))/(LN(2)/2)*CG145*CJ145*VLOOKUP('Données projet'!$B$12,Paramètres!$A$1:$I$89,3,0)*0.475*44/12</f>
        <v>3.7320057188318213E-7</v>
      </c>
      <c r="CN145" s="22">
        <f t="shared" si="120"/>
        <v>3.8266453309162598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353.37479213497227</v>
      </c>
      <c r="CZ145" s="59">
        <f t="shared" si="150"/>
        <v>345.4750813433123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15.226517492671032</v>
      </c>
      <c r="DG145" s="21">
        <f>EXP(-LN(2)/25)*DG144+(1-EXP(-LN(2)/25))/(LN(2)/25)*Calculateur!DB145*Calculateur!DD145*VLOOKUP('Données projet'!$B$13,Paramètres!$A$1:$I$89,3,0)*0.475*44/12</f>
        <v>9.1994945168161042</v>
      </c>
      <c r="DH145" s="21">
        <f>EXP(-LN(2)/2)*DH144+(1-EXP(-LN(2)/2))/(LN(2)/2)*DB145*DE145*VLOOKUP('Données projet'!$B$13,Paramètres!$A$1:$I$89,3,0)*0.475*44/12</f>
        <v>2.9067192787491415E-8</v>
      </c>
      <c r="DI145" s="22">
        <f t="shared" si="123"/>
        <v>24.42601203855433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9.1440000000000055</v>
      </c>
      <c r="DO145" s="12">
        <f>IF('Données projet'!$A$166&gt;35,DO144+DN145-DW144,IF(A145&lt;'Données projet'!$A$166,$DL$205^A145,IF(A145='Données projet'!$A$166,'Données projet'!$B$166,DO144+DN145-DW144)))</f>
        <v>496.65200000000095</v>
      </c>
      <c r="DP145" s="17">
        <f>DO145*VLOOKUP('Données projet'!$B$14,Paramètres!$A$1:$I$89,3,0)*VLOOKUP('Données projet'!$B$14,Paramètres!$A$1:$I$89,5,0)</f>
        <v>449.37072960000086</v>
      </c>
      <c r="DQ145" s="13">
        <f t="shared" si="151"/>
        <v>101.71702488172154</v>
      </c>
      <c r="DR145" s="20">
        <f t="shared" si="124"/>
        <v>959.81117238899981</v>
      </c>
      <c r="DS145" s="59">
        <f t="shared" si="125"/>
        <v>1253.1445057223332</v>
      </c>
      <c r="DT145" s="59">
        <f ca="1">AVERAGE(OFFSET($DS$3,0,0,'Données projet'!$E$14+1,1))-AVERAGE(OFFSET($H$3,0,0,'Données projet'!$E$14+1,1))</f>
        <v>635.71275911100679</v>
      </c>
      <c r="DU145" s="59">
        <f t="shared" si="152"/>
        <v>281.7776857269169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38.19003691963831</v>
      </c>
      <c r="EB145" s="21">
        <f>EXP(-LN(2)/25)*EB144+(1-EXP(-LN(2)/25))/(LN(2)/25)*Calculateur!DW145*Calculateur!DY145*VLOOKUP('Données projet'!$B$14,Paramètres!$A$1:$I$89,3,0)*0.475*44/12</f>
        <v>19.040437356539211</v>
      </c>
      <c r="EC145" s="21">
        <f>EXP(-LN(2)/2)*EC144+(1-EXP(-LN(2)/2))/(LN(2)/2)*DW145*DZ145*VLOOKUP('Données projet'!$B$14,Paramètres!$A$1:$I$89,3,0)*0.475*44/12</f>
        <v>9.9726178467277986E-3</v>
      </c>
      <c r="ED145" s="22">
        <f t="shared" si="126"/>
        <v>57.240446894024245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9.1440000000000055</v>
      </c>
      <c r="EJ145" s="12">
        <f>IF('Données projet'!$A$192&gt;35,EJ144+EI145-ER144,IF(A145&lt;'Données projet'!$A$192,$EG$205^A145,IF(A145='Données projet'!$A$192,'Données projet'!$B$192,EJ144+EI145-ER144)))</f>
        <v>496.65200000000095</v>
      </c>
      <c r="EK145" s="17">
        <f>EJ145*VLOOKUP('Données projet'!$B$15,Paramètres!$A$1:$I$89,3,0)*VLOOKUP('Données projet'!$B$15,Paramètres!$A$1:$I$89,5,0)</f>
        <v>333.15416160000063</v>
      </c>
      <c r="EL145" s="13">
        <f t="shared" si="153"/>
        <v>78.083882859888206</v>
      </c>
      <c r="EM145" s="20">
        <f t="shared" si="127"/>
        <v>716.23959410097314</v>
      </c>
      <c r="EN145" s="59">
        <f t="shared" si="128"/>
        <v>1009.5729274343064</v>
      </c>
      <c r="EO145" s="59">
        <f ca="1">AVERAGE(OFFSET($EN$3,0,0,'Données projet'!$E$15+1,1))-AVERAGE(OFFSET($H$3,0,0,'Données projet'!$E$15+1,1))</f>
        <v>482.99915419700773</v>
      </c>
      <c r="EP145" s="59">
        <f t="shared" si="154"/>
        <v>219.74157899604279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34.897792357600522</v>
      </c>
      <c r="EW145" s="21">
        <f>EXP(-LN(2)/25)*EW144+(1-EXP(-LN(2)/25))/(LN(2)/25)*Calculateur!ER145*Calculateur!ET145*VLOOKUP('Données projet'!$B$15,Paramètres!$A$1:$I$89,3,0)*0.475*44/12</f>
        <v>17.399020343044448</v>
      </c>
      <c r="EX145" s="21">
        <f>EXP(-LN(2)/2)*EX144+(1-EXP(-LN(2)/2))/(LN(2)/2)*ER145*EU145*VLOOKUP('Données projet'!$B$15,Paramètres!$A$1:$I$89,3,0)*0.475*44/12</f>
        <v>7.3934925415395803E-3</v>
      </c>
      <c r="EY145" s="22">
        <f t="shared" si="129"/>
        <v>52.304206193186509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9.1440000000000055</v>
      </c>
      <c r="FE145" s="12">
        <f>IF('Données projet'!$A$218&gt;35,FE144+FD145-FM144,IF(A145&lt;'Données projet'!$A$218,$FB$205^A145,IF(A145='Données projet'!$A$218,'Données projet'!$B$218,FE144+FD145-FM144)))</f>
        <v>496.65200000000095</v>
      </c>
      <c r="FF145" s="17">
        <f>FE145*VLOOKUP('Données projet'!$B$16,Paramètres!$A$1:$I$89,3,0)*VLOOKUP('Données projet'!$B$16,Paramètres!$A$1:$I$89,5,0)</f>
        <v>472.61404320000088</v>
      </c>
      <c r="FG145" s="13">
        <f t="shared" si="155"/>
        <v>106.35211134810046</v>
      </c>
      <c r="FH145" s="20">
        <f t="shared" si="130"/>
        <v>1008.3660525046098</v>
      </c>
      <c r="FI145" s="59">
        <f t="shared" si="131"/>
        <v>1301.6993858379431</v>
      </c>
      <c r="FJ145" s="59">
        <f ca="1">AVERAGE(OFFSET($FI$3,0,0,'Données projet'!$E$16+1,1))-AVERAGE(OFFSET($H$3,0,0,'Données projet'!$E$16+1,1))</f>
        <v>666.1523645983184</v>
      </c>
      <c r="FK145" s="59">
        <f t="shared" si="156"/>
        <v>294.13851344047526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40.165383656860982</v>
      </c>
      <c r="FR145" s="21">
        <f>EXP(-LN(2)/25)*FR144+(1-EXP(-LN(2)/25))/(LN(2)/25)*Calculateur!FM145*Calculateur!FO145*VLOOKUP('Données projet'!$B$16,Paramètres!$A$1:$I$89,3,0)*0.475*44/12</f>
        <v>20.025287564636059</v>
      </c>
      <c r="FS145" s="21">
        <f>EXP(-LN(2)/2)*FS144+(1-EXP(-LN(2)/2))/(LN(2)/2)*FM145*FP145*VLOOKUP('Données projet'!$B$16,Paramètres!$A$1:$I$89,3,0)*0.475*44/12</f>
        <v>1.0488442907765452E-2</v>
      </c>
      <c r="FT145" s="22">
        <f t="shared" si="132"/>
        <v>60.201159664404805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328.55631138162721</v>
      </c>
      <c r="T146" s="59">
        <f t="shared" si="142"/>
        <v>321.81422611044985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11.161434026639514</v>
      </c>
      <c r="AA146" s="21">
        <f>EXP(-LN(2)/25)*AA145+(1-EXP(-LN(2)/25))/(LN(2)/25)*Calculateur!V146*Calculateur!X146*VLOOKUP('Données projet'!$B$9,Paramètres!$A$1:$I$89,3,0)*0.475*44/12</f>
        <v>6.6902605704445683</v>
      </c>
      <c r="AB146" s="21">
        <f>EXP(-LN(2)/2)*AB145+(1-EXP(-LN(2)/2))/(LN(2)/2)*V146*Y146*VLOOKUP('Données projet'!$B$9,Paramètres!$A$1:$I$89,3,0)*0.475*44/12</f>
        <v>1.8941561355182657E-8</v>
      </c>
      <c r="AC146" s="22">
        <f t="shared" si="111"/>
        <v>17.851694616025647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353.37479213497227</v>
      </c>
      <c r="AO146" s="59">
        <f t="shared" si="144"/>
        <v>345.4750813433123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14.927934771898384</v>
      </c>
      <c r="AV146" s="21">
        <f>EXP(-LN(2)/25)*AV145+(1-EXP(-LN(2)/25))/(LN(2)/25)*Calculateur!AQ146*Calculateur!AS146*VLOOKUP('Données projet'!$B$10,Paramètres!$A$1:$I$89,3,0)*0.475*44/12</f>
        <v>8.9479338554733765</v>
      </c>
      <c r="AW146" s="21">
        <f>EXP(-LN(2)/2)*AW145+(1-EXP(-LN(2)/2))/(LN(2)/2)*AQ146*AT146*VLOOKUP('Données projet'!$B$10,Paramètres!$A$1:$I$89,3,0)*0.475*44/12</f>
        <v>2.0553609130091884E-8</v>
      </c>
      <c r="AX146" s="21">
        <f t="shared" si="114"/>
        <v>23.875868647925369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359.57284550600366</v>
      </c>
      <c r="BJ146" s="59">
        <f t="shared" si="146"/>
        <v>351.38386928091433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15.220639375268943</v>
      </c>
      <c r="BQ146" s="21">
        <f>EXP(-LN(2)/25)*BQ145+(1-EXP(-LN(2)/25))/(LN(2)/25)*Calculateur!BL146*Calculateur!BN146*VLOOKUP('Données projet'!$B$11,Paramètres!$A$1:$I$89,3,0)*0.475*44/12</f>
        <v>9.1233835389140285</v>
      </c>
      <c r="BR146" s="21">
        <f>EXP(-LN(2)/2)*BR145+(1-EXP(-LN(2)/2))/(LN(2)/2)*BL146*BO146*VLOOKUP('Données projet'!$B$11,Paramètres!$A$1:$I$89,3,0)*0.475*44/12</f>
        <v>2.0956621073819191E-8</v>
      </c>
      <c r="BS146" s="22">
        <f t="shared" si="117"/>
        <v>24.344022935139591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-8.5265128291212022E-14</v>
      </c>
      <c r="BZ146" s="13">
        <f>BY146*VLOOKUP('Données projet'!$B$12,Paramètres!$A$1:$I$89,3,0)*VLOOKUP('Données projet'!$B$12,Paramètres!$A$1:$I$89,5,0)</f>
        <v>-6.9167072069831198E-14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159.4660488566085</v>
      </c>
      <c r="CE146" s="59">
        <f t="shared" si="148"/>
        <v>135.33030558297088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3.72200515011244</v>
      </c>
      <c r="CM146" s="21">
        <f>EXP(-LN(2)/2)*CM145+(1-EXP(-LN(2)/2))/(LN(2)/2)*CG146*CJ146*VLOOKUP('Données projet'!$B$12,Paramètres!$A$1:$I$89,3,0)*0.475*44/12</f>
        <v>2.6389265512129566E-7</v>
      </c>
      <c r="CN146" s="22">
        <f t="shared" si="120"/>
        <v>3.7220054140050953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353.37479213497227</v>
      </c>
      <c r="CZ146" s="59">
        <f t="shared" si="150"/>
        <v>345.4750813433123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14.927934771898384</v>
      </c>
      <c r="DG146" s="21">
        <f>EXP(-LN(2)/25)*DG145+(1-EXP(-LN(2)/25))/(LN(2)/25)*Calculateur!DB146*Calculateur!DD146*VLOOKUP('Données projet'!$B$13,Paramètres!$A$1:$I$89,3,0)*0.475*44/12</f>
        <v>8.9479338554733765</v>
      </c>
      <c r="DH146" s="21">
        <f>EXP(-LN(2)/2)*DH145+(1-EXP(-LN(2)/2))/(LN(2)/2)*DB146*DE146*VLOOKUP('Données projet'!$B$13,Paramètres!$A$1:$I$89,3,0)*0.475*44/12</f>
        <v>2.0553609130091884E-8</v>
      </c>
      <c r="DI146" s="22">
        <f t="shared" si="123"/>
        <v>23.875868647925369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9.1440000000000055</v>
      </c>
      <c r="DO146" s="12">
        <f>IF('Données projet'!$A$166&gt;35,DO145+DN146-DW145,IF(A146&lt;'Données projet'!$A$166,$DL$205^A146,IF(A146='Données projet'!$A$166,'Données projet'!$B$166,DO145+DN146-DW145)))</f>
        <v>505.79600000000096</v>
      </c>
      <c r="DP146" s="17">
        <f>DO146*VLOOKUP('Données projet'!$B$14,Paramètres!$A$1:$I$89,3,0)*VLOOKUP('Données projet'!$B$14,Paramètres!$A$1:$I$89,5,0)</f>
        <v>457.64422080000088</v>
      </c>
      <c r="DQ146" s="13">
        <f t="shared" si="151"/>
        <v>103.37001757568726</v>
      </c>
      <c r="DR146" s="20">
        <f t="shared" si="124"/>
        <v>977.0997985043233</v>
      </c>
      <c r="DS146" s="59">
        <f t="shared" si="125"/>
        <v>1270.4331318376567</v>
      </c>
      <c r="DT146" s="59">
        <f ca="1">AVERAGE(OFFSET($DS$3,0,0,'Données projet'!$E$14+1,1))-AVERAGE(OFFSET($H$3,0,0,'Données projet'!$E$14+1,1))</f>
        <v>635.71275911100679</v>
      </c>
      <c r="DU146" s="59">
        <f t="shared" si="152"/>
        <v>281.7776857269169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37.441153589266669</v>
      </c>
      <c r="EB146" s="21">
        <f>EXP(-LN(2)/25)*EB145+(1-EXP(-LN(2)/25))/(LN(2)/25)*Calculateur!DW146*Calculateur!DY146*VLOOKUP('Données projet'!$B$14,Paramètres!$A$1:$I$89,3,0)*0.475*44/12</f>
        <v>18.519775595731563</v>
      </c>
      <c r="EC146" s="21">
        <f>EXP(-LN(2)/2)*EC145+(1-EXP(-LN(2)/2))/(LN(2)/2)*DW146*DZ146*VLOOKUP('Données projet'!$B$14,Paramètres!$A$1:$I$89,3,0)*0.475*44/12</f>
        <v>7.0517057056032123E-3</v>
      </c>
      <c r="ED146" s="22">
        <f t="shared" si="126"/>
        <v>55.967980890703842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9.1440000000000055</v>
      </c>
      <c r="EJ146" s="12">
        <f>IF('Données projet'!$A$192&gt;35,EJ145+EI146-ER145,IF(A146&lt;'Données projet'!$A$192,$EG$205^A146,IF(A146='Données projet'!$A$192,'Données projet'!$B$192,EJ145+EI146-ER145)))</f>
        <v>505.79600000000096</v>
      </c>
      <c r="EK146" s="17">
        <f>EJ146*VLOOKUP('Données projet'!$B$15,Paramètres!$A$1:$I$89,3,0)*VLOOKUP('Données projet'!$B$15,Paramètres!$A$1:$I$89,5,0)</f>
        <v>339.28795680000064</v>
      </c>
      <c r="EL146" s="13">
        <f t="shared" si="153"/>
        <v>79.352815843663194</v>
      </c>
      <c r="EM146" s="20">
        <f t="shared" si="127"/>
        <v>729.13267902104781</v>
      </c>
      <c r="EN146" s="59">
        <f t="shared" si="128"/>
        <v>1022.4660123543811</v>
      </c>
      <c r="EO146" s="59">
        <f ca="1">AVERAGE(OFFSET($EN$3,0,0,'Données projet'!$E$15+1,1))-AVERAGE(OFFSET($H$3,0,0,'Données projet'!$E$15+1,1))</f>
        <v>482.99915419700773</v>
      </c>
      <c r="EP146" s="59">
        <f t="shared" si="154"/>
        <v>219.74157899604279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34.213467935019544</v>
      </c>
      <c r="EW146" s="21">
        <f>EXP(-LN(2)/25)*EW145+(1-EXP(-LN(2)/25))/(LN(2)/25)*Calculateur!ER146*Calculateur!ET146*VLOOKUP('Données projet'!$B$15,Paramètres!$A$1:$I$89,3,0)*0.475*44/12</f>
        <v>16.923243216789185</v>
      </c>
      <c r="EX146" s="21">
        <f>EXP(-LN(2)/2)*EX145+(1-EXP(-LN(2)/2))/(LN(2)/2)*ER146*EU146*VLOOKUP('Données projet'!$B$15,Paramètres!$A$1:$I$89,3,0)*0.475*44/12</f>
        <v>5.2279887127747995E-3</v>
      </c>
      <c r="EY146" s="22">
        <f t="shared" si="129"/>
        <v>51.141939140521501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9.1440000000000055</v>
      </c>
      <c r="FE146" s="12">
        <f>IF('Données projet'!$A$218&gt;35,FE145+FD146-FM145,IF(A146&lt;'Données projet'!$A$218,$FB$205^A146,IF(A146='Données projet'!$A$218,'Données projet'!$B$218,FE145+FD146-FM145)))</f>
        <v>505.79600000000096</v>
      </c>
      <c r="FF146" s="17">
        <f>FE146*VLOOKUP('Données projet'!$B$16,Paramètres!$A$1:$I$89,3,0)*VLOOKUP('Données projet'!$B$16,Paramètres!$A$1:$I$89,5,0)</f>
        <v>481.31547360000093</v>
      </c>
      <c r="FG146" s="13">
        <f t="shared" si="155"/>
        <v>108.08042834567949</v>
      </c>
      <c r="FH146" s="20">
        <f t="shared" si="130"/>
        <v>1026.5311958887266</v>
      </c>
      <c r="FI146" s="59">
        <f t="shared" si="131"/>
        <v>1319.8645292220599</v>
      </c>
      <c r="FJ146" s="59">
        <f ca="1">AVERAGE(OFFSET($FI$3,0,0,'Données projet'!$E$16+1,1))-AVERAGE(OFFSET($H$3,0,0,'Données projet'!$E$16+1,1))</f>
        <v>666.1523645983184</v>
      </c>
      <c r="FK146" s="59">
        <f t="shared" si="156"/>
        <v>294.13851344047526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39.377764981814948</v>
      </c>
      <c r="FR146" s="21">
        <f>EXP(-LN(2)/25)*FR145+(1-EXP(-LN(2)/25))/(LN(2)/25)*Calculateur!FM146*Calculateur!FO146*VLOOKUP('Données projet'!$B$16,Paramètres!$A$1:$I$89,3,0)*0.475*44/12</f>
        <v>19.477695023096981</v>
      </c>
      <c r="FS146" s="21">
        <f>EXP(-LN(2)/2)*FS145+(1-EXP(-LN(2)/2))/(LN(2)/2)*FM146*FP146*VLOOKUP('Données projet'!$B$16,Paramètres!$A$1:$I$89,3,0)*0.475*44/12</f>
        <v>7.4164491041689021E-3</v>
      </c>
      <c r="FT146" s="22">
        <f t="shared" si="132"/>
        <v>58.862876454016103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328.55631138162721</v>
      </c>
      <c r="T147" s="59">
        <f t="shared" si="142"/>
        <v>321.81422611044985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10.942565113179654</v>
      </c>
      <c r="AA147" s="21">
        <f>EXP(-LN(2)/25)*AA146+(1-EXP(-LN(2)/25))/(LN(2)/25)*Calculateur!V147*Calculateur!X147*VLOOKUP('Données projet'!$B$9,Paramètres!$A$1:$I$89,3,0)*0.475*44/12</f>
        <v>6.5073150433202489</v>
      </c>
      <c r="AB147" s="21">
        <f>EXP(-LN(2)/2)*AB146+(1-EXP(-LN(2)/2))/(LN(2)/2)*V147*Y147*VLOOKUP('Données projet'!$B$9,Paramètres!$A$1:$I$89,3,0)*0.475*44/12</f>
        <v>1.3393706480510708E-8</v>
      </c>
      <c r="AC147" s="22">
        <f t="shared" si="111"/>
        <v>17.449880169893607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353.37479213497227</v>
      </c>
      <c r="AO147" s="59">
        <f t="shared" si="144"/>
        <v>345.4750813433123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14.63520707616261</v>
      </c>
      <c r="AV147" s="21">
        <f>EXP(-LN(2)/25)*AV146+(1-EXP(-LN(2)/25))/(LN(2)/25)*Calculateur!AQ147*Calculateur!AS147*VLOOKUP('Données projet'!$B$10,Paramètres!$A$1:$I$89,3,0)*0.475*44/12</f>
        <v>8.7032521336440656</v>
      </c>
      <c r="AW147" s="21">
        <f>EXP(-LN(2)/2)*AW146+(1-EXP(-LN(2)/2))/(LN(2)/2)*AQ147*AT147*VLOOKUP('Données projet'!$B$10,Paramètres!$A$1:$I$89,3,0)*0.475*44/12</f>
        <v>1.4533596393745707E-8</v>
      </c>
      <c r="AX147" s="21">
        <f t="shared" si="114"/>
        <v>23.338459224340273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359.57284550600366</v>
      </c>
      <c r="BJ147" s="59">
        <f t="shared" si="146"/>
        <v>351.38386928091433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14.922171920793252</v>
      </c>
      <c r="BQ147" s="21">
        <f>EXP(-LN(2)/25)*BQ146+(1-EXP(-LN(2)/25))/(LN(2)/25)*Calculateur!BL147*Calculateur!BN147*VLOOKUP('Données projet'!$B$11,Paramètres!$A$1:$I$89,3,0)*0.475*44/12</f>
        <v>8.8739041362645352</v>
      </c>
      <c r="BR147" s="21">
        <f>EXP(-LN(2)/2)*BR146+(1-EXP(-LN(2)/2))/(LN(2)/2)*BL147*BO147*VLOOKUP('Données projet'!$B$11,Paramètres!$A$1:$I$89,3,0)*0.475*44/12</f>
        <v>1.4818568872054459E-8</v>
      </c>
      <c r="BS147" s="22">
        <f t="shared" si="117"/>
        <v>23.796076071876357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-8.5265128291212022E-14</v>
      </c>
      <c r="BZ147" s="13">
        <f>BY147*VLOOKUP('Données projet'!$B$12,Paramètres!$A$1:$I$89,3,0)*VLOOKUP('Données projet'!$B$12,Paramètres!$A$1:$I$89,5,0)</f>
        <v>-6.9167072069831198E-14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159.4660488566085</v>
      </c>
      <c r="CE147" s="59">
        <f t="shared" si="148"/>
        <v>135.33030558297088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3.6202267235508714</v>
      </c>
      <c r="CM147" s="21">
        <f>EXP(-LN(2)/2)*CM146+(1-EXP(-LN(2)/2))/(LN(2)/2)*CG147*CJ147*VLOOKUP('Données projet'!$B$12,Paramètres!$A$1:$I$89,3,0)*0.475*44/12</f>
        <v>1.8660028594159106E-7</v>
      </c>
      <c r="CN147" s="22">
        <f t="shared" si="120"/>
        <v>3.6202269101511573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353.37479213497227</v>
      </c>
      <c r="CZ147" s="59">
        <f t="shared" si="150"/>
        <v>345.4750813433123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14.63520707616261</v>
      </c>
      <c r="DG147" s="21">
        <f>EXP(-LN(2)/25)*DG146+(1-EXP(-LN(2)/25))/(LN(2)/25)*Calculateur!DB147*Calculateur!DD147*VLOOKUP('Données projet'!$B$13,Paramètres!$A$1:$I$89,3,0)*0.475*44/12</f>
        <v>8.7032521336440656</v>
      </c>
      <c r="DH147" s="21">
        <f>EXP(-LN(2)/2)*DH146+(1-EXP(-LN(2)/2))/(LN(2)/2)*DB147*DE147*VLOOKUP('Données projet'!$B$13,Paramètres!$A$1:$I$89,3,0)*0.475*44/12</f>
        <v>1.4533596393745707E-8</v>
      </c>
      <c r="DI147" s="22">
        <f t="shared" si="123"/>
        <v>23.338459224340273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>
        <f>VLOOKUP(A147,'Données projet'!$A$165:$I$185,2,0)</f>
        <v>514.94000000000005</v>
      </c>
      <c r="DM147" s="12">
        <f>VLOOKUP(A147,'Données projet'!$A$165:$I$185,9,0)</f>
        <v>9.1440000000000055</v>
      </c>
      <c r="DN147" s="12">
        <f t="array" ref="DN147">INDEX(DM:DM,MIN(IF(ISNUMBER(DM147:DM343),ROW(DM147:DM343),"")))</f>
        <v>9.1440000000000055</v>
      </c>
      <c r="DO147" s="12">
        <f>IF('Données projet'!$A$166&gt;35,DO146+DN147-DW146,IF(A147&lt;'Données projet'!$A$166,$DL$205^A147,IF(A147='Données projet'!$A$166,'Données projet'!$B$166,DO146+DN147-DW146)))</f>
        <v>514.94000000000096</v>
      </c>
      <c r="DP147" s="17">
        <f>DO147*VLOOKUP('Données projet'!$B$14,Paramètres!$A$1:$I$89,3,0)*VLOOKUP('Données projet'!$B$14,Paramètres!$A$1:$I$89,5,0)</f>
        <v>465.91771200000085</v>
      </c>
      <c r="DQ147" s="13">
        <f t="shared" si="151"/>
        <v>105.01953528507198</v>
      </c>
      <c r="DR147" s="20">
        <f t="shared" si="124"/>
        <v>994.38237235483496</v>
      </c>
      <c r="DS147" s="59">
        <f t="shared" si="125"/>
        <v>1287.7157056881683</v>
      </c>
      <c r="DT147" s="59">
        <f ca="1">AVERAGE(OFFSET($DS$3,0,0,'Données projet'!$E$14+1,1))-AVERAGE(OFFSET($H$3,0,0,'Données projet'!$E$14+1,1))</f>
        <v>635.71275911100679</v>
      </c>
      <c r="DU147" s="59">
        <f t="shared" si="152"/>
        <v>281.7776857269169</v>
      </c>
      <c r="DV147" s="15">
        <f>IF(ISNA(VLOOKUP(A147,'Données projet'!$A$165:$I$185,3,0)),0,VLOOKUP(A147,'Données projet'!$A$165:$I$185,3,0))</f>
        <v>12</v>
      </c>
      <c r="DW147" s="15">
        <f>IF(ISNA(VLOOKUP(A147,'Données projet'!$A$165:$I$185,4,0)),0,VLOOKUP(A147,'Données projet'!$A$165:$I$185,4,0))</f>
        <v>61.800000000000068</v>
      </c>
      <c r="DX147" s="16">
        <f>IF(ISNA(VLOOKUP(A147,'Données projet'!$A$165:$I$185,5,0)),0%,VLOOKUP(A147,'Données projet'!$A$165:$I$185,5,0)*VLOOKUP('Données projet'!$B$14,Paramètres!$A$1:$I$89,7,0))</f>
        <v>0.215</v>
      </c>
      <c r="DY147" s="16">
        <f>IF(ISNA(VLOOKUP(A147,'Données projet'!$A$165:$I$185,6,0)),0%,VLOOKUP(A147,'Données projet'!$A$165:$I$185,6,0)*VLOOKUP('Données projet'!$B$14,Paramètres!$A$1:$I$89,7,0))</f>
        <v>8.6000000000000007E-2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49.997006091476479</v>
      </c>
      <c r="EB147" s="21">
        <f>EXP(-LN(2)/25)*EB146+(1-EXP(-LN(2)/25))/(LN(2)/25)*Calculateur!DW147*Calculateur!DY147*VLOOKUP('Données projet'!$B$14,Paramètres!$A$1:$I$89,3,0)*0.475*44/12</f>
        <v>23.30844043566745</v>
      </c>
      <c r="EC147" s="21">
        <f>EXP(-LN(2)/2)*EC146+(1-EXP(-LN(2)/2))/(LN(2)/2)*DW147*DZ147*VLOOKUP('Données projet'!$B$14,Paramètres!$A$1:$I$89,3,0)*0.475*44/12</f>
        <v>4.9863089233638993E-3</v>
      </c>
      <c r="ED147" s="22">
        <f t="shared" si="126"/>
        <v>73.310432836067292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>
        <f>VLOOKUP(A147,'Données projet'!$A$191:$I$211,2,0)</f>
        <v>514.94000000000005</v>
      </c>
      <c r="EH147" s="12">
        <f>VLOOKUP(A147,'Données projet'!$A$191:$I$211,9,0)</f>
        <v>9.1440000000000055</v>
      </c>
      <c r="EI147" s="12">
        <f t="array" ref="EI147">INDEX(EH:EH,MIN(IF(ISNUMBER(EH147:EH343),ROW(EH147:EH343),"")))</f>
        <v>9.1440000000000055</v>
      </c>
      <c r="EJ147" s="12">
        <f>IF('Données projet'!$A$192&gt;35,EJ146+EI147-ER146,IF(A147&lt;'Données projet'!$A$192,$EG$205^A147,IF(A147='Données projet'!$A$192,'Données projet'!$B$192,EJ146+EI147-ER146)))</f>
        <v>514.94000000000096</v>
      </c>
      <c r="EK147" s="17">
        <f>EJ147*VLOOKUP('Données projet'!$B$15,Paramètres!$A$1:$I$89,3,0)*VLOOKUP('Données projet'!$B$15,Paramètres!$A$1:$I$89,5,0)</f>
        <v>345.42175200000065</v>
      </c>
      <c r="EL147" s="13">
        <f t="shared" si="153"/>
        <v>80.619081227896359</v>
      </c>
      <c r="EM147" s="20">
        <f t="shared" si="127"/>
        <v>742.02111787192052</v>
      </c>
      <c r="EN147" s="59">
        <f t="shared" si="128"/>
        <v>1035.3544512052538</v>
      </c>
      <c r="EO147" s="59">
        <f ca="1">AVERAGE(OFFSET($EN$3,0,0,'Données projet'!$E$15+1,1))-AVERAGE(OFFSET($H$3,0,0,'Données projet'!$E$15+1,1))</f>
        <v>482.99915419700773</v>
      </c>
      <c r="EP147" s="59">
        <f t="shared" si="154"/>
        <v>219.74157899604279</v>
      </c>
      <c r="EQ147" s="15">
        <f>IF(ISNA(VLOOKUP(A147,'Données projet'!$A$191:$I$211,3,0)),0,VLOOKUP(A147,'Données projet'!$A$191:$I$211,3,0))</f>
        <v>12</v>
      </c>
      <c r="ER147" s="15">
        <f>IF(ISNA(VLOOKUP(A147,'Données projet'!$A$191:$I$211,4,0)),0,VLOOKUP(A147,'Données projet'!$A$191:$I$211,4,0))</f>
        <v>61.800000000000068</v>
      </c>
      <c r="ES147" s="16">
        <f>IF(ISNA(VLOOKUP(A147,'Données projet'!$A$191:$I$211,5,0)),0%,VLOOKUP(A147,'Données projet'!$A$191:$I$211,5,0)*VLOOKUP('Données projet'!$B$15,Paramètres!$A$1:$I$89,7,0))</f>
        <v>0.26500000000000001</v>
      </c>
      <c r="ET147" s="16">
        <f>IF(ISNA(VLOOKUP(A147,'Données projet'!$A$191:$I$211,6,0)),0%,VLOOKUP(A147,'Données projet'!$A$191:$I$211,6,0)*VLOOKUP('Données projet'!$B$15,Paramètres!$A$1:$I$89,7,0))</f>
        <v>0.10600000000000001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45.686919359452652</v>
      </c>
      <c r="EW147" s="21">
        <f>EXP(-LN(2)/25)*EW146+(1-EXP(-LN(2)/25))/(LN(2)/25)*Calculateur!ER147*Calculateur!ET147*VLOOKUP('Données projet'!$B$15,Paramètres!$A$1:$I$89,3,0)*0.475*44/12</f>
        <v>21.299092122247838</v>
      </c>
      <c r="EX147" s="21">
        <f>EXP(-LN(2)/2)*EX146+(1-EXP(-LN(2)/2))/(LN(2)/2)*ER147*EU147*VLOOKUP('Données projet'!$B$15,Paramètres!$A$1:$I$89,3,0)*0.475*44/12</f>
        <v>3.6967462707697906E-3</v>
      </c>
      <c r="EY147" s="22">
        <f t="shared" si="129"/>
        <v>66.989708227971263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>
        <f>VLOOKUP(A147,'Données projet'!$A$217:$I$237,2,0)</f>
        <v>514.94000000000005</v>
      </c>
      <c r="FC147" s="12">
        <f>VLOOKUP(A147,'Données projet'!$A$217:$I$237,9,0)</f>
        <v>9.1440000000000055</v>
      </c>
      <c r="FD147" s="12">
        <f t="array" ref="FD147">INDEX(FC:FC,MIN(IF(ISNUMBER(FC147:FC343),ROW(FC147:FC343),"")))</f>
        <v>9.1440000000000055</v>
      </c>
      <c r="FE147" s="12">
        <f>IF('Données projet'!$A$218&gt;35,FE146+FD147-FM146,IF(A147&lt;'Données projet'!$A$218,$FB$205^A147,IF(A147='Données projet'!$A$218,'Données projet'!$B$218,FE146+FD147-FM146)))</f>
        <v>514.94000000000096</v>
      </c>
      <c r="FF147" s="17">
        <f>FE147*VLOOKUP('Données projet'!$B$16,Paramètres!$A$1:$I$89,3,0)*VLOOKUP('Données projet'!$B$16,Paramètres!$A$1:$I$89,5,0)</f>
        <v>490.01690400000092</v>
      </c>
      <c r="FG147" s="13">
        <f t="shared" si="155"/>
        <v>109.80511200904009</v>
      </c>
      <c r="FH147" s="20">
        <f t="shared" si="130"/>
        <v>1044.6900112157464</v>
      </c>
      <c r="FI147" s="59">
        <f t="shared" si="131"/>
        <v>1338.0233445490796</v>
      </c>
      <c r="FJ147" s="59">
        <f ca="1">AVERAGE(OFFSET($FI$3,0,0,'Données projet'!$E$16+1,1))-AVERAGE(OFFSET($H$3,0,0,'Données projet'!$E$16+1,1))</f>
        <v>666.1523645983184</v>
      </c>
      <c r="FK147" s="59">
        <f t="shared" si="156"/>
        <v>294.13851344047526</v>
      </c>
      <c r="FL147" s="15">
        <f>IF(ISNA(VLOOKUP(A147,'Données projet'!$A$217:$I$237,3,0)),0,VLOOKUP(A147,'Données projet'!$A$217:$I$237,3,0))</f>
        <v>12</v>
      </c>
      <c r="FM147" s="15">
        <f>IF(ISNA(VLOOKUP(A147,'Données projet'!$A$217:$I$237,4,0)),0,VLOOKUP(A147,'Données projet'!$A$217:$I$237,4,0))</f>
        <v>61.800000000000068</v>
      </c>
      <c r="FN147" s="16">
        <f>IF(ISNA(VLOOKUP(A147,'Données projet'!$A$217:$I$237,5,0)),0%,VLOOKUP(A147,'Données projet'!$A$217:$I$237,5,0)*VLOOKUP('Données projet'!$B$16,Paramètres!$A$1:$I$89,7,0))</f>
        <v>0.215</v>
      </c>
      <c r="FO147" s="16">
        <f>IF(ISNA(VLOOKUP(A147,'Données projet'!$A$217:$I$237,6,0)),0%,VLOOKUP(A147,'Données projet'!$A$217:$I$237,6,0)*VLOOKUP('Données projet'!$B$16,Paramètres!$A$1:$I$89,7,0))</f>
        <v>8.6000000000000007E-2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52.583058130690787</v>
      </c>
      <c r="FR147" s="21">
        <f>EXP(-LN(2)/25)*FR146+(1-EXP(-LN(2)/25))/(LN(2)/25)*Calculateur!FM147*Calculateur!FO147*VLOOKUP('Données projet'!$B$16,Paramètres!$A$1:$I$89,3,0)*0.475*44/12</f>
        <v>24.514049423719207</v>
      </c>
      <c r="FS147" s="21">
        <f>EXP(-LN(2)/2)*FS146+(1-EXP(-LN(2)/2))/(LN(2)/2)*FM147*FP147*VLOOKUP('Données projet'!$B$16,Paramètres!$A$1:$I$89,3,0)*0.475*44/12</f>
        <v>5.2442214538827268E-3</v>
      </c>
      <c r="FT147" s="22">
        <f t="shared" si="132"/>
        <v>77.10235177586388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328.55631138162721</v>
      </c>
      <c r="T148" s="59">
        <f t="shared" si="142"/>
        <v>321.81422611044985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10.727988085615888</v>
      </c>
      <c r="AA148" s="21">
        <f>EXP(-LN(2)/25)*AA147+(1-EXP(-LN(2)/25))/(LN(2)/25)*Calculateur!V148*Calculateur!X148*VLOOKUP('Données projet'!$B$9,Paramètres!$A$1:$I$89,3,0)*0.475*44/12</f>
        <v>6.3293721712558311</v>
      </c>
      <c r="AB148" s="21">
        <f>EXP(-LN(2)/2)*AB147+(1-EXP(-LN(2)/2))/(LN(2)/2)*V148*Y148*VLOOKUP('Données projet'!$B$9,Paramètres!$A$1:$I$89,3,0)*0.475*44/12</f>
        <v>9.4707806775913286E-9</v>
      </c>
      <c r="AC148" s="22">
        <f t="shared" si="111"/>
        <v>17.057360266342499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353.37479213497227</v>
      </c>
      <c r="AO148" s="59">
        <f t="shared" si="144"/>
        <v>345.4750813433123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14.348219591993949</v>
      </c>
      <c r="AV148" s="21">
        <f>EXP(-LN(2)/25)*AV147+(1-EXP(-LN(2)/25))/(LN(2)/25)*Calculateur!AQ148*Calculateur!AS148*VLOOKUP('Données projet'!$B$10,Paramètres!$A$1:$I$89,3,0)*0.475*44/12</f>
        <v>8.4652612463654311</v>
      </c>
      <c r="AW148" s="21">
        <f>EXP(-LN(2)/2)*AW147+(1-EXP(-LN(2)/2))/(LN(2)/2)*AQ148*AT148*VLOOKUP('Données projet'!$B$10,Paramètres!$A$1:$I$89,3,0)*0.475*44/12</f>
        <v>1.0276804565045942E-8</v>
      </c>
      <c r="AX148" s="21">
        <f t="shared" si="114"/>
        <v>22.813480848636186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359.57284550600366</v>
      </c>
      <c r="BJ148" s="59">
        <f t="shared" si="146"/>
        <v>351.38386928091433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14.629557231052656</v>
      </c>
      <c r="BQ148" s="21">
        <f>EXP(-LN(2)/25)*BQ147+(1-EXP(-LN(2)/25))/(LN(2)/25)*Calculateur!BL148*Calculateur!BN148*VLOOKUP('Données projet'!$B$11,Paramètres!$A$1:$I$89,3,0)*0.475*44/12</f>
        <v>8.6312467610000443</v>
      </c>
      <c r="BR148" s="21">
        <f>EXP(-LN(2)/2)*BR147+(1-EXP(-LN(2)/2))/(LN(2)/2)*BL148*BO148*VLOOKUP('Données projet'!$B$11,Paramètres!$A$1:$I$89,3,0)*0.475*44/12</f>
        <v>1.0478310536909597E-8</v>
      </c>
      <c r="BS148" s="22">
        <f t="shared" si="117"/>
        <v>23.26080400253101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-8.5265128291212022E-14</v>
      </c>
      <c r="BZ148" s="13">
        <f>BY148*VLOOKUP('Données projet'!$B$12,Paramètres!$A$1:$I$89,3,0)*VLOOKUP('Données projet'!$B$12,Paramètres!$A$1:$I$89,5,0)</f>
        <v>-6.9167072069831198E-14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159.4660488566085</v>
      </c>
      <c r="CE148" s="59">
        <f t="shared" si="148"/>
        <v>135.33030558297088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3.5212314334159234</v>
      </c>
      <c r="CM148" s="21">
        <f>EXP(-LN(2)/2)*CM147+(1-EXP(-LN(2)/2))/(LN(2)/2)*CG148*CJ148*VLOOKUP('Données projet'!$B$12,Paramètres!$A$1:$I$89,3,0)*0.475*44/12</f>
        <v>1.3194632756064783E-7</v>
      </c>
      <c r="CN148" s="22">
        <f t="shared" si="120"/>
        <v>3.521231565362251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353.37479213497227</v>
      </c>
      <c r="CZ148" s="59">
        <f t="shared" si="150"/>
        <v>345.4750813433123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14.348219591993949</v>
      </c>
      <c r="DG148" s="21">
        <f>EXP(-LN(2)/25)*DG147+(1-EXP(-LN(2)/25))/(LN(2)/25)*Calculateur!DB148*Calculateur!DD148*VLOOKUP('Données projet'!$B$13,Paramètres!$A$1:$I$89,3,0)*0.475*44/12</f>
        <v>8.4652612463654311</v>
      </c>
      <c r="DH148" s="21">
        <f>EXP(-LN(2)/2)*DH147+(1-EXP(-LN(2)/2))/(LN(2)/2)*DB148*DE148*VLOOKUP('Données projet'!$B$13,Paramètres!$A$1:$I$89,3,0)*0.475*44/12</f>
        <v>1.0276804565045942E-8</v>
      </c>
      <c r="DI148" s="22">
        <f t="shared" si="123"/>
        <v>22.813480848636186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9.3350000000000026</v>
      </c>
      <c r="DO148" s="12">
        <f>IF('Données projet'!$A$166&gt;35,DO147+DN148-DW147,IF(A148&lt;'Données projet'!$A$166,$DL$205^A148,IF(A148='Données projet'!$A$166,'Données projet'!$B$166,DO147+DN148-DW147)))</f>
        <v>462.47500000000093</v>
      </c>
      <c r="DP148" s="17">
        <f>DO148*VLOOKUP('Données projet'!$B$14,Paramètres!$A$1:$I$89,3,0)*VLOOKUP('Données projet'!$B$14,Paramètres!$A$1:$I$89,5,0)</f>
        <v>418.44738000000081</v>
      </c>
      <c r="DQ148" s="13">
        <f t="shared" si="151"/>
        <v>95.506718301246906</v>
      </c>
      <c r="DR148" s="20">
        <f t="shared" si="124"/>
        <v>895.13672120800663</v>
      </c>
      <c r="DS148" s="59">
        <f t="shared" si="125"/>
        <v>1188.47005454134</v>
      </c>
      <c r="DT148" s="59">
        <f ca="1">AVERAGE(OFFSET($DS$3,0,0,'Données projet'!$E$14+1,1))-AVERAGE(OFFSET($H$3,0,0,'Données projet'!$E$14+1,1))</f>
        <v>635.71275911100679</v>
      </c>
      <c r="DU148" s="59">
        <f t="shared" si="152"/>
        <v>281.7776857269169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49.016595297185191</v>
      </c>
      <c r="EB148" s="21">
        <f>EXP(-LN(2)/25)*EB147+(1-EXP(-LN(2)/25))/(LN(2)/25)*Calculateur!DW148*Calculateur!DY148*VLOOKUP('Données projet'!$B$14,Paramètres!$A$1:$I$89,3,0)*0.475*44/12</f>
        <v>22.671069906216513</v>
      </c>
      <c r="EC148" s="21">
        <f>EXP(-LN(2)/2)*EC147+(1-EXP(-LN(2)/2))/(LN(2)/2)*DW148*DZ148*VLOOKUP('Données projet'!$B$14,Paramètres!$A$1:$I$89,3,0)*0.475*44/12</f>
        <v>3.5258528528016061E-3</v>
      </c>
      <c r="ED148" s="22">
        <f t="shared" si="126"/>
        <v>71.69119105625451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9.3350000000000026</v>
      </c>
      <c r="EJ148" s="12">
        <f>IF('Données projet'!$A$192&gt;35,EJ147+EI148-ER147,IF(A148&lt;'Données projet'!$A$192,$EG$205^A148,IF(A148='Données projet'!$A$192,'Données projet'!$B$192,EJ147+EI148-ER147)))</f>
        <v>462.47500000000093</v>
      </c>
      <c r="EK148" s="17">
        <f>EJ148*VLOOKUP('Données projet'!$B$15,Paramètres!$A$1:$I$89,3,0)*VLOOKUP('Données projet'!$B$15,Paramètres!$A$1:$I$89,5,0)</f>
        <v>310.22823000000062</v>
      </c>
      <c r="EL148" s="13">
        <f t="shared" si="153"/>
        <v>73.316491637842148</v>
      </c>
      <c r="EM148" s="20">
        <f t="shared" si="127"/>
        <v>668.00705685257617</v>
      </c>
      <c r="EN148" s="59">
        <f t="shared" si="128"/>
        <v>961.34039018590943</v>
      </c>
      <c r="EO148" s="59">
        <f ca="1">AVERAGE(OFFSET($EN$3,0,0,'Données projet'!$E$15+1,1))-AVERAGE(OFFSET($H$3,0,0,'Données projet'!$E$15+1,1))</f>
        <v>482.99915419700773</v>
      </c>
      <c r="EP148" s="59">
        <f t="shared" si="154"/>
        <v>219.74157899604279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44.79102673708303</v>
      </c>
      <c r="EW148" s="21">
        <f>EXP(-LN(2)/25)*EW147+(1-EXP(-LN(2)/25))/(LN(2)/25)*Calculateur!ER148*Calculateur!ET148*VLOOKUP('Données projet'!$B$15,Paramètres!$A$1:$I$89,3,0)*0.475*44/12</f>
        <v>20.716667328094395</v>
      </c>
      <c r="EX148" s="21">
        <f>EXP(-LN(2)/2)*EX147+(1-EXP(-LN(2)/2))/(LN(2)/2)*ER148*EU148*VLOOKUP('Données projet'!$B$15,Paramètres!$A$1:$I$89,3,0)*0.475*44/12</f>
        <v>2.6139943563874002E-3</v>
      </c>
      <c r="EY148" s="22">
        <f t="shared" si="129"/>
        <v>65.510308059533799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9.3350000000000026</v>
      </c>
      <c r="FE148" s="12">
        <f>IF('Données projet'!$A$218&gt;35,FE147+FD148-FM147,IF(A148&lt;'Données projet'!$A$218,$FB$205^A148,IF(A148='Données projet'!$A$218,'Données projet'!$B$218,FE147+FD148-FM147)))</f>
        <v>462.47500000000093</v>
      </c>
      <c r="FF148" s="17">
        <f>FE148*VLOOKUP('Données projet'!$B$16,Paramètres!$A$1:$I$89,3,0)*VLOOKUP('Données projet'!$B$16,Paramètres!$A$1:$I$89,5,0)</f>
        <v>440.09121000000096</v>
      </c>
      <c r="FG148" s="13">
        <f t="shared" si="155"/>
        <v>99.858810765228739</v>
      </c>
      <c r="FH148" s="20">
        <f t="shared" si="130"/>
        <v>940.4129528327752</v>
      </c>
      <c r="FI148" s="59">
        <f t="shared" si="131"/>
        <v>1233.7462861661086</v>
      </c>
      <c r="FJ148" s="59">
        <f ca="1">AVERAGE(OFFSET($FI$3,0,0,'Données projet'!$E$16+1,1))-AVERAGE(OFFSET($H$3,0,0,'Données projet'!$E$16+1,1))</f>
        <v>666.1523645983184</v>
      </c>
      <c r="FK148" s="59">
        <f t="shared" si="156"/>
        <v>294.13851344047526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51.551936433246503</v>
      </c>
      <c r="FR148" s="21">
        <f>EXP(-LN(2)/25)*FR147+(1-EXP(-LN(2)/25))/(LN(2)/25)*Calculateur!FM148*Calculateur!FO148*VLOOKUP('Données projet'!$B$16,Paramètres!$A$1:$I$89,3,0)*0.475*44/12</f>
        <v>23.843711453089774</v>
      </c>
      <c r="FS148" s="21">
        <f>EXP(-LN(2)/2)*FS147+(1-EXP(-LN(2)/2))/(LN(2)/2)*FM148*FP148*VLOOKUP('Données projet'!$B$16,Paramètres!$A$1:$I$89,3,0)*0.475*44/12</f>
        <v>3.7082245520844519E-3</v>
      </c>
      <c r="FT148" s="22">
        <f t="shared" si="132"/>
        <v>75.399356110888363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328.55631138162721</v>
      </c>
      <c r="T149" s="59">
        <f t="shared" si="142"/>
        <v>321.81422611044985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10.517618782683583</v>
      </c>
      <c r="AA149" s="21">
        <f>EXP(-LN(2)/25)*AA148+(1-EXP(-LN(2)/25))/(LN(2)/25)*Calculateur!V149*Calculateur!X149*VLOOKUP('Données projet'!$B$9,Paramètres!$A$1:$I$89,3,0)*0.475*44/12</f>
        <v>6.1562951563856236</v>
      </c>
      <c r="AB149" s="21">
        <f>EXP(-LN(2)/2)*AB148+(1-EXP(-LN(2)/2))/(LN(2)/2)*V149*Y149*VLOOKUP('Données projet'!$B$9,Paramètres!$A$1:$I$89,3,0)*0.475*44/12</f>
        <v>6.696853240255354E-9</v>
      </c>
      <c r="AC149" s="22">
        <f t="shared" si="111"/>
        <v>16.67391394576606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353.37479213497227</v>
      </c>
      <c r="AO149" s="59">
        <f t="shared" si="144"/>
        <v>345.4750813433123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14.066859757344755</v>
      </c>
      <c r="AV149" s="21">
        <f>EXP(-LN(2)/25)*AV148+(1-EXP(-LN(2)/25))/(LN(2)/25)*Calculateur!AQ149*Calculateur!AS149*VLOOKUP('Données projet'!$B$10,Paramètres!$A$1:$I$89,3,0)*0.475*44/12</f>
        <v>8.2337782324148279</v>
      </c>
      <c r="AW149" s="21">
        <f>EXP(-LN(2)/2)*AW148+(1-EXP(-LN(2)/2))/(LN(2)/2)*AQ149*AT149*VLOOKUP('Données projet'!$B$10,Paramètres!$A$1:$I$89,3,0)*0.475*44/12</f>
        <v>7.2667981968728536E-9</v>
      </c>
      <c r="AX149" s="21">
        <f t="shared" si="114"/>
        <v>22.300637997026381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359.57284550600366</v>
      </c>
      <c r="BJ149" s="59">
        <f t="shared" si="146"/>
        <v>351.38386928091433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14.342680536900536</v>
      </c>
      <c r="BQ149" s="21">
        <f>EXP(-LN(2)/25)*BQ148+(1-EXP(-LN(2)/25))/(LN(2)/25)*Calculateur!BL149*Calculateur!BN149*VLOOKUP('Données projet'!$B$11,Paramètres!$A$1:$I$89,3,0)*0.475*44/12</f>
        <v>8.395224864422957</v>
      </c>
      <c r="BR149" s="21">
        <f>EXP(-LN(2)/2)*BR148+(1-EXP(-LN(2)/2))/(LN(2)/2)*BL149*BO149*VLOOKUP('Données projet'!$B$11,Paramètres!$A$1:$I$89,3,0)*0.475*44/12</f>
        <v>7.4092844360272304E-9</v>
      </c>
      <c r="BS149" s="22">
        <f t="shared" si="117"/>
        <v>22.737905408732779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-8.5265128291212022E-14</v>
      </c>
      <c r="BZ149" s="13">
        <f>BY149*VLOOKUP('Données projet'!$B$12,Paramètres!$A$1:$I$89,3,0)*VLOOKUP('Données projet'!$B$12,Paramètres!$A$1:$I$89,5,0)</f>
        <v>-6.9167072069831198E-14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159.4660488566085</v>
      </c>
      <c r="CE149" s="59">
        <f t="shared" si="148"/>
        <v>135.33030558297088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3.4249431746956516</v>
      </c>
      <c r="CM149" s="21">
        <f>EXP(-LN(2)/2)*CM148+(1-EXP(-LN(2)/2))/(LN(2)/2)*CG149*CJ149*VLOOKUP('Données projet'!$B$12,Paramètres!$A$1:$I$89,3,0)*0.475*44/12</f>
        <v>9.3300142970795532E-8</v>
      </c>
      <c r="CN149" s="22">
        <f t="shared" si="120"/>
        <v>3.4249432679957947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353.37479213497227</v>
      </c>
      <c r="CZ149" s="59">
        <f t="shared" si="150"/>
        <v>345.4750813433123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14.066859757344755</v>
      </c>
      <c r="DG149" s="21">
        <f>EXP(-LN(2)/25)*DG148+(1-EXP(-LN(2)/25))/(LN(2)/25)*Calculateur!DB149*Calculateur!DD149*VLOOKUP('Données projet'!$B$13,Paramètres!$A$1:$I$89,3,0)*0.475*44/12</f>
        <v>8.2337782324148279</v>
      </c>
      <c r="DH149" s="21">
        <f>EXP(-LN(2)/2)*DH148+(1-EXP(-LN(2)/2))/(LN(2)/2)*DB149*DE149*VLOOKUP('Données projet'!$B$13,Paramètres!$A$1:$I$89,3,0)*0.475*44/12</f>
        <v>7.2667981968728536E-9</v>
      </c>
      <c r="DI149" s="22">
        <f t="shared" si="123"/>
        <v>22.300637997026381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9.3350000000000026</v>
      </c>
      <c r="DO149" s="12">
        <f>IF('Données projet'!$A$166&gt;35,DO148+DN149-DW148,IF(A149&lt;'Données projet'!$A$166,$DL$205^A149,IF(A149='Données projet'!$A$166,'Données projet'!$B$166,DO148+DN149-DW148)))</f>
        <v>471.81000000000091</v>
      </c>
      <c r="DP149" s="17">
        <f>DO149*VLOOKUP('Données projet'!$B$14,Paramètres!$A$1:$I$89,3,0)*VLOOKUP('Données projet'!$B$14,Paramètres!$A$1:$I$89,5,0)</f>
        <v>426.89368800000079</v>
      </c>
      <c r="DQ149" s="13">
        <f t="shared" si="151"/>
        <v>97.208128358788159</v>
      </c>
      <c r="DR149" s="20">
        <f t="shared" si="124"/>
        <v>912.81066349155742</v>
      </c>
      <c r="DS149" s="59">
        <f t="shared" si="125"/>
        <v>1206.1439968248908</v>
      </c>
      <c r="DT149" s="59">
        <f ca="1">AVERAGE(OFFSET($DS$3,0,0,'Données projet'!$E$14+1,1))-AVERAGE(OFFSET($H$3,0,0,'Données projet'!$E$14+1,1))</f>
        <v>635.71275911100679</v>
      </c>
      <c r="DU149" s="59">
        <f t="shared" si="152"/>
        <v>281.7776857269169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48.055409760578421</v>
      </c>
      <c r="EB149" s="21">
        <f>EXP(-LN(2)/25)*EB148+(1-EXP(-LN(2)/25))/(LN(2)/25)*Calculateur!DW149*Calculateur!DY149*VLOOKUP('Données projet'!$B$14,Paramètres!$A$1:$I$89,3,0)*0.475*44/12</f>
        <v>22.051128307411272</v>
      </c>
      <c r="EC149" s="21">
        <f>EXP(-LN(2)/2)*EC148+(1-EXP(-LN(2)/2))/(LN(2)/2)*DW149*DZ149*VLOOKUP('Données projet'!$B$14,Paramètres!$A$1:$I$89,3,0)*0.475*44/12</f>
        <v>2.4931544616819496E-3</v>
      </c>
      <c r="ED149" s="22">
        <f t="shared" si="126"/>
        <v>70.109031222451364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9.3350000000000026</v>
      </c>
      <c r="EJ149" s="12">
        <f>IF('Données projet'!$A$192&gt;35,EJ148+EI149-ER148,IF(A149&lt;'Données projet'!$A$192,$EG$205^A149,IF(A149='Données projet'!$A$192,'Données projet'!$B$192,EJ148+EI149-ER148)))</f>
        <v>471.81000000000091</v>
      </c>
      <c r="EK149" s="17">
        <f>EJ149*VLOOKUP('Données projet'!$B$15,Paramètres!$A$1:$I$89,3,0)*VLOOKUP('Données projet'!$B$15,Paramètres!$A$1:$I$89,5,0)</f>
        <v>316.4901480000006</v>
      </c>
      <c r="EL149" s="13">
        <f t="shared" si="153"/>
        <v>74.622592595711851</v>
      </c>
      <c r="EM149" s="20">
        <f t="shared" si="127"/>
        <v>681.18802320419911</v>
      </c>
      <c r="EN149" s="59">
        <f t="shared" si="128"/>
        <v>974.52135653753248</v>
      </c>
      <c r="EO149" s="59">
        <f ca="1">AVERAGE(OFFSET($EN$3,0,0,'Données projet'!$E$15+1,1))-AVERAGE(OFFSET($H$3,0,0,'Données projet'!$E$15+1,1))</f>
        <v>482.99915419700773</v>
      </c>
      <c r="EP149" s="59">
        <f t="shared" si="154"/>
        <v>219.74157899604279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43.912702022597529</v>
      </c>
      <c r="EW149" s="21">
        <f>EXP(-LN(2)/25)*EW148+(1-EXP(-LN(2)/25))/(LN(2)/25)*Calculateur!ER149*Calculateur!ET149*VLOOKUP('Données projet'!$B$15,Paramètres!$A$1:$I$89,3,0)*0.475*44/12</f>
        <v>20.150168970565467</v>
      </c>
      <c r="EX149" s="21">
        <f>EXP(-LN(2)/2)*EX148+(1-EXP(-LN(2)/2))/(LN(2)/2)*ER149*EU149*VLOOKUP('Données projet'!$B$15,Paramètres!$A$1:$I$89,3,0)*0.475*44/12</f>
        <v>1.8483731353848957E-3</v>
      </c>
      <c r="EY149" s="22">
        <f t="shared" si="129"/>
        <v>64.064719366298377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9.3350000000000026</v>
      </c>
      <c r="FE149" s="12">
        <f>IF('Données projet'!$A$218&gt;35,FE148+FD149-FM148,IF(A149&lt;'Données projet'!$A$218,$FB$205^A149,IF(A149='Données projet'!$A$218,'Données projet'!$B$218,FE148+FD149-FM148)))</f>
        <v>471.81000000000091</v>
      </c>
      <c r="FF149" s="17">
        <f>FE149*VLOOKUP('Données projet'!$B$16,Paramètres!$A$1:$I$89,3,0)*VLOOKUP('Données projet'!$B$16,Paramètres!$A$1:$I$89,5,0)</f>
        <v>448.97439600000092</v>
      </c>
      <c r="FG149" s="13">
        <f t="shared" si="155"/>
        <v>101.63775143026291</v>
      </c>
      <c r="FH149" s="20">
        <f t="shared" si="130"/>
        <v>958.98282344104257</v>
      </c>
      <c r="FI149" s="59">
        <f t="shared" si="131"/>
        <v>1252.3161567743759</v>
      </c>
      <c r="FJ149" s="59">
        <f ca="1">AVERAGE(OFFSET($FI$3,0,0,'Données projet'!$E$16+1,1))-AVERAGE(OFFSET($H$3,0,0,'Données projet'!$E$16+1,1))</f>
        <v>666.1523645983184</v>
      </c>
      <c r="FK149" s="59">
        <f t="shared" si="156"/>
        <v>294.13851344047526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50.541034403366972</v>
      </c>
      <c r="FR149" s="21">
        <f>EXP(-LN(2)/25)*FR148+(1-EXP(-LN(2)/25))/(LN(2)/25)*Calculateur!FM149*Calculateur!FO149*VLOOKUP('Données projet'!$B$16,Paramètres!$A$1:$I$89,3,0)*0.475*44/12</f>
        <v>23.191703909518743</v>
      </c>
      <c r="FS149" s="21">
        <f>EXP(-LN(2)/2)*FS148+(1-EXP(-LN(2)/2))/(LN(2)/2)*FM149*FP149*VLOOKUP('Données projet'!$B$16,Paramètres!$A$1:$I$89,3,0)*0.475*44/12</f>
        <v>2.6221107269413639E-3</v>
      </c>
      <c r="FT149" s="22">
        <f t="shared" si="132"/>
        <v>73.735360423612661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328.55631138162721</v>
      </c>
      <c r="T150" s="59">
        <f t="shared" si="142"/>
        <v>321.81422611044985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10.311374693469174</v>
      </c>
      <c r="AA150" s="21">
        <f>EXP(-LN(2)/25)*AA149+(1-EXP(-LN(2)/25))/(LN(2)/25)*Calculateur!V150*Calculateur!X150*VLOOKUP('Données projet'!$B$9,Paramètres!$A$1:$I$89,3,0)*0.475*44/12</f>
        <v>5.9879509415887666</v>
      </c>
      <c r="AB150" s="21">
        <f>EXP(-LN(2)/2)*AB149+(1-EXP(-LN(2)/2))/(LN(2)/2)*V150*Y150*VLOOKUP('Données projet'!$B$9,Paramètres!$A$1:$I$89,3,0)*0.475*44/12</f>
        <v>4.7353903387956643E-9</v>
      </c>
      <c r="AC150" s="22">
        <f t="shared" si="111"/>
        <v>16.299325639793331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353.37479213497227</v>
      </c>
      <c r="AO150" s="59">
        <f t="shared" si="144"/>
        <v>345.4750813433123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13.791017217440478</v>
      </c>
      <c r="AV150" s="21">
        <f>EXP(-LN(2)/25)*AV149+(1-EXP(-LN(2)/25))/(LN(2)/25)*Calculateur!AQ150*Calculateur!AS150*VLOOKUP('Données projet'!$B$10,Paramètres!$A$1:$I$89,3,0)*0.475*44/12</f>
        <v>8.0086251336538652</v>
      </c>
      <c r="AW150" s="21">
        <f>EXP(-LN(2)/2)*AW149+(1-EXP(-LN(2)/2))/(LN(2)/2)*AQ150*AT150*VLOOKUP('Données projet'!$B$10,Paramètres!$A$1:$I$89,3,0)*0.475*44/12</f>
        <v>5.138402282522971E-9</v>
      </c>
      <c r="AX150" s="21">
        <f t="shared" si="114"/>
        <v>21.799642356232745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359.57284550600366</v>
      </c>
      <c r="BJ150" s="59">
        <f t="shared" si="146"/>
        <v>351.38386928091433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14.061429319743233</v>
      </c>
      <c r="BQ150" s="21">
        <f>EXP(-LN(2)/25)*BQ149+(1-EXP(-LN(2)/25))/(LN(2)/25)*Calculateur!BL150*Calculateur!BN150*VLOOKUP('Données projet'!$B$11,Paramètres!$A$1:$I$89,3,0)*0.475*44/12</f>
        <v>8.1656569990196228</v>
      </c>
      <c r="BR150" s="21">
        <f>EXP(-LN(2)/2)*BR149+(1-EXP(-LN(2)/2))/(LN(2)/2)*BL150*BO150*VLOOKUP('Données projet'!$B$11,Paramètres!$A$1:$I$89,3,0)*0.475*44/12</f>
        <v>5.2391552684547995E-9</v>
      </c>
      <c r="BS150" s="22">
        <f t="shared" si="117"/>
        <v>22.227086324002013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-8.5265128291212022E-14</v>
      </c>
      <c r="BZ150" s="13">
        <f>BY150*VLOOKUP('Données projet'!$B$12,Paramètres!$A$1:$I$89,3,0)*VLOOKUP('Données projet'!$B$12,Paramètres!$A$1:$I$89,5,0)</f>
        <v>-6.9167072069831198E-14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159.4660488566085</v>
      </c>
      <c r="CE150" s="59">
        <f t="shared" si="148"/>
        <v>135.33030558297088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3.3312879234736652</v>
      </c>
      <c r="CM150" s="21">
        <f>EXP(-LN(2)/2)*CM149+(1-EXP(-LN(2)/2))/(LN(2)/2)*CG150*CJ150*VLOOKUP('Données projet'!$B$12,Paramètres!$A$1:$I$89,3,0)*0.475*44/12</f>
        <v>6.5973163780323915E-8</v>
      </c>
      <c r="CN150" s="22">
        <f t="shared" si="120"/>
        <v>3.331287989446829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353.37479213497227</v>
      </c>
      <c r="CZ150" s="59">
        <f t="shared" si="150"/>
        <v>345.4750813433123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13.791017217440478</v>
      </c>
      <c r="DG150" s="21">
        <f>EXP(-LN(2)/25)*DG149+(1-EXP(-LN(2)/25))/(LN(2)/25)*Calculateur!DB150*Calculateur!DD150*VLOOKUP('Données projet'!$B$13,Paramètres!$A$1:$I$89,3,0)*0.475*44/12</f>
        <v>8.0086251336538652</v>
      </c>
      <c r="DH150" s="21">
        <f>EXP(-LN(2)/2)*DH149+(1-EXP(-LN(2)/2))/(LN(2)/2)*DB150*DE150*VLOOKUP('Données projet'!$B$13,Paramètres!$A$1:$I$89,3,0)*0.475*44/12</f>
        <v>5.138402282522971E-9</v>
      </c>
      <c r="DI150" s="22">
        <f t="shared" si="123"/>
        <v>21.799642356232745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9.3350000000000026</v>
      </c>
      <c r="DO150" s="12">
        <f>IF('Données projet'!$A$166&gt;35,DO149+DN150-DW149,IF(A150&lt;'Données projet'!$A$166,$DL$205^A150,IF(A150='Données projet'!$A$166,'Données projet'!$B$166,DO149+DN150-DW149)))</f>
        <v>481.14500000000089</v>
      </c>
      <c r="DP150" s="17">
        <f>DO150*VLOOKUP('Données projet'!$B$14,Paramètres!$A$1:$I$89,3,0)*VLOOKUP('Données projet'!$B$14,Paramètres!$A$1:$I$89,5,0)</f>
        <v>435.33999600000078</v>
      </c>
      <c r="DQ150" s="13">
        <f t="shared" si="151"/>
        <v>98.905624251508897</v>
      </c>
      <c r="DR150" s="20">
        <f t="shared" si="124"/>
        <v>930.4777886047126</v>
      </c>
      <c r="DS150" s="59">
        <f t="shared" si="125"/>
        <v>1223.811121938046</v>
      </c>
      <c r="DT150" s="59">
        <f ca="1">AVERAGE(OFFSET($DS$3,0,0,'Données projet'!$E$14+1,1))-AVERAGE(OFFSET($H$3,0,0,'Données projet'!$E$14+1,1))</f>
        <v>635.71275911100679</v>
      </c>
      <c r="DU150" s="59">
        <f t="shared" si="152"/>
        <v>281.7776857269169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47.113072486079218</v>
      </c>
      <c r="EB150" s="21">
        <f>EXP(-LN(2)/25)*EB149+(1-EXP(-LN(2)/25))/(LN(2)/25)*Calculateur!DW150*Calculateur!DY150*VLOOKUP('Données projet'!$B$14,Paramètres!$A$1:$I$89,3,0)*0.475*44/12</f>
        <v>21.448139044226672</v>
      </c>
      <c r="EC150" s="21">
        <f>EXP(-LN(2)/2)*EC149+(1-EXP(-LN(2)/2))/(LN(2)/2)*DW150*DZ150*VLOOKUP('Données projet'!$B$14,Paramètres!$A$1:$I$89,3,0)*0.475*44/12</f>
        <v>1.7629264264008031E-3</v>
      </c>
      <c r="ED150" s="22">
        <f t="shared" si="126"/>
        <v>68.562974456732277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9.3350000000000026</v>
      </c>
      <c r="EJ150" s="12">
        <f>IF('Données projet'!$A$192&gt;35,EJ149+EI150-ER149,IF(A150&lt;'Données projet'!$A$192,$EG$205^A150,IF(A150='Données projet'!$A$192,'Données projet'!$B$192,EJ149+EI150-ER149)))</f>
        <v>481.14500000000089</v>
      </c>
      <c r="EK150" s="17">
        <f>EJ150*VLOOKUP('Données projet'!$B$15,Paramètres!$A$1:$I$89,3,0)*VLOOKUP('Données projet'!$B$15,Paramètres!$A$1:$I$89,5,0)</f>
        <v>322.75206600000064</v>
      </c>
      <c r="EL150" s="13">
        <f t="shared" si="153"/>
        <v>75.925688813837397</v>
      </c>
      <c r="EM150" s="20">
        <f t="shared" si="127"/>
        <v>694.36375630076782</v>
      </c>
      <c r="EN150" s="59">
        <f t="shared" si="128"/>
        <v>987.69708963410108</v>
      </c>
      <c r="EO150" s="59">
        <f ca="1">AVERAGE(OFFSET($EN$3,0,0,'Données projet'!$E$15+1,1))-AVERAGE(OFFSET($H$3,0,0,'Données projet'!$E$15+1,1))</f>
        <v>482.99915419700773</v>
      </c>
      <c r="EP150" s="59">
        <f t="shared" si="154"/>
        <v>219.74157899604279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43.051600720037918</v>
      </c>
      <c r="EW150" s="21">
        <f>EXP(-LN(2)/25)*EW149+(1-EXP(-LN(2)/25))/(LN(2)/25)*Calculateur!ER150*Calculateur!ET150*VLOOKUP('Données projet'!$B$15,Paramètres!$A$1:$I$89,3,0)*0.475*44/12</f>
        <v>19.599161540414023</v>
      </c>
      <c r="EX150" s="21">
        <f>EXP(-LN(2)/2)*EX149+(1-EXP(-LN(2)/2))/(LN(2)/2)*ER150*EU150*VLOOKUP('Données projet'!$B$15,Paramètres!$A$1:$I$89,3,0)*0.475*44/12</f>
        <v>1.3069971781937003E-3</v>
      </c>
      <c r="EY150" s="22">
        <f t="shared" si="129"/>
        <v>62.652069257630131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9.3350000000000026</v>
      </c>
      <c r="FE150" s="12">
        <f>IF('Données projet'!$A$218&gt;35,FE149+FD150-FM149,IF(A150&lt;'Données projet'!$A$218,$FB$205^A150,IF(A150='Données projet'!$A$218,'Données projet'!$B$218,FE149+FD150-FM149)))</f>
        <v>481.14500000000089</v>
      </c>
      <c r="FF150" s="17">
        <f>FE150*VLOOKUP('Données projet'!$B$16,Paramètres!$A$1:$I$89,3,0)*VLOOKUP('Données projet'!$B$16,Paramètres!$A$1:$I$89,5,0)</f>
        <v>457.85758200000089</v>
      </c>
      <c r="FG150" s="13">
        <f t="shared" si="155"/>
        <v>103.4125995680798</v>
      </c>
      <c r="FH150" s="20">
        <f t="shared" si="130"/>
        <v>977.54556623107385</v>
      </c>
      <c r="FI150" s="59">
        <f t="shared" si="131"/>
        <v>1270.8788995644072</v>
      </c>
      <c r="FJ150" s="59">
        <f ca="1">AVERAGE(OFFSET($FI$3,0,0,'Données projet'!$E$16+1,1))-AVERAGE(OFFSET($H$3,0,0,'Données projet'!$E$16+1,1))</f>
        <v>666.1523645983184</v>
      </c>
      <c r="FK150" s="59">
        <f t="shared" si="156"/>
        <v>294.13851344047526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49.549955545704016</v>
      </c>
      <c r="FR150" s="21">
        <f>EXP(-LN(2)/25)*FR149+(1-EXP(-LN(2)/25))/(LN(2)/25)*Calculateur!FM150*Calculateur!FO150*VLOOKUP('Données projet'!$B$16,Paramètres!$A$1:$I$89,3,0)*0.475*44/12</f>
        <v>22.557525546514249</v>
      </c>
      <c r="FS150" s="21">
        <f>EXP(-LN(2)/2)*FS149+(1-EXP(-LN(2)/2))/(LN(2)/2)*FM150*FP150*VLOOKUP('Données projet'!$B$16,Paramètres!$A$1:$I$89,3,0)*0.475*44/12</f>
        <v>1.8541122760422262E-3</v>
      </c>
      <c r="FT150" s="22">
        <f t="shared" si="132"/>
        <v>72.1093352044943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328.55631138162721</v>
      </c>
      <c r="T151" s="59">
        <f t="shared" si="142"/>
        <v>321.81422611044985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10.109174925047789</v>
      </c>
      <c r="AA151" s="21">
        <f>EXP(-LN(2)/25)*AA150+(1-EXP(-LN(2)/25))/(LN(2)/25)*Calculateur!V151*Calculateur!X151*VLOOKUP('Données projet'!$B$9,Paramètres!$A$1:$I$89,3,0)*0.475*44/12</f>
        <v>5.8242101081983675</v>
      </c>
      <c r="AB151" s="21">
        <f>EXP(-LN(2)/2)*AB150+(1-EXP(-LN(2)/2))/(LN(2)/2)*V151*Y151*VLOOKUP('Données projet'!$B$9,Paramètres!$A$1:$I$89,3,0)*0.475*44/12</f>
        <v>3.348426620127677E-9</v>
      </c>
      <c r="AC151" s="22">
        <f t="shared" si="111"/>
        <v>15.933385036594585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353.37479213497227</v>
      </c>
      <c r="AO151" s="59">
        <f t="shared" si="144"/>
        <v>345.4750813433123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13.520583781496388</v>
      </c>
      <c r="AV151" s="21">
        <f>EXP(-LN(2)/25)*AV150+(1-EXP(-LN(2)/25))/(LN(2)/25)*Calculateur!AQ151*Calculateur!AS151*VLOOKUP('Données projet'!$B$10,Paramètres!$A$1:$I$89,3,0)*0.475*44/12</f>
        <v>7.7896288582188085</v>
      </c>
      <c r="AW151" s="21">
        <f>EXP(-LN(2)/2)*AW150+(1-EXP(-LN(2)/2))/(LN(2)/2)*AQ151*AT151*VLOOKUP('Données projet'!$B$10,Paramètres!$A$1:$I$89,3,0)*0.475*44/12</f>
        <v>3.6333990984364268E-9</v>
      </c>
      <c r="AX151" s="21">
        <f t="shared" si="114"/>
        <v>21.310212643348596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359.57284550600366</v>
      </c>
      <c r="BJ151" s="59">
        <f t="shared" si="146"/>
        <v>351.38386928091433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13.785693267408082</v>
      </c>
      <c r="BQ151" s="21">
        <f>EXP(-LN(2)/25)*BQ150+(1-EXP(-LN(2)/25))/(LN(2)/25)*Calculateur!BL151*Calculateur!BN151*VLOOKUP('Données projet'!$B$11,Paramètres!$A$1:$I$89,3,0)*0.475*44/12</f>
        <v>7.9423666789681926</v>
      </c>
      <c r="BR151" s="21">
        <f>EXP(-LN(2)/2)*BR150+(1-EXP(-LN(2)/2))/(LN(2)/2)*BL151*BO151*VLOOKUP('Données projet'!$B$11,Paramètres!$A$1:$I$89,3,0)*0.475*44/12</f>
        <v>3.7046422180136156E-9</v>
      </c>
      <c r="BS151" s="22">
        <f t="shared" si="117"/>
        <v>21.728059950080915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-8.5265128291212022E-14</v>
      </c>
      <c r="BZ151" s="13">
        <f>BY151*VLOOKUP('Données projet'!$B$12,Paramètres!$A$1:$I$89,3,0)*VLOOKUP('Données projet'!$B$12,Paramètres!$A$1:$I$89,5,0)</f>
        <v>-6.9167072069831198E-14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159.4660488566085</v>
      </c>
      <c r="CE151" s="59">
        <f t="shared" si="148"/>
        <v>135.33030558297088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3.2401936800214597</v>
      </c>
      <c r="CM151" s="21">
        <f>EXP(-LN(2)/2)*CM150+(1-EXP(-LN(2)/2))/(LN(2)/2)*CG151*CJ151*VLOOKUP('Données projet'!$B$12,Paramètres!$A$1:$I$89,3,0)*0.475*44/12</f>
        <v>4.6650071485397766E-8</v>
      </c>
      <c r="CN151" s="22">
        <f t="shared" si="120"/>
        <v>3.240193726671531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353.37479213497227</v>
      </c>
      <c r="CZ151" s="59">
        <f t="shared" si="150"/>
        <v>345.4750813433123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13.520583781496388</v>
      </c>
      <c r="DG151" s="21">
        <f>EXP(-LN(2)/25)*DG150+(1-EXP(-LN(2)/25))/(LN(2)/25)*Calculateur!DB151*Calculateur!DD151*VLOOKUP('Données projet'!$B$13,Paramètres!$A$1:$I$89,3,0)*0.475*44/12</f>
        <v>7.7896288582188085</v>
      </c>
      <c r="DH151" s="21">
        <f>EXP(-LN(2)/2)*DH150+(1-EXP(-LN(2)/2))/(LN(2)/2)*DB151*DE151*VLOOKUP('Données projet'!$B$13,Paramètres!$A$1:$I$89,3,0)*0.475*44/12</f>
        <v>3.6333990984364268E-9</v>
      </c>
      <c r="DI151" s="22">
        <f t="shared" si="123"/>
        <v>21.310212643348596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9.3350000000000026</v>
      </c>
      <c r="DO151" s="12">
        <f>IF('Données projet'!$A$166&gt;35,DO150+DN151-DW150,IF(A151&lt;'Données projet'!$A$166,$DL$205^A151,IF(A151='Données projet'!$A$166,'Données projet'!$B$166,DO150+DN151-DW150)))</f>
        <v>490.48000000000087</v>
      </c>
      <c r="DP151" s="17">
        <f>DO151*VLOOKUP('Données projet'!$B$14,Paramètres!$A$1:$I$89,3,0)*VLOOKUP('Données projet'!$B$14,Paramètres!$A$1:$I$89,5,0)</f>
        <v>443.78630400000077</v>
      </c>
      <c r="DQ151" s="13">
        <f t="shared" si="151"/>
        <v>100.59929067522565</v>
      </c>
      <c r="DR151" s="20">
        <f t="shared" si="124"/>
        <v>948.13824405935259</v>
      </c>
      <c r="DS151" s="59">
        <f t="shared" si="125"/>
        <v>1241.471577392686</v>
      </c>
      <c r="DT151" s="59">
        <f ca="1">AVERAGE(OFFSET($DS$3,0,0,'Données projet'!$E$14+1,1))-AVERAGE(OFFSET($H$3,0,0,'Données projet'!$E$14+1,1))</f>
        <v>635.71275911100679</v>
      </c>
      <c r="DU151" s="59">
        <f t="shared" si="152"/>
        <v>281.7776857269169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46.189213870763965</v>
      </c>
      <c r="EB151" s="21">
        <f>EXP(-LN(2)/25)*EB150+(1-EXP(-LN(2)/25))/(LN(2)/25)*Calculateur!DW151*Calculateur!DY151*VLOOKUP('Données projet'!$B$14,Paramètres!$A$1:$I$89,3,0)*0.475*44/12</f>
        <v>20.861638554153682</v>
      </c>
      <c r="EC151" s="21">
        <f>EXP(-LN(2)/2)*EC150+(1-EXP(-LN(2)/2))/(LN(2)/2)*DW151*DZ151*VLOOKUP('Données projet'!$B$14,Paramètres!$A$1:$I$89,3,0)*0.475*44/12</f>
        <v>1.2465772308409748E-3</v>
      </c>
      <c r="ED151" s="22">
        <f t="shared" si="126"/>
        <v>67.052099002148495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9.3350000000000026</v>
      </c>
      <c r="EJ151" s="12">
        <f>IF('Données projet'!$A$192&gt;35,EJ150+EI151-ER150,IF(A151&lt;'Données projet'!$A$192,$EG$205^A151,IF(A151='Données projet'!$A$192,'Données projet'!$B$192,EJ150+EI151-ER150)))</f>
        <v>490.48000000000087</v>
      </c>
      <c r="EK151" s="17">
        <f>EJ151*VLOOKUP('Données projet'!$B$15,Paramètres!$A$1:$I$89,3,0)*VLOOKUP('Données projet'!$B$15,Paramètres!$A$1:$I$89,5,0)</f>
        <v>329.01398400000056</v>
      </c>
      <c r="EL151" s="13">
        <f t="shared" si="153"/>
        <v>77.225845309635474</v>
      </c>
      <c r="EM151" s="20">
        <f t="shared" si="127"/>
        <v>707.53436938094944</v>
      </c>
      <c r="EN151" s="59">
        <f t="shared" si="128"/>
        <v>1000.8677027142828</v>
      </c>
      <c r="EO151" s="59">
        <f ca="1">AVERAGE(OFFSET($EN$3,0,0,'Données projet'!$E$15+1,1))-AVERAGE(OFFSET($H$3,0,0,'Données projet'!$E$15+1,1))</f>
        <v>482.99915419700773</v>
      </c>
      <c r="EP151" s="59">
        <f t="shared" si="154"/>
        <v>219.74157899604279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42.207385088801566</v>
      </c>
      <c r="EW151" s="21">
        <f>EXP(-LN(2)/25)*EW150+(1-EXP(-LN(2)/25))/(LN(2)/25)*Calculateur!ER151*Calculateur!ET151*VLOOKUP('Données projet'!$B$15,Paramètres!$A$1:$I$89,3,0)*0.475*44/12</f>
        <v>19.063221437416292</v>
      </c>
      <c r="EX151" s="21">
        <f>EXP(-LN(2)/2)*EX150+(1-EXP(-LN(2)/2))/(LN(2)/2)*ER151*EU151*VLOOKUP('Données projet'!$B$15,Paramètres!$A$1:$I$89,3,0)*0.475*44/12</f>
        <v>9.2418656769244797E-4</v>
      </c>
      <c r="EY151" s="22">
        <f t="shared" si="129"/>
        <v>61.271530712785555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9.3350000000000026</v>
      </c>
      <c r="FE151" s="12">
        <f>IF('Données projet'!$A$218&gt;35,FE150+FD151-FM150,IF(A151&lt;'Données projet'!$A$218,$FB$205^A151,IF(A151='Données projet'!$A$218,'Données projet'!$B$218,FE150+FD151-FM150)))</f>
        <v>490.48000000000087</v>
      </c>
      <c r="FF151" s="17">
        <f>FE151*VLOOKUP('Données projet'!$B$16,Paramètres!$A$1:$I$89,3,0)*VLOOKUP('Données projet'!$B$16,Paramètres!$A$1:$I$89,5,0)</f>
        <v>466.74076800000086</v>
      </c>
      <c r="FG151" s="13">
        <f t="shared" si="155"/>
        <v>105.18344373395189</v>
      </c>
      <c r="FH151" s="20">
        <f t="shared" si="130"/>
        <v>996.10133543663414</v>
      </c>
      <c r="FI151" s="59">
        <f t="shared" si="131"/>
        <v>1289.4346687699674</v>
      </c>
      <c r="FJ151" s="59">
        <f ca="1">AVERAGE(OFFSET($FI$3,0,0,'Données projet'!$E$16+1,1))-AVERAGE(OFFSET($H$3,0,0,'Données projet'!$E$16+1,1))</f>
        <v>666.1523645983184</v>
      </c>
      <c r="FK151" s="59">
        <f t="shared" si="156"/>
        <v>294.13851344047526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48.57831113994142</v>
      </c>
      <c r="FR151" s="21">
        <f>EXP(-LN(2)/25)*FR150+(1-EXP(-LN(2)/25))/(LN(2)/25)*Calculateur!FM151*Calculateur!FO151*VLOOKUP('Données projet'!$B$16,Paramètres!$A$1:$I$89,3,0)*0.475*44/12</f>
        <v>21.940688824196105</v>
      </c>
      <c r="FS151" s="21">
        <f>EXP(-LN(2)/2)*FS150+(1-EXP(-LN(2)/2))/(LN(2)/2)*FM151*FP151*VLOOKUP('Données projet'!$B$16,Paramètres!$A$1:$I$89,3,0)*0.475*44/12</f>
        <v>1.3110553634706821E-3</v>
      </c>
      <c r="FT151" s="22">
        <f t="shared" si="132"/>
        <v>70.520311019500994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328.55631138162721</v>
      </c>
      <c r="T152" s="59">
        <f t="shared" si="142"/>
        <v>321.81422611044985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9.910940170755465</v>
      </c>
      <c r="AA152" s="21">
        <f>EXP(-LN(2)/25)*AA151+(1-EXP(-LN(2)/25))/(LN(2)/25)*Calculateur!V152*Calculateur!X152*VLOOKUP('Données projet'!$B$9,Paramètres!$A$1:$I$89,3,0)*0.475*44/12</f>
        <v>5.6649467765077848</v>
      </c>
      <c r="AB152" s="21">
        <f>EXP(-LN(2)/2)*AB151+(1-EXP(-LN(2)/2))/(LN(2)/2)*V152*Y152*VLOOKUP('Données projet'!$B$9,Paramètres!$A$1:$I$89,3,0)*0.475*44/12</f>
        <v>2.3676951693978322E-9</v>
      </c>
      <c r="AC152" s="22">
        <f t="shared" si="111"/>
        <v>15.575886949630945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353.37479213497227</v>
      </c>
      <c r="AO152" s="59">
        <f t="shared" si="144"/>
        <v>345.4750813433123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13.255453380283052</v>
      </c>
      <c r="AV152" s="21">
        <f>EXP(-LN(2)/25)*AV151+(1-EXP(-LN(2)/25))/(LN(2)/25)*Calculateur!AQ152*Calculateur!AS152*VLOOKUP('Données projet'!$B$10,Paramètres!$A$1:$I$89,3,0)*0.475*44/12</f>
        <v>7.5766210474520372</v>
      </c>
      <c r="AW152" s="21">
        <f>EXP(-LN(2)/2)*AW151+(1-EXP(-LN(2)/2))/(LN(2)/2)*AQ152*AT152*VLOOKUP('Données projet'!$B$10,Paramètres!$A$1:$I$89,3,0)*0.475*44/12</f>
        <v>2.5692011412614855E-9</v>
      </c>
      <c r="AX152" s="21">
        <f t="shared" si="114"/>
        <v>20.832074430304292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359.57284550600366</v>
      </c>
      <c r="BJ152" s="59">
        <f t="shared" si="146"/>
        <v>351.38386928091433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13.515364230876838</v>
      </c>
      <c r="BQ152" s="21">
        <f>EXP(-LN(2)/25)*BQ151+(1-EXP(-LN(2)/25))/(LN(2)/25)*Calculateur!BL152*Calculateur!BN152*VLOOKUP('Données projet'!$B$11,Paramètres!$A$1:$I$89,3,0)*0.475*44/12</f>
        <v>7.7251822444608962</v>
      </c>
      <c r="BR152" s="21">
        <f>EXP(-LN(2)/2)*BR151+(1-EXP(-LN(2)/2))/(LN(2)/2)*BL152*BO152*VLOOKUP('Données projet'!$B$11,Paramètres!$A$1:$I$89,3,0)*0.475*44/12</f>
        <v>2.6195776342274002E-9</v>
      </c>
      <c r="BS152" s="22">
        <f t="shared" si="117"/>
        <v>21.240546477957313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-8.5265128291212022E-14</v>
      </c>
      <c r="BZ152" s="13">
        <f>BY152*VLOOKUP('Données projet'!$B$12,Paramètres!$A$1:$I$89,3,0)*VLOOKUP('Données projet'!$B$12,Paramètres!$A$1:$I$89,5,0)</f>
        <v>-6.9167072069831198E-14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159.4660488566085</v>
      </c>
      <c r="CE152" s="59">
        <f t="shared" si="148"/>
        <v>135.33030558297088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3.1515904134468928</v>
      </c>
      <c r="CM152" s="21">
        <f>EXP(-LN(2)/2)*CM151+(1-EXP(-LN(2)/2))/(LN(2)/2)*CG152*CJ152*VLOOKUP('Données projet'!$B$12,Paramètres!$A$1:$I$89,3,0)*0.475*44/12</f>
        <v>3.2986581890161957E-8</v>
      </c>
      <c r="CN152" s="22">
        <f t="shared" si="120"/>
        <v>3.1515904464334747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353.37479213497227</v>
      </c>
      <c r="CZ152" s="59">
        <f t="shared" si="150"/>
        <v>345.4750813433123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13.255453380283052</v>
      </c>
      <c r="DG152" s="21">
        <f>EXP(-LN(2)/25)*DG151+(1-EXP(-LN(2)/25))/(LN(2)/25)*Calculateur!DB152*Calculateur!DD152*VLOOKUP('Données projet'!$B$13,Paramètres!$A$1:$I$89,3,0)*0.475*44/12</f>
        <v>7.5766210474520372</v>
      </c>
      <c r="DH152" s="21">
        <f>EXP(-LN(2)/2)*DH151+(1-EXP(-LN(2)/2))/(LN(2)/2)*DB152*DE152*VLOOKUP('Données projet'!$B$13,Paramètres!$A$1:$I$89,3,0)*0.475*44/12</f>
        <v>2.5692011412614855E-9</v>
      </c>
      <c r="DI152" s="22">
        <f t="shared" si="123"/>
        <v>20.832074430304292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9.3350000000000026</v>
      </c>
      <c r="DO152" s="12">
        <f>IF('Données projet'!$A$166&gt;35,DO151+DN152-DW151,IF(A152&lt;'Données projet'!$A$166,$DL$205^A152,IF(A152='Données projet'!$A$166,'Données projet'!$B$166,DO151+DN152-DW151)))</f>
        <v>499.81500000000085</v>
      </c>
      <c r="DP152" s="17">
        <f>DO152*VLOOKUP('Données projet'!$B$14,Paramètres!$A$1:$I$89,3,0)*VLOOKUP('Données projet'!$B$14,Paramètres!$A$1:$I$89,5,0)</f>
        <v>452.2326120000007</v>
      </c>
      <c r="DQ152" s="13">
        <f t="shared" si="151"/>
        <v>102.28920891735658</v>
      </c>
      <c r="DR152" s="20">
        <f t="shared" si="124"/>
        <v>965.79217143106382</v>
      </c>
      <c r="DS152" s="59">
        <f t="shared" si="125"/>
        <v>1259.1255047643972</v>
      </c>
      <c r="DT152" s="59">
        <f ca="1">AVERAGE(OFFSET($DS$3,0,0,'Données projet'!$E$14+1,1))-AVERAGE(OFFSET($H$3,0,0,'Données projet'!$E$14+1,1))</f>
        <v>635.71275911100679</v>
      </c>
      <c r="DU152" s="59">
        <f t="shared" si="152"/>
        <v>281.7776857269169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45.283471559396929</v>
      </c>
      <c r="EB152" s="21">
        <f>EXP(-LN(2)/25)*EB151+(1-EXP(-LN(2)/25))/(LN(2)/25)*Calculateur!DW152*Calculateur!DY152*VLOOKUP('Données projet'!$B$14,Paramètres!$A$1:$I$89,3,0)*0.475*44/12</f>
        <v>20.291175950824456</v>
      </c>
      <c r="EC152" s="21">
        <f>EXP(-LN(2)/2)*EC151+(1-EXP(-LN(2)/2))/(LN(2)/2)*DW152*DZ152*VLOOKUP('Données projet'!$B$14,Paramètres!$A$1:$I$89,3,0)*0.475*44/12</f>
        <v>8.8146321320040153E-4</v>
      </c>
      <c r="ED152" s="22">
        <f t="shared" si="126"/>
        <v>65.575528973434587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9.3350000000000026</v>
      </c>
      <c r="EJ152" s="12">
        <f>IF('Données projet'!$A$192&gt;35,EJ151+EI152-ER151,IF(A152&lt;'Données projet'!$A$192,$EG$205^A152,IF(A152='Données projet'!$A$192,'Données projet'!$B$192,EJ151+EI152-ER151)))</f>
        <v>499.81500000000085</v>
      </c>
      <c r="EK152" s="17">
        <f>EJ152*VLOOKUP('Données projet'!$B$15,Paramètres!$A$1:$I$89,3,0)*VLOOKUP('Données projet'!$B$15,Paramètres!$A$1:$I$89,5,0)</f>
        <v>335.27590200000054</v>
      </c>
      <c r="EL152" s="13">
        <f t="shared" si="153"/>
        <v>78.523124484038902</v>
      </c>
      <c r="EM152" s="20">
        <f t="shared" si="127"/>
        <v>720.69997112636872</v>
      </c>
      <c r="EN152" s="59">
        <f t="shared" si="128"/>
        <v>1014.0333044597021</v>
      </c>
      <c r="EO152" s="59">
        <f ca="1">AVERAGE(OFFSET($EN$3,0,0,'Données projet'!$E$15+1,1))-AVERAGE(OFFSET($H$3,0,0,'Données projet'!$E$15+1,1))</f>
        <v>482.99915419700773</v>
      </c>
      <c r="EP152" s="59">
        <f t="shared" si="154"/>
        <v>219.74157899604279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41.379724011173067</v>
      </c>
      <c r="EW152" s="21">
        <f>EXP(-LN(2)/25)*EW151+(1-EXP(-LN(2)/25))/(LN(2)/25)*Calculateur!ER152*Calculateur!ET152*VLOOKUP('Données projet'!$B$15,Paramètres!$A$1:$I$89,3,0)*0.475*44/12</f>
        <v>18.541936644718898</v>
      </c>
      <c r="EX152" s="21">
        <f>EXP(-LN(2)/2)*EX151+(1-EXP(-LN(2)/2))/(LN(2)/2)*ER152*EU152*VLOOKUP('Données projet'!$B$15,Paramètres!$A$1:$I$89,3,0)*0.475*44/12</f>
        <v>6.5349858909685026E-4</v>
      </c>
      <c r="EY152" s="22">
        <f t="shared" si="129"/>
        <v>59.922314154481064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9.3350000000000026</v>
      </c>
      <c r="FE152" s="12">
        <f>IF('Données projet'!$A$218&gt;35,FE151+FD152-FM151,IF(A152&lt;'Données projet'!$A$218,$FB$205^A152,IF(A152='Données projet'!$A$218,'Données projet'!$B$218,FE151+FD152-FM151)))</f>
        <v>499.81500000000085</v>
      </c>
      <c r="FF152" s="17">
        <f>FE152*VLOOKUP('Données projet'!$B$16,Paramètres!$A$1:$I$89,3,0)*VLOOKUP('Données projet'!$B$16,Paramètres!$A$1:$I$89,5,0)</f>
        <v>475.62395400000082</v>
      </c>
      <c r="FG152" s="13">
        <f t="shared" si="155"/>
        <v>106.95036891943845</v>
      </c>
      <c r="FH152" s="20">
        <f t="shared" si="130"/>
        <v>1014.6502790846899</v>
      </c>
      <c r="FI152" s="59">
        <f t="shared" si="131"/>
        <v>1307.9836124180233</v>
      </c>
      <c r="FJ152" s="59">
        <f ca="1">AVERAGE(OFFSET($FI$3,0,0,'Données projet'!$E$16+1,1))-AVERAGE(OFFSET($H$3,0,0,'Données projet'!$E$16+1,1))</f>
        <v>666.1523645983184</v>
      </c>
      <c r="FK152" s="59">
        <f t="shared" si="156"/>
        <v>294.13851344047526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47.625720088331256</v>
      </c>
      <c r="FR152" s="21">
        <f>EXP(-LN(2)/25)*FR151+(1-EXP(-LN(2)/25))/(LN(2)/25)*Calculateur!FM152*Calculateur!FO152*VLOOKUP('Données projet'!$B$16,Paramètres!$A$1:$I$89,3,0)*0.475*44/12</f>
        <v>21.340719534487782</v>
      </c>
      <c r="FS152" s="21">
        <f>EXP(-LN(2)/2)*FS151+(1-EXP(-LN(2)/2))/(LN(2)/2)*FM152*FP152*VLOOKUP('Données projet'!$B$16,Paramètres!$A$1:$I$89,3,0)*0.475*44/12</f>
        <v>9.270561380211132E-4</v>
      </c>
      <c r="FT152" s="22">
        <f t="shared" si="132"/>
        <v>68.967366678957063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328.55631138162721</v>
      </c>
      <c r="T153" s="59">
        <f t="shared" si="142"/>
        <v>321.81422611044985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9.7165926790835524</v>
      </c>
      <c r="AA153" s="21">
        <f>EXP(-LN(2)/25)*AA152+(1-EXP(-LN(2)/25))/(LN(2)/25)*Calculateur!V153*Calculateur!X153*VLOOKUP('Données projet'!$B$9,Paramètres!$A$1:$I$89,3,0)*0.475*44/12</f>
        <v>5.5100385089975754</v>
      </c>
      <c r="AB153" s="21">
        <f>EXP(-LN(2)/2)*AB152+(1-EXP(-LN(2)/2))/(LN(2)/2)*V153*Y153*VLOOKUP('Données projet'!$B$9,Paramètres!$A$1:$I$89,3,0)*0.475*44/12</f>
        <v>1.6742133100638385E-9</v>
      </c>
      <c r="AC153" s="22">
        <f t="shared" si="111"/>
        <v>15.226631189755341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353.37479213497227</v>
      </c>
      <c r="AO153" s="59">
        <f t="shared" si="144"/>
        <v>345.4750813433123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12.995522024523934</v>
      </c>
      <c r="AV153" s="21">
        <f>EXP(-LN(2)/25)*AV152+(1-EXP(-LN(2)/25))/(LN(2)/25)*Calculateur!AQ153*Calculateur!AS153*VLOOKUP('Données projet'!$B$10,Paramètres!$A$1:$I$89,3,0)*0.475*44/12</f>
        <v>7.369437946472277</v>
      </c>
      <c r="AW153" s="21">
        <f>EXP(-LN(2)/2)*AW152+(1-EXP(-LN(2)/2))/(LN(2)/2)*AQ153*AT153*VLOOKUP('Données projet'!$B$10,Paramètres!$A$1:$I$89,3,0)*0.475*44/12</f>
        <v>1.8166995492182134E-9</v>
      </c>
      <c r="AX153" s="21">
        <f t="shared" si="114"/>
        <v>20.364959972812908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359.57284550600366</v>
      </c>
      <c r="BJ153" s="59">
        <f t="shared" si="146"/>
        <v>351.38386928091433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13.25033618186754</v>
      </c>
      <c r="BQ153" s="21">
        <f>EXP(-LN(2)/25)*BQ152+(1-EXP(-LN(2)/25))/(LN(2)/25)*Calculateur!BL153*Calculateur!BN153*VLOOKUP('Données projet'!$B$11,Paramètres!$A$1:$I$89,3,0)*0.475*44/12</f>
        <v>7.513936729736435</v>
      </c>
      <c r="BR153" s="21">
        <f>EXP(-LN(2)/2)*BR152+(1-EXP(-LN(2)/2))/(LN(2)/2)*BL153*BO153*VLOOKUP('Données projet'!$B$11,Paramètres!$A$1:$I$89,3,0)*0.475*44/12</f>
        <v>1.8523211090068082E-9</v>
      </c>
      <c r="BS153" s="22">
        <f t="shared" si="117"/>
        <v>20.764272913456296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-8.5265128291212022E-14</v>
      </c>
      <c r="BZ153" s="13">
        <f>BY153*VLOOKUP('Données projet'!$B$12,Paramètres!$A$1:$I$89,3,0)*VLOOKUP('Données projet'!$B$12,Paramètres!$A$1:$I$89,5,0)</f>
        <v>-6.9167072069831198E-14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159.4660488566085</v>
      </c>
      <c r="CE153" s="59">
        <f t="shared" si="148"/>
        <v>135.33030558297088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3.0654100078562507</v>
      </c>
      <c r="CM153" s="21">
        <f>EXP(-LN(2)/2)*CM152+(1-EXP(-LN(2)/2))/(LN(2)/2)*CG153*CJ153*VLOOKUP('Données projet'!$B$12,Paramètres!$A$1:$I$89,3,0)*0.475*44/12</f>
        <v>2.3325035742698883E-8</v>
      </c>
      <c r="CN153" s="22">
        <f t="shared" si="120"/>
        <v>3.0654100311812864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353.37479213497227</v>
      </c>
      <c r="CZ153" s="59">
        <f t="shared" si="150"/>
        <v>345.4750813433123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12.995522024523934</v>
      </c>
      <c r="DG153" s="21">
        <f>EXP(-LN(2)/25)*DG152+(1-EXP(-LN(2)/25))/(LN(2)/25)*Calculateur!DB153*Calculateur!DD153*VLOOKUP('Données projet'!$B$13,Paramètres!$A$1:$I$89,3,0)*0.475*44/12</f>
        <v>7.369437946472277</v>
      </c>
      <c r="DH153" s="21">
        <f>EXP(-LN(2)/2)*DH152+(1-EXP(-LN(2)/2))/(LN(2)/2)*DB153*DE153*VLOOKUP('Données projet'!$B$13,Paramètres!$A$1:$I$89,3,0)*0.475*44/12</f>
        <v>1.8166995492182134E-9</v>
      </c>
      <c r="DI153" s="22">
        <f t="shared" si="123"/>
        <v>20.364959972812908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9.3350000000000026</v>
      </c>
      <c r="DO153" s="12">
        <f>IF('Données projet'!$A$166&gt;35,DO152+DN153-DW152,IF(A153&lt;'Données projet'!$A$166,$DL$205^A153,IF(A153='Données projet'!$A$166,'Données projet'!$B$166,DO152+DN153-DW152)))</f>
        <v>509.15000000000083</v>
      </c>
      <c r="DP153" s="17">
        <f>DO153*VLOOKUP('Données projet'!$B$14,Paramètres!$A$1:$I$89,3,0)*VLOOKUP('Données projet'!$B$14,Paramètres!$A$1:$I$89,5,0)</f>
        <v>460.67892000000074</v>
      </c>
      <c r="DQ153" s="13">
        <f t="shared" si="151"/>
        <v>103.97545705513664</v>
      </c>
      <c r="DR153" s="20">
        <f t="shared" si="124"/>
        <v>983.43970670436431</v>
      </c>
      <c r="DS153" s="59">
        <f t="shared" si="125"/>
        <v>1276.7730400376977</v>
      </c>
      <c r="DT153" s="59">
        <f ca="1">AVERAGE(OFFSET($DS$3,0,0,'Données projet'!$E$14+1,1))-AVERAGE(OFFSET($H$3,0,0,'Données projet'!$E$14+1,1))</f>
        <v>635.71275911100679</v>
      </c>
      <c r="DU153" s="59">
        <f t="shared" si="152"/>
        <v>281.7776857269169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44.395490302307536</v>
      </c>
      <c r="EB153" s="21">
        <f>EXP(-LN(2)/25)*EB152+(1-EXP(-LN(2)/25))/(LN(2)/25)*Calculateur!DW153*Calculateur!DY153*VLOOKUP('Données projet'!$B$14,Paramètres!$A$1:$I$89,3,0)*0.475*44/12</f>
        <v>19.736312677382596</v>
      </c>
      <c r="EC153" s="21">
        <f>EXP(-LN(2)/2)*EC152+(1-EXP(-LN(2)/2))/(LN(2)/2)*DW153*DZ153*VLOOKUP('Données projet'!$B$14,Paramètres!$A$1:$I$89,3,0)*0.475*44/12</f>
        <v>6.2328861542048741E-4</v>
      </c>
      <c r="ED153" s="22">
        <f t="shared" si="126"/>
        <v>64.132426268305551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9.3350000000000026</v>
      </c>
      <c r="EJ153" s="12">
        <f>IF('Données projet'!$A$192&gt;35,EJ152+EI153-ER152,IF(A153&lt;'Données projet'!$A$192,$EG$205^A153,IF(A153='Données projet'!$A$192,'Données projet'!$B$192,EJ152+EI153-ER152)))</f>
        <v>509.15000000000083</v>
      </c>
      <c r="EK153" s="17">
        <f>EJ153*VLOOKUP('Données projet'!$B$15,Paramètres!$A$1:$I$89,3,0)*VLOOKUP('Données projet'!$B$15,Paramètres!$A$1:$I$89,5,0)</f>
        <v>341.53782000000058</v>
      </c>
      <c r="EL153" s="13">
        <f t="shared" si="153"/>
        <v>79.817586273658151</v>
      </c>
      <c r="EM153" s="20">
        <f t="shared" si="127"/>
        <v>733.86066592662235</v>
      </c>
      <c r="EN153" s="59">
        <f t="shared" si="128"/>
        <v>1027.1939992599557</v>
      </c>
      <c r="EO153" s="59">
        <f ca="1">AVERAGE(OFFSET($EN$3,0,0,'Données projet'!$E$15+1,1))-AVERAGE(OFFSET($H$3,0,0,'Données projet'!$E$15+1,1))</f>
        <v>482.99915419700773</v>
      </c>
      <c r="EP153" s="59">
        <f t="shared" si="154"/>
        <v>219.74157899604279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40.568292862453454</v>
      </c>
      <c r="EW153" s="21">
        <f>EXP(-LN(2)/25)*EW152+(1-EXP(-LN(2)/25))/(LN(2)/25)*Calculateur!ER153*Calculateur!ET153*VLOOKUP('Données projet'!$B$15,Paramètres!$A$1:$I$89,3,0)*0.475*44/12</f>
        <v>18.03490641209099</v>
      </c>
      <c r="EX153" s="21">
        <f>EXP(-LN(2)/2)*EX152+(1-EXP(-LN(2)/2))/(LN(2)/2)*ER153*EU153*VLOOKUP('Données projet'!$B$15,Paramètres!$A$1:$I$89,3,0)*0.475*44/12</f>
        <v>4.6209328384622404E-4</v>
      </c>
      <c r="EY153" s="22">
        <f t="shared" si="129"/>
        <v>58.603661367828288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9.3350000000000026</v>
      </c>
      <c r="FE153" s="12">
        <f>IF('Données projet'!$A$218&gt;35,FE152+FD153-FM152,IF(A153&lt;'Données projet'!$A$218,$FB$205^A153,IF(A153='Données projet'!$A$218,'Données projet'!$B$218,FE152+FD153-FM152)))</f>
        <v>509.15000000000083</v>
      </c>
      <c r="FF153" s="17">
        <f>FE153*VLOOKUP('Données projet'!$B$16,Paramètres!$A$1:$I$89,3,0)*VLOOKUP('Données projet'!$B$16,Paramètres!$A$1:$I$89,5,0)</f>
        <v>484.50714000000085</v>
      </c>
      <c r="FG153" s="13">
        <f t="shared" si="155"/>
        <v>108.71345675963302</v>
      </c>
      <c r="FH153" s="20">
        <f t="shared" si="130"/>
        <v>1033.1925393563622</v>
      </c>
      <c r="FI153" s="59">
        <f t="shared" si="131"/>
        <v>1326.5258726896955</v>
      </c>
      <c r="FJ153" s="59">
        <f ca="1">AVERAGE(OFFSET($FI$3,0,0,'Données projet'!$E$16+1,1))-AVERAGE(OFFSET($H$3,0,0,'Données projet'!$E$16+1,1))</f>
        <v>666.1523645983184</v>
      </c>
      <c r="FK153" s="59">
        <f t="shared" si="156"/>
        <v>294.13851344047526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46.691808766219999</v>
      </c>
      <c r="FR153" s="21">
        <f>EXP(-LN(2)/25)*FR152+(1-EXP(-LN(2)/25))/(LN(2)/25)*Calculateur!FM153*Calculateur!FO153*VLOOKUP('Données projet'!$B$16,Paramètres!$A$1:$I$89,3,0)*0.475*44/12</f>
        <v>20.757156436557548</v>
      </c>
      <c r="FS153" s="21">
        <f>EXP(-LN(2)/2)*FS152+(1-EXP(-LN(2)/2))/(LN(2)/2)*FM153*FP153*VLOOKUP('Données projet'!$B$16,Paramètres!$A$1:$I$89,3,0)*0.475*44/12</f>
        <v>6.5552768173534118E-4</v>
      </c>
      <c r="FT153" s="22">
        <f t="shared" si="132"/>
        <v>67.449620730459273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328.55631138162721</v>
      </c>
      <c r="T154" s="59">
        <f t="shared" si="142"/>
        <v>321.81422611044985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9.5260562231830619</v>
      </c>
      <c r="AA154" s="21">
        <f>EXP(-LN(2)/25)*AA153+(1-EXP(-LN(2)/25))/(LN(2)/25)*Calculateur!V154*Calculateur!X154*VLOOKUP('Données projet'!$B$9,Paramètres!$A$1:$I$89,3,0)*0.475*44/12</f>
        <v>5.3593662162087048</v>
      </c>
      <c r="AB154" s="21">
        <f>EXP(-LN(2)/2)*AB153+(1-EXP(-LN(2)/2))/(LN(2)/2)*V154*Y154*VLOOKUP('Données projet'!$B$9,Paramètres!$A$1:$I$89,3,0)*0.475*44/12</f>
        <v>1.1838475846989161E-9</v>
      </c>
      <c r="AC154" s="22">
        <f t="shared" ref="AC154:AC203" si="163">SUM(Z154:AB154)</f>
        <v>14.885422440575615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353.37479213497227</v>
      </c>
      <c r="AO154" s="59">
        <f t="shared" si="144"/>
        <v>345.4750813433123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12.740687764108779</v>
      </c>
      <c r="AV154" s="21">
        <f>EXP(-LN(2)/25)*AV153+(1-EXP(-LN(2)/25))/(LN(2)/25)*Calculateur!AQ154*Calculateur!AS154*VLOOKUP('Données projet'!$B$10,Paramètres!$A$1:$I$89,3,0)*0.475*44/12</f>
        <v>7.1679202782840941</v>
      </c>
      <c r="AW154" s="21">
        <f>EXP(-LN(2)/2)*AW153+(1-EXP(-LN(2)/2))/(LN(2)/2)*AQ154*AT154*VLOOKUP('Données projet'!$B$10,Paramètres!$A$1:$I$89,3,0)*0.475*44/12</f>
        <v>1.2846005706307427E-9</v>
      </c>
      <c r="AX154" s="21">
        <f t="shared" ref="AX154:AX203" si="166">SUM(AU154:AW154)</f>
        <v>19.908608043677475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359.57284550600366</v>
      </c>
      <c r="BJ154" s="59">
        <f t="shared" si="146"/>
        <v>351.38386928091433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12.990505171248167</v>
      </c>
      <c r="BQ154" s="21">
        <f>EXP(-LN(2)/25)*BQ153+(1-EXP(-LN(2)/25))/(LN(2)/25)*Calculateur!BL154*Calculateur!BN154*VLOOKUP('Données projet'!$B$11,Paramètres!$A$1:$I$89,3,0)*0.475*44/12</f>
        <v>7.3084677347210327</v>
      </c>
      <c r="BR154" s="21">
        <f>EXP(-LN(2)/2)*BR153+(1-EXP(-LN(2)/2))/(LN(2)/2)*BL154*BO154*VLOOKUP('Données projet'!$B$11,Paramètres!$A$1:$I$89,3,0)*0.475*44/12</f>
        <v>1.3097888171137003E-9</v>
      </c>
      <c r="BS154" s="22">
        <f t="shared" ref="BS154:BS203" si="169">SUM(BP154:BR154)</f>
        <v>20.298972907278991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-8.5265128291212022E-14</v>
      </c>
      <c r="BZ154" s="13">
        <f>BY154*VLOOKUP('Données projet'!$B$12,Paramètres!$A$1:$I$89,3,0)*VLOOKUP('Données projet'!$B$12,Paramètres!$A$1:$I$89,5,0)</f>
        <v>-6.9167072069831198E-14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159.4660488566085</v>
      </c>
      <c r="CE154" s="59">
        <f t="shared" si="148"/>
        <v>135.33030558297088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2.9815862099885155</v>
      </c>
      <c r="CM154" s="21">
        <f>EXP(-LN(2)/2)*CM153+(1-EXP(-LN(2)/2))/(LN(2)/2)*CG154*CJ154*VLOOKUP('Données projet'!$B$12,Paramètres!$A$1:$I$89,3,0)*0.475*44/12</f>
        <v>1.6493290945080979E-8</v>
      </c>
      <c r="CN154" s="22">
        <f t="shared" ref="CN154:CN203" si="172">SUM(CK154:CM154)</f>
        <v>2.9815862264818063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353.37479213497227</v>
      </c>
      <c r="CZ154" s="59">
        <f t="shared" si="150"/>
        <v>345.4750813433123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12.740687764108779</v>
      </c>
      <c r="DG154" s="21">
        <f>EXP(-LN(2)/25)*DG153+(1-EXP(-LN(2)/25))/(LN(2)/25)*Calculateur!DB154*Calculateur!DD154*VLOOKUP('Données projet'!$B$13,Paramètres!$A$1:$I$89,3,0)*0.475*44/12</f>
        <v>7.1679202782840941</v>
      </c>
      <c r="DH154" s="21">
        <f>EXP(-LN(2)/2)*DH153+(1-EXP(-LN(2)/2))/(LN(2)/2)*DB154*DE154*VLOOKUP('Données projet'!$B$13,Paramètres!$A$1:$I$89,3,0)*0.475*44/12</f>
        <v>1.2846005706307427E-9</v>
      </c>
      <c r="DI154" s="22">
        <f t="shared" ref="DI154:DI203" si="175">SUM(DF154:DH154)</f>
        <v>19.908608043677475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9.3350000000000026</v>
      </c>
      <c r="DO154" s="12">
        <f>IF('Données projet'!$A$166&gt;35,DO153+DN154-DW153,IF(A154&lt;'Données projet'!$A$166,$DL$205^A154,IF(A154='Données projet'!$A$166,'Données projet'!$B$166,DO153+DN154-DW153)))</f>
        <v>518.48500000000081</v>
      </c>
      <c r="DP154" s="17">
        <f>DO154*VLOOKUP('Données projet'!$B$14,Paramètres!$A$1:$I$89,3,0)*VLOOKUP('Données projet'!$B$14,Paramètres!$A$1:$I$89,5,0)</f>
        <v>469.12522800000067</v>
      </c>
      <c r="DQ154" s="13">
        <f t="shared" ref="DQ154:DQ203" si="176">EXP(-1.0587+0.8836*LN(DP154)+0.284)</f>
        <v>105.65811013888603</v>
      </c>
      <c r="DR154" s="20">
        <f t="shared" ref="DR154:DR203" si="177">(DP154+DQ154)*0.475*44/12</f>
        <v>1001.0809805918944</v>
      </c>
      <c r="DS154" s="59">
        <f t="shared" si="125"/>
        <v>1294.4143139252278</v>
      </c>
      <c r="DT154" s="59">
        <f ca="1">AVERAGE(OFFSET($DS$3,0,0,'Données projet'!$E$14+1,1))-AVERAGE(OFFSET($H$3,0,0,'Données projet'!$E$14+1,1))</f>
        <v>635.71275911100679</v>
      </c>
      <c r="DU154" s="59">
        <f t="shared" si="152"/>
        <v>281.7776857269169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43.524921816054579</v>
      </c>
      <c r="EB154" s="21">
        <f>EXP(-LN(2)/25)*EB153+(1-EXP(-LN(2)/25))/(LN(2)/25)*Calculateur!DW154*Calculateur!DY154*VLOOKUP('Données projet'!$B$14,Paramètres!$A$1:$I$89,3,0)*0.475*44/12</f>
        <v>19.196622169331992</v>
      </c>
      <c r="EC154" s="21">
        <f>EXP(-LN(2)/2)*EC153+(1-EXP(-LN(2)/2))/(LN(2)/2)*DW154*DZ154*VLOOKUP('Données projet'!$B$14,Paramètres!$A$1:$I$89,3,0)*0.475*44/12</f>
        <v>4.4073160660020077E-4</v>
      </c>
      <c r="ED154" s="22">
        <f t="shared" ref="ED154:ED203" si="178">SUM(EA154:EC154)</f>
        <v>62.721984716993177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9.3350000000000026</v>
      </c>
      <c r="EJ154" s="12">
        <f>IF('Données projet'!$A$192&gt;35,EJ153+EI154-ER153,IF(A154&lt;'Données projet'!$A$192,$EG$205^A154,IF(A154='Données projet'!$A$192,'Données projet'!$B$192,EJ153+EI154-ER153)))</f>
        <v>518.48500000000081</v>
      </c>
      <c r="EK154" s="17">
        <f>EJ154*VLOOKUP('Données projet'!$B$15,Paramètres!$A$1:$I$89,3,0)*VLOOKUP('Données projet'!$B$15,Paramètres!$A$1:$I$89,5,0)</f>
        <v>347.79973800000056</v>
      </c>
      <c r="EL154" s="13">
        <f t="shared" ref="EL154:EL203" si="179">EXP(-1.0587+0.8836*LN(EK154)+0.284)</f>
        <v>81.109288291467749</v>
      </c>
      <c r="EM154" s="20">
        <f t="shared" ref="EM154:EM203" si="180">(EK154+EL154)*0.475*44/12</f>
        <v>747.01655412430728</v>
      </c>
      <c r="EN154" s="59">
        <f t="shared" si="128"/>
        <v>1040.3498874576405</v>
      </c>
      <c r="EO154" s="59">
        <f ca="1">AVERAGE(OFFSET($EN$3,0,0,'Données projet'!$E$15+1,1))-AVERAGE(OFFSET($H$3,0,0,'Données projet'!$E$15+1,1))</f>
        <v>482.99915419700773</v>
      </c>
      <c r="EP154" s="59">
        <f t="shared" si="154"/>
        <v>219.74157899604279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39.7727733836361</v>
      </c>
      <c r="EW154" s="21">
        <f>EXP(-LN(2)/25)*EW153+(1-EXP(-LN(2)/25))/(LN(2)/25)*Calculateur!ER154*Calculateur!ET154*VLOOKUP('Données projet'!$B$15,Paramètres!$A$1:$I$89,3,0)*0.475*44/12</f>
        <v>17.541740947837852</v>
      </c>
      <c r="EX154" s="21">
        <f>EXP(-LN(2)/2)*EX153+(1-EXP(-LN(2)/2))/(LN(2)/2)*ER154*EU154*VLOOKUP('Données projet'!$B$15,Paramètres!$A$1:$I$89,3,0)*0.475*44/12</f>
        <v>3.2674929454842519E-4</v>
      </c>
      <c r="EY154" s="22">
        <f t="shared" ref="EY154:EY203" si="181">SUM(EV154:EX154)</f>
        <v>57.314841080768502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9.3350000000000026</v>
      </c>
      <c r="FE154" s="12">
        <f>IF('Données projet'!$A$218&gt;35,FE153+FD154-FM153,IF(A154&lt;'Données projet'!$A$218,$FB$205^A154,IF(A154='Données projet'!$A$218,'Données projet'!$B$218,FE153+FD154-FM153)))</f>
        <v>518.48500000000081</v>
      </c>
      <c r="FF154" s="17">
        <f>FE154*VLOOKUP('Données projet'!$B$16,Paramètres!$A$1:$I$89,3,0)*VLOOKUP('Données projet'!$B$16,Paramètres!$A$1:$I$89,5,0)</f>
        <v>493.39032600000081</v>
      </c>
      <c r="FG154" s="13">
        <f t="shared" ref="FG154:FG203" si="182">EXP(-1.0587+0.8836*LN(FF154)+0.284)</f>
        <v>110.47278572478149</v>
      </c>
      <c r="FH154" s="20">
        <f t="shared" ref="FH154:FH203" si="183">(FF154+FG154)*0.475*44/12</f>
        <v>1051.7282529206625</v>
      </c>
      <c r="FI154" s="59">
        <f t="shared" si="131"/>
        <v>1345.0615862539958</v>
      </c>
      <c r="FJ154" s="59">
        <f ca="1">AVERAGE(OFFSET($FI$3,0,0,'Données projet'!$E$16+1,1))-AVERAGE(OFFSET($H$3,0,0,'Données projet'!$E$16+1,1))</f>
        <v>666.1523645983184</v>
      </c>
      <c r="FK154" s="59">
        <f t="shared" si="156"/>
        <v>294.13851344047526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45.776210875505683</v>
      </c>
      <c r="FR154" s="21">
        <f>EXP(-LN(2)/25)*FR153+(1-EXP(-LN(2)/25))/(LN(2)/25)*Calculateur!FM154*Calculateur!FO154*VLOOKUP('Données projet'!$B$16,Paramètres!$A$1:$I$89,3,0)*0.475*44/12</f>
        <v>20.189550902228465</v>
      </c>
      <c r="FS154" s="21">
        <f>EXP(-LN(2)/2)*FS153+(1-EXP(-LN(2)/2))/(LN(2)/2)*FM154*FP154*VLOOKUP('Données projet'!$B$16,Paramètres!$A$1:$I$89,3,0)*0.475*44/12</f>
        <v>4.6352806901055671E-4</v>
      </c>
      <c r="FT154" s="22">
        <f t="shared" ref="FT154:FT203" si="184">SUM(FQ154:FS154)</f>
        <v>65.96622530580315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328.55631138162721</v>
      </c>
      <c r="T155" s="59">
        <f t="shared" si="142"/>
        <v>321.81422611044985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9.339256070967016</v>
      </c>
      <c r="AA155" s="21">
        <f>EXP(-LN(2)/25)*AA154+(1-EXP(-LN(2)/25))/(LN(2)/25)*Calculateur!V155*Calculateur!X155*VLOOKUP('Données projet'!$B$9,Paramètres!$A$1:$I$89,3,0)*0.475*44/12</f>
        <v>5.2128140651896571</v>
      </c>
      <c r="AB155" s="21">
        <f>EXP(-LN(2)/2)*AB154+(1-EXP(-LN(2)/2))/(LN(2)/2)*V155*Y155*VLOOKUP('Données projet'!$B$9,Paramètres!$A$1:$I$89,3,0)*0.475*44/12</f>
        <v>8.3710665503191925E-10</v>
      </c>
      <c r="AC155" s="22">
        <f t="shared" si="163"/>
        <v>14.552070136993779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353.37479213497227</v>
      </c>
      <c r="AO155" s="59">
        <f t="shared" si="144"/>
        <v>345.4750813433123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12.490850648106814</v>
      </c>
      <c r="AV155" s="21">
        <f>EXP(-LN(2)/25)*AV154+(1-EXP(-LN(2)/25))/(LN(2)/25)*Calculateur!AQ155*Calculateur!AS155*VLOOKUP('Données projet'!$B$10,Paramètres!$A$1:$I$89,3,0)*0.475*44/12</f>
        <v>6.9719131213298704</v>
      </c>
      <c r="AW155" s="21">
        <f>EXP(-LN(2)/2)*AW154+(1-EXP(-LN(2)/2))/(LN(2)/2)*AQ155*AT155*VLOOKUP('Données projet'!$B$10,Paramètres!$A$1:$I$89,3,0)*0.475*44/12</f>
        <v>9.083497746091067E-10</v>
      </c>
      <c r="AX155" s="21">
        <f t="shared" si="166"/>
        <v>19.462763770345035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359.57284550600366</v>
      </c>
      <c r="BJ155" s="59">
        <f t="shared" si="146"/>
        <v>351.38386928091433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12.735769288265772</v>
      </c>
      <c r="BQ155" s="21">
        <f>EXP(-LN(2)/25)*BQ154+(1-EXP(-LN(2)/25))/(LN(2)/25)*Calculateur!BL155*Calculateur!BN155*VLOOKUP('Données projet'!$B$11,Paramètres!$A$1:$I$89,3,0)*0.475*44/12</f>
        <v>7.1086173001794712</v>
      </c>
      <c r="BR155" s="21">
        <f>EXP(-LN(2)/2)*BR154+(1-EXP(-LN(2)/2))/(LN(2)/2)*BL155*BO155*VLOOKUP('Données projet'!$B$11,Paramètres!$A$1:$I$89,3,0)*0.475*44/12</f>
        <v>9.2616055450340421E-10</v>
      </c>
      <c r="BS155" s="22">
        <f t="shared" si="169"/>
        <v>19.844386589371403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-8.5265128291212022E-14</v>
      </c>
      <c r="BZ155" s="13">
        <f>BY155*VLOOKUP('Données projet'!$B$12,Paramètres!$A$1:$I$89,3,0)*VLOOKUP('Données projet'!$B$12,Paramètres!$A$1:$I$89,5,0)</f>
        <v>-6.9167072069831198E-14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159.4660488566085</v>
      </c>
      <c r="CE155" s="59">
        <f t="shared" si="148"/>
        <v>135.33030558297088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2.9000545782815754</v>
      </c>
      <c r="CM155" s="21">
        <f>EXP(-LN(2)/2)*CM154+(1-EXP(-LN(2)/2))/(LN(2)/2)*CG155*CJ155*VLOOKUP('Données projet'!$B$12,Paramètres!$A$1:$I$89,3,0)*0.475*44/12</f>
        <v>1.1662517871349442E-8</v>
      </c>
      <c r="CN155" s="22">
        <f t="shared" si="172"/>
        <v>2.9000545899440935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353.37479213497227</v>
      </c>
      <c r="CZ155" s="59">
        <f t="shared" si="150"/>
        <v>345.4750813433123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12.490850648106814</v>
      </c>
      <c r="DG155" s="21">
        <f>EXP(-LN(2)/25)*DG154+(1-EXP(-LN(2)/25))/(LN(2)/25)*Calculateur!DB155*Calculateur!DD155*VLOOKUP('Données projet'!$B$13,Paramètres!$A$1:$I$89,3,0)*0.475*44/12</f>
        <v>6.9719131213298704</v>
      </c>
      <c r="DH155" s="21">
        <f>EXP(-LN(2)/2)*DH154+(1-EXP(-LN(2)/2))/(LN(2)/2)*DB155*DE155*VLOOKUP('Données projet'!$B$13,Paramètres!$A$1:$I$89,3,0)*0.475*44/12</f>
        <v>9.083497746091067E-10</v>
      </c>
      <c r="DI155" s="22">
        <f t="shared" si="175"/>
        <v>19.462763770345035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9.3350000000000026</v>
      </c>
      <c r="DO155" s="12">
        <f>IF('Données projet'!$A$166&gt;35,DO154+DN155-DW154,IF(A155&lt;'Données projet'!$A$166,$DL$205^A155,IF(A155='Données projet'!$A$166,'Données projet'!$B$166,DO154+DN155-DW154)))</f>
        <v>527.82000000000085</v>
      </c>
      <c r="DP155" s="17">
        <f>DO155*VLOOKUP('Données projet'!$B$14,Paramètres!$A$1:$I$89,3,0)*VLOOKUP('Données projet'!$B$14,Paramètres!$A$1:$I$89,5,0)</f>
        <v>477.57153600000072</v>
      </c>
      <c r="DQ155" s="13">
        <f t="shared" si="176"/>
        <v>107.3372403617045</v>
      </c>
      <c r="DR155" s="20">
        <f t="shared" si="177"/>
        <v>1018.71611882997</v>
      </c>
      <c r="DS155" s="59">
        <f t="shared" si="125"/>
        <v>1312.0494521633034</v>
      </c>
      <c r="DT155" s="59">
        <f ca="1">AVERAGE(OFFSET($DS$3,0,0,'Données projet'!$E$14+1,1))-AVERAGE(OFFSET($H$3,0,0,'Données projet'!$E$14+1,1))</f>
        <v>635.71275911100679</v>
      </c>
      <c r="DU155" s="59">
        <f t="shared" si="152"/>
        <v>281.7776857269169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42.6714246468227</v>
      </c>
      <c r="EB155" s="21">
        <f>EXP(-LN(2)/25)*EB154+(1-EXP(-LN(2)/25))/(LN(2)/25)*Calculateur!DW155*Calculateur!DY155*VLOOKUP('Données projet'!$B$14,Paramètres!$A$1:$I$89,3,0)*0.475*44/12</f>
        <v>18.671689526605125</v>
      </c>
      <c r="EC155" s="21">
        <f>EXP(-LN(2)/2)*EC154+(1-EXP(-LN(2)/2))/(LN(2)/2)*DW155*DZ155*VLOOKUP('Données projet'!$B$14,Paramètres!$A$1:$I$89,3,0)*0.475*44/12</f>
        <v>3.1164430771024371E-4</v>
      </c>
      <c r="ED155" s="22">
        <f t="shared" si="178"/>
        <v>61.343425817735529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9.3350000000000026</v>
      </c>
      <c r="EJ155" s="12">
        <f>IF('Données projet'!$A$192&gt;35,EJ154+EI155-ER154,IF(A155&lt;'Données projet'!$A$192,$EG$205^A155,IF(A155='Données projet'!$A$192,'Données projet'!$B$192,EJ154+EI155-ER154)))</f>
        <v>527.82000000000085</v>
      </c>
      <c r="EK155" s="17">
        <f>EJ155*VLOOKUP('Données projet'!$B$15,Paramètres!$A$1:$I$89,3,0)*VLOOKUP('Données projet'!$B$15,Paramètres!$A$1:$I$89,5,0)</f>
        <v>354.06165600000054</v>
      </c>
      <c r="EL155" s="13">
        <f t="shared" si="179"/>
        <v>82.398285957075018</v>
      </c>
      <c r="EM155" s="20">
        <f t="shared" si="180"/>
        <v>760.16773224190672</v>
      </c>
      <c r="EN155" s="59">
        <f t="shared" si="128"/>
        <v>1053.5010655752401</v>
      </c>
      <c r="EO155" s="59">
        <f ca="1">AVERAGE(OFFSET($EN$3,0,0,'Données projet'!$E$15+1,1))-AVERAGE(OFFSET($H$3,0,0,'Données projet'!$E$15+1,1))</f>
        <v>482.99915419700773</v>
      </c>
      <c r="EP155" s="59">
        <f t="shared" si="154"/>
        <v>219.74157899604279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38.992853556579384</v>
      </c>
      <c r="EW155" s="21">
        <f>EXP(-LN(2)/25)*EW154+(1-EXP(-LN(2)/25))/(LN(2)/25)*Calculateur!ER155*Calculateur!ET155*VLOOKUP('Données projet'!$B$15,Paramètres!$A$1:$I$89,3,0)*0.475*44/12</f>
        <v>17.062061119139162</v>
      </c>
      <c r="EX155" s="21">
        <f>EXP(-LN(2)/2)*EX154+(1-EXP(-LN(2)/2))/(LN(2)/2)*ER155*EU155*VLOOKUP('Données projet'!$B$15,Paramètres!$A$1:$I$89,3,0)*0.475*44/12</f>
        <v>2.3104664192311207E-4</v>
      </c>
      <c r="EY155" s="22">
        <f t="shared" si="181"/>
        <v>56.055145722360471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9.3350000000000026</v>
      </c>
      <c r="FE155" s="12">
        <f>IF('Données projet'!$A$218&gt;35,FE154+FD155-FM154,IF(A155&lt;'Données projet'!$A$218,$FB$205^A155,IF(A155='Données projet'!$A$218,'Données projet'!$B$218,FE154+FD155-FM154)))</f>
        <v>527.82000000000085</v>
      </c>
      <c r="FF155" s="17">
        <f>FE155*VLOOKUP('Données projet'!$B$16,Paramètres!$A$1:$I$89,3,0)*VLOOKUP('Données projet'!$B$16,Paramètres!$A$1:$I$89,5,0)</f>
        <v>502.27351200000078</v>
      </c>
      <c r="FG155" s="13">
        <f t="shared" si="182"/>
        <v>112.22843129771096</v>
      </c>
      <c r="FH155" s="20">
        <f t="shared" si="183"/>
        <v>1070.2575512435144</v>
      </c>
      <c r="FI155" s="59">
        <f t="shared" si="131"/>
        <v>1363.5908845768477</v>
      </c>
      <c r="FJ155" s="59">
        <f ca="1">AVERAGE(OFFSET($FI$3,0,0,'Données projet'!$E$16+1,1))-AVERAGE(OFFSET($H$3,0,0,'Données projet'!$E$16+1,1))</f>
        <v>666.1523645983184</v>
      </c>
      <c r="FK155" s="59">
        <f t="shared" si="156"/>
        <v>294.13851344047526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44.878567300968705</v>
      </c>
      <c r="FR155" s="21">
        <f>EXP(-LN(2)/25)*FR154+(1-EXP(-LN(2)/25))/(LN(2)/25)*Calculateur!FM155*Calculateur!FO155*VLOOKUP('Données projet'!$B$16,Paramètres!$A$1:$I$89,3,0)*0.475*44/12</f>
        <v>19.637466571084691</v>
      </c>
      <c r="FS155" s="21">
        <f>EXP(-LN(2)/2)*FS154+(1-EXP(-LN(2)/2))/(LN(2)/2)*FM155*FP155*VLOOKUP('Données projet'!$B$16,Paramètres!$A$1:$I$89,3,0)*0.475*44/12</f>
        <v>3.2776384086767064E-4</v>
      </c>
      <c r="FT155" s="22">
        <f t="shared" si="184"/>
        <v>64.51636163589427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328.55631138162721</v>
      </c>
      <c r="T156" s="59">
        <f t="shared" si="142"/>
        <v>321.81422611044985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9.1561189557990854</v>
      </c>
      <c r="AA156" s="21">
        <f>EXP(-LN(2)/25)*AA155+(1-EXP(-LN(2)/25))/(LN(2)/25)*Calculateur!V156*Calculateur!X156*VLOOKUP('Données projet'!$B$9,Paramètres!$A$1:$I$89,3,0)*0.475*44/12</f>
        <v>5.0702693904470681</v>
      </c>
      <c r="AB156" s="21">
        <f>EXP(-LN(2)/2)*AB155+(1-EXP(-LN(2)/2))/(LN(2)/2)*V156*Y156*VLOOKUP('Données projet'!$B$9,Paramètres!$A$1:$I$89,3,0)*0.475*44/12</f>
        <v>5.9192379234945804E-10</v>
      </c>
      <c r="AC156" s="22">
        <f t="shared" si="163"/>
        <v>14.226388346838077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353.37479213497227</v>
      </c>
      <c r="AO156" s="59">
        <f t="shared" si="144"/>
        <v>345.4750813433123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12.245912685564054</v>
      </c>
      <c r="AV156" s="21">
        <f>EXP(-LN(2)/25)*AV155+(1-EXP(-LN(2)/25))/(LN(2)/25)*Calculateur!AQ156*Calculateur!AS156*VLOOKUP('Données projet'!$B$10,Paramètres!$A$1:$I$89,3,0)*0.475*44/12</f>
        <v>6.7812657903901288</v>
      </c>
      <c r="AW156" s="21">
        <f>EXP(-LN(2)/2)*AW155+(1-EXP(-LN(2)/2))/(LN(2)/2)*AQ156*AT156*VLOOKUP('Données projet'!$B$10,Paramètres!$A$1:$I$89,3,0)*0.475*44/12</f>
        <v>6.4230028531537137E-10</v>
      </c>
      <c r="AX156" s="21">
        <f t="shared" si="166"/>
        <v>19.027178476596482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359.57284550600366</v>
      </c>
      <c r="BJ156" s="59">
        <f t="shared" si="146"/>
        <v>351.38386928091433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12.486028620575114</v>
      </c>
      <c r="BQ156" s="21">
        <f>EXP(-LN(2)/25)*BQ155+(1-EXP(-LN(2)/25))/(LN(2)/25)*Calculateur!BL156*Calculateur!BN156*VLOOKUP('Données projet'!$B$11,Paramètres!$A$1:$I$89,3,0)*0.475*44/12</f>
        <v>6.9142317862801264</v>
      </c>
      <c r="BR156" s="21">
        <f>EXP(-LN(2)/2)*BR155+(1-EXP(-LN(2)/2))/(LN(2)/2)*BL156*BO156*VLOOKUP('Données projet'!$B$11,Paramètres!$A$1:$I$89,3,0)*0.475*44/12</f>
        <v>6.5489440855685024E-10</v>
      </c>
      <c r="BS156" s="22">
        <f t="shared" si="169"/>
        <v>19.400260407510132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-8.5265128291212022E-14</v>
      </c>
      <c r="BZ156" s="13">
        <f>BY156*VLOOKUP('Données projet'!$B$12,Paramètres!$A$1:$I$89,3,0)*VLOOKUP('Données projet'!$B$12,Paramètres!$A$1:$I$89,5,0)</f>
        <v>-6.9167072069831198E-14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159.4660488566085</v>
      </c>
      <c r="CE156" s="59">
        <f t="shared" si="148"/>
        <v>135.33030558297088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2.8207524333312235</v>
      </c>
      <c r="CM156" s="21">
        <f>EXP(-LN(2)/2)*CM155+(1-EXP(-LN(2)/2))/(LN(2)/2)*CG156*CJ156*VLOOKUP('Données projet'!$B$12,Paramètres!$A$1:$I$89,3,0)*0.475*44/12</f>
        <v>8.2466454725404894E-9</v>
      </c>
      <c r="CN156" s="22">
        <f t="shared" si="172"/>
        <v>2.8207524415778691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353.37479213497227</v>
      </c>
      <c r="CZ156" s="59">
        <f t="shared" si="150"/>
        <v>345.4750813433123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12.245912685564054</v>
      </c>
      <c r="DG156" s="21">
        <f>EXP(-LN(2)/25)*DG155+(1-EXP(-LN(2)/25))/(LN(2)/25)*Calculateur!DB156*Calculateur!DD156*VLOOKUP('Données projet'!$B$13,Paramètres!$A$1:$I$89,3,0)*0.475*44/12</f>
        <v>6.7812657903901288</v>
      </c>
      <c r="DH156" s="21">
        <f>EXP(-LN(2)/2)*DH155+(1-EXP(-LN(2)/2))/(LN(2)/2)*DB156*DE156*VLOOKUP('Données projet'!$B$13,Paramètres!$A$1:$I$89,3,0)*0.475*44/12</f>
        <v>6.4230028531537137E-10</v>
      </c>
      <c r="DI156" s="22">
        <f t="shared" si="175"/>
        <v>19.027178476596482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9.3350000000000026</v>
      </c>
      <c r="DO156" s="12">
        <f>IF('Données projet'!$A$166&gt;35,DO155+DN156-DW155,IF(A156&lt;'Données projet'!$A$166,$DL$205^A156,IF(A156='Données projet'!$A$166,'Données projet'!$B$166,DO155+DN156-DW155)))</f>
        <v>537.15500000000088</v>
      </c>
      <c r="DP156" s="17">
        <f>DO156*VLOOKUP('Données projet'!$B$14,Paramètres!$A$1:$I$89,3,0)*VLOOKUP('Données projet'!$B$14,Paramètres!$A$1:$I$89,5,0)</f>
        <v>486.01784400000076</v>
      </c>
      <c r="DQ156" s="13">
        <f t="shared" si="176"/>
        <v>109.01291721682281</v>
      </c>
      <c r="DR156" s="20">
        <f t="shared" si="177"/>
        <v>1036.3452424526342</v>
      </c>
      <c r="DS156" s="59">
        <f t="shared" si="125"/>
        <v>1329.6785757859675</v>
      </c>
      <c r="DT156" s="59">
        <f ca="1">AVERAGE(OFFSET($DS$3,0,0,'Données projet'!$E$14+1,1))-AVERAGE(OFFSET($H$3,0,0,'Données projet'!$E$14+1,1))</f>
        <v>635.71275911100679</v>
      </c>
      <c r="DU156" s="59">
        <f t="shared" si="152"/>
        <v>281.7776857269169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41.834664036497585</v>
      </c>
      <c r="EB156" s="21">
        <f>EXP(-LN(2)/25)*EB155+(1-EXP(-LN(2)/25))/(LN(2)/25)*Calculateur!DW156*Calculateur!DY156*VLOOKUP('Données projet'!$B$14,Paramètres!$A$1:$I$89,3,0)*0.475*44/12</f>
        <v>18.161111194598629</v>
      </c>
      <c r="EC156" s="21">
        <f>EXP(-LN(2)/2)*EC155+(1-EXP(-LN(2)/2))/(LN(2)/2)*DW156*DZ156*VLOOKUP('Données projet'!$B$14,Paramètres!$A$1:$I$89,3,0)*0.475*44/12</f>
        <v>2.2036580330010038E-4</v>
      </c>
      <c r="ED156" s="22">
        <f t="shared" si="178"/>
        <v>59.995995596899519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9.3350000000000026</v>
      </c>
      <c r="EJ156" s="12">
        <f>IF('Données projet'!$A$192&gt;35,EJ155+EI156-ER155,IF(A156&lt;'Données projet'!$A$192,$EG$205^A156,IF(A156='Données projet'!$A$192,'Données projet'!$B$192,EJ155+EI156-ER155)))</f>
        <v>537.15500000000088</v>
      </c>
      <c r="EK156" s="17">
        <f>EJ156*VLOOKUP('Données projet'!$B$15,Paramètres!$A$1:$I$89,3,0)*VLOOKUP('Données projet'!$B$15,Paramètres!$A$1:$I$89,5,0)</f>
        <v>360.32357400000058</v>
      </c>
      <c r="EL156" s="13">
        <f t="shared" si="179"/>
        <v>83.684632617510985</v>
      </c>
      <c r="EM156" s="20">
        <f t="shared" si="180"/>
        <v>773.31429319216602</v>
      </c>
      <c r="EN156" s="59">
        <f t="shared" si="128"/>
        <v>1066.6476265254994</v>
      </c>
      <c r="EO156" s="59">
        <f ca="1">AVERAGE(OFFSET($EN$3,0,0,'Données projet'!$E$15+1,1))-AVERAGE(OFFSET($H$3,0,0,'Données projet'!$E$15+1,1))</f>
        <v>482.99915419700773</v>
      </c>
      <c r="EP156" s="59">
        <f t="shared" si="154"/>
        <v>219.74157899604279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38.22822748162713</v>
      </c>
      <c r="EW156" s="21">
        <f>EXP(-LN(2)/25)*EW155+(1-EXP(-LN(2)/25))/(LN(2)/25)*Calculateur!ER156*Calculateur!ET156*VLOOKUP('Données projet'!$B$15,Paramètres!$A$1:$I$89,3,0)*0.475*44/12</f>
        <v>16.595498160581503</v>
      </c>
      <c r="EX156" s="21">
        <f>EXP(-LN(2)/2)*EX155+(1-EXP(-LN(2)/2))/(LN(2)/2)*ER156*EU156*VLOOKUP('Données projet'!$B$15,Paramètres!$A$1:$I$89,3,0)*0.475*44/12</f>
        <v>1.6337464727421262E-4</v>
      </c>
      <c r="EY156" s="22">
        <f t="shared" si="181"/>
        <v>54.823889016855901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9.3350000000000026</v>
      </c>
      <c r="FE156" s="12">
        <f>IF('Données projet'!$A$218&gt;35,FE155+FD156-FM155,IF(A156&lt;'Données projet'!$A$218,$FB$205^A156,IF(A156='Données projet'!$A$218,'Données projet'!$B$218,FE155+FD156-FM155)))</f>
        <v>537.15500000000088</v>
      </c>
      <c r="FF156" s="17">
        <f>FE156*VLOOKUP('Données projet'!$B$16,Paramètres!$A$1:$I$89,3,0)*VLOOKUP('Données projet'!$B$16,Paramètres!$A$1:$I$89,5,0)</f>
        <v>511.15669800000086</v>
      </c>
      <c r="FG156" s="13">
        <f t="shared" si="182"/>
        <v>113.98046613835052</v>
      </c>
      <c r="FH156" s="20">
        <f t="shared" si="183"/>
        <v>1088.7805608742954</v>
      </c>
      <c r="FI156" s="59">
        <f t="shared" si="131"/>
        <v>1382.1138942076286</v>
      </c>
      <c r="FJ156" s="59">
        <f ca="1">AVERAGE(OFFSET($FI$3,0,0,'Données projet'!$E$16+1,1))-AVERAGE(OFFSET($H$3,0,0,'Données projet'!$E$16+1,1))</f>
        <v>666.1523645983184</v>
      </c>
      <c r="FK156" s="59">
        <f t="shared" si="156"/>
        <v>294.13851344047526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43.99852596941988</v>
      </c>
      <c r="FR156" s="21">
        <f>EXP(-LN(2)/25)*FR155+(1-EXP(-LN(2)/25))/(LN(2)/25)*Calculateur!FM156*Calculateur!FO156*VLOOKUP('Données projet'!$B$16,Paramètres!$A$1:$I$89,3,0)*0.475*44/12</f>
        <v>19.100479015008894</v>
      </c>
      <c r="FS156" s="21">
        <f>EXP(-LN(2)/2)*FS155+(1-EXP(-LN(2)/2))/(LN(2)/2)*FM156*FP156*VLOOKUP('Données projet'!$B$16,Paramètres!$A$1:$I$89,3,0)*0.475*44/12</f>
        <v>2.3176403450527838E-4</v>
      </c>
      <c r="FT156" s="22">
        <f t="shared" si="184"/>
        <v>63.099236748463277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328.55631138162721</v>
      </c>
      <c r="T157" s="59">
        <f t="shared" si="142"/>
        <v>321.81422611044985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8.9765730477569861</v>
      </c>
      <c r="AA157" s="21">
        <f>EXP(-LN(2)/25)*AA156+(1-EXP(-LN(2)/25))/(LN(2)/25)*Calculateur!V157*Calculateur!X157*VLOOKUP('Données projet'!$B$9,Paramètres!$A$1:$I$89,3,0)*0.475*44/12</f>
        <v>4.9316226073314144</v>
      </c>
      <c r="AB157" s="21">
        <f>EXP(-LN(2)/2)*AB156+(1-EXP(-LN(2)/2))/(LN(2)/2)*V157*Y157*VLOOKUP('Données projet'!$B$9,Paramètres!$A$1:$I$89,3,0)*0.475*44/12</f>
        <v>4.1855332751595963E-10</v>
      </c>
      <c r="AC157" s="22">
        <f t="shared" si="163"/>
        <v>13.908195655506955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353.37479213497227</v>
      </c>
      <c r="AO157" s="59">
        <f t="shared" si="144"/>
        <v>345.4750813433123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12.005777807069352</v>
      </c>
      <c r="AV157" s="21">
        <f>EXP(-LN(2)/25)*AV156+(1-EXP(-LN(2)/25))/(LN(2)/25)*Calculateur!AQ157*Calculateur!AS157*VLOOKUP('Données projet'!$B$10,Paramètres!$A$1:$I$89,3,0)*0.475*44/12</f>
        <v>6.5958317207406418</v>
      </c>
      <c r="AW157" s="21">
        <f>EXP(-LN(2)/2)*AW156+(1-EXP(-LN(2)/2))/(LN(2)/2)*AQ157*AT157*VLOOKUP('Données projet'!$B$10,Paramètres!$A$1:$I$89,3,0)*0.475*44/12</f>
        <v>4.5417488730455335E-10</v>
      </c>
      <c r="AX157" s="21">
        <f t="shared" si="166"/>
        <v>18.60160952826417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359.57284550600366</v>
      </c>
      <c r="BJ157" s="59">
        <f t="shared" si="146"/>
        <v>351.38386928091433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12.241185215051104</v>
      </c>
      <c r="BQ157" s="21">
        <f>EXP(-LN(2)/25)*BQ156+(1-EXP(-LN(2)/25))/(LN(2)/25)*Calculateur!BL157*Calculateur!BN157*VLOOKUP('Données projet'!$B$11,Paramètres!$A$1:$I$89,3,0)*0.475*44/12</f>
        <v>6.7251617544806495</v>
      </c>
      <c r="BR157" s="21">
        <f>EXP(-LN(2)/2)*BR156+(1-EXP(-LN(2)/2))/(LN(2)/2)*BL157*BO157*VLOOKUP('Données projet'!$B$11,Paramètres!$A$1:$I$89,3,0)*0.475*44/12</f>
        <v>4.6308027725170221E-10</v>
      </c>
      <c r="BS157" s="22">
        <f t="shared" si="169"/>
        <v>18.966346969994834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-8.5265128291212022E-14</v>
      </c>
      <c r="BZ157" s="13">
        <f>BY157*VLOOKUP('Données projet'!$B$12,Paramètres!$A$1:$I$89,3,0)*VLOOKUP('Données projet'!$B$12,Paramètres!$A$1:$I$89,5,0)</f>
        <v>-6.9167072069831198E-14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159.4660488566085</v>
      </c>
      <c r="CE157" s="59">
        <f t="shared" si="148"/>
        <v>135.33030558297088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2.7436188097048575</v>
      </c>
      <c r="CM157" s="21">
        <f>EXP(-LN(2)/2)*CM156+(1-EXP(-LN(2)/2))/(LN(2)/2)*CG157*CJ157*VLOOKUP('Données projet'!$B$12,Paramètres!$A$1:$I$89,3,0)*0.475*44/12</f>
        <v>5.8312589356747208E-9</v>
      </c>
      <c r="CN157" s="22">
        <f t="shared" si="172"/>
        <v>2.7436188155361165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353.37479213497227</v>
      </c>
      <c r="CZ157" s="59">
        <f t="shared" si="150"/>
        <v>345.4750813433123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12.005777807069352</v>
      </c>
      <c r="DG157" s="21">
        <f>EXP(-LN(2)/25)*DG156+(1-EXP(-LN(2)/25))/(LN(2)/25)*Calculateur!DB157*Calculateur!DD157*VLOOKUP('Données projet'!$B$13,Paramètres!$A$1:$I$89,3,0)*0.475*44/12</f>
        <v>6.5958317207406418</v>
      </c>
      <c r="DH157" s="21">
        <f>EXP(-LN(2)/2)*DH156+(1-EXP(-LN(2)/2))/(LN(2)/2)*DB157*DE157*VLOOKUP('Données projet'!$B$13,Paramètres!$A$1:$I$89,3,0)*0.475*44/12</f>
        <v>4.5417488730455335E-10</v>
      </c>
      <c r="DI157" s="22">
        <f t="shared" si="175"/>
        <v>18.60160952826417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>
        <f>VLOOKUP(A157,'Données projet'!$A$165:$I$185,2,0)</f>
        <v>546.49</v>
      </c>
      <c r="DM157" s="12">
        <f>VLOOKUP(A157,'Données projet'!$A$165:$I$185,9,0)</f>
        <v>9.3350000000000026</v>
      </c>
      <c r="DN157" s="12">
        <f t="array" ref="DN157">INDEX(DM:DM,MIN(IF(ISNUMBER(DM157:DM353),ROW(DM157:DM353),"")))</f>
        <v>9.3350000000000026</v>
      </c>
      <c r="DO157" s="12">
        <f>IF('Données projet'!$A$166&gt;35,DO156+DN157-DW156,IF(A157&lt;'Données projet'!$A$166,$DL$205^A157,IF(A157='Données projet'!$A$166,'Données projet'!$B$166,DO156+DN157-DW156)))</f>
        <v>546.49000000000092</v>
      </c>
      <c r="DP157" s="17">
        <f>DO157*VLOOKUP('Données projet'!$B$14,Paramètres!$A$1:$I$89,3,0)*VLOOKUP('Données projet'!$B$14,Paramètres!$A$1:$I$89,5,0)</f>
        <v>494.46415200000081</v>
      </c>
      <c r="DQ157" s="13">
        <f t="shared" si="176"/>
        <v>110.68520764370523</v>
      </c>
      <c r="DR157" s="20">
        <f t="shared" si="177"/>
        <v>1053.9684680461214</v>
      </c>
      <c r="DS157" s="59">
        <f t="shared" si="125"/>
        <v>1347.3018013794547</v>
      </c>
      <c r="DT157" s="59">
        <f ca="1">AVERAGE(OFFSET($DS$3,0,0,'Données projet'!$E$14+1,1))-AVERAGE(OFFSET($H$3,0,0,'Données projet'!$E$14+1,1))</f>
        <v>635.71275911100679</v>
      </c>
      <c r="DU157" s="59">
        <f t="shared" si="152"/>
        <v>281.7776857269169</v>
      </c>
      <c r="DV157" s="15">
        <f>IF(ISNA(VLOOKUP(A157,'Données projet'!$A$165:$I$185,3,0)),0,VLOOKUP(A157,'Données projet'!$A$165:$I$185,3,0))</f>
        <v>13</v>
      </c>
      <c r="DW157" s="15">
        <f>IF(ISNA(VLOOKUP(A157,'Données projet'!$A$165:$I$185,4,0)),0,VLOOKUP(A157,'Données projet'!$A$165:$I$185,4,0))</f>
        <v>61.050000000000011</v>
      </c>
      <c r="DX157" s="16">
        <f>IF(ISNA(VLOOKUP(A157,'Données projet'!$A$165:$I$185,5,0)),0%,VLOOKUP(A157,'Données projet'!$A$165:$I$185,5,0)*VLOOKUP('Données projet'!$B$14,Paramètres!$A$1:$I$89,7,0))</f>
        <v>0.215</v>
      </c>
      <c r="DY157" s="16">
        <f>IF(ISNA(VLOOKUP(A157,'Données projet'!$A$165:$I$185,6,0)),0%,VLOOKUP(A157,'Données projet'!$A$165:$I$185,6,0)*VLOOKUP('Données projet'!$B$14,Paramètres!$A$1:$I$89,7,0))</f>
        <v>8.6000000000000007E-2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54.143075455710473</v>
      </c>
      <c r="EB157" s="21">
        <f>EXP(-LN(2)/25)*EB156+(1-EXP(-LN(2)/25))/(LN(2)/25)*Calculateur!DW157*Calculateur!DY157*VLOOKUP('Données projet'!$B$14,Paramètres!$A$1:$I$89,3,0)*0.475*44/12</f>
        <v>22.895322941669175</v>
      </c>
      <c r="EC157" s="21">
        <f>EXP(-LN(2)/2)*EC156+(1-EXP(-LN(2)/2))/(LN(2)/2)*DW157*DZ157*VLOOKUP('Données projet'!$B$14,Paramètres!$A$1:$I$89,3,0)*0.475*44/12</f>
        <v>1.5582215385512185E-4</v>
      </c>
      <c r="ED157" s="22">
        <f t="shared" si="178"/>
        <v>77.038554219533509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>
        <f>VLOOKUP(A157,'Données projet'!$A$191:$I$211,2,0)</f>
        <v>546.49</v>
      </c>
      <c r="EH157" s="12">
        <f>VLOOKUP(A157,'Données projet'!$A$191:$I$211,9,0)</f>
        <v>9.3350000000000026</v>
      </c>
      <c r="EI157" s="12">
        <f t="array" ref="EI157">INDEX(EH:EH,MIN(IF(ISNUMBER(EH157:EH353),ROW(EH157:EH353),"")))</f>
        <v>9.3350000000000026</v>
      </c>
      <c r="EJ157" s="12">
        <f>IF('Données projet'!$A$192&gt;35,EJ156+EI157-ER156,IF(A157&lt;'Données projet'!$A$192,$EG$205^A157,IF(A157='Données projet'!$A$192,'Données projet'!$B$192,EJ156+EI157-ER156)))</f>
        <v>546.49000000000092</v>
      </c>
      <c r="EK157" s="17">
        <f>EJ157*VLOOKUP('Données projet'!$B$15,Paramètres!$A$1:$I$89,3,0)*VLOOKUP('Données projet'!$B$15,Paramètres!$A$1:$I$89,5,0)</f>
        <v>366.58549200000061</v>
      </c>
      <c r="EL157" s="13">
        <f t="shared" si="179"/>
        <v>84.968379659387594</v>
      </c>
      <c r="EM157" s="20">
        <f t="shared" si="180"/>
        <v>786.45632647343439</v>
      </c>
      <c r="EN157" s="59">
        <f t="shared" si="128"/>
        <v>1079.7896598067678</v>
      </c>
      <c r="EO157" s="59">
        <f ca="1">AVERAGE(OFFSET($EN$3,0,0,'Données projet'!$E$15+1,1))-AVERAGE(OFFSET($H$3,0,0,'Données projet'!$E$15+1,1))</f>
        <v>482.99915419700773</v>
      </c>
      <c r="EP157" s="59">
        <f t="shared" si="154"/>
        <v>219.74157899604279</v>
      </c>
      <c r="EQ157" s="15">
        <f>IF(ISNA(VLOOKUP(A157,'Données projet'!$A$191:$I$211,3,0)),0,VLOOKUP(A157,'Données projet'!$A$191:$I$211,3,0))</f>
        <v>13</v>
      </c>
      <c r="ER157" s="15">
        <f>IF(ISNA(VLOOKUP(A157,'Données projet'!$A$191:$I$211,4,0)),0,VLOOKUP(A157,'Données projet'!$A$191:$I$211,4,0))</f>
        <v>61.050000000000011</v>
      </c>
      <c r="ES157" s="16">
        <f>IF(ISNA(VLOOKUP(A157,'Données projet'!$A$191:$I$211,5,0)),0%,VLOOKUP(A157,'Données projet'!$A$191:$I$211,5,0)*VLOOKUP('Données projet'!$B$15,Paramètres!$A$1:$I$89,7,0))</f>
        <v>0.26500000000000001</v>
      </c>
      <c r="ET157" s="16">
        <f>IF(ISNA(VLOOKUP(A157,'Données projet'!$A$191:$I$211,6,0)),0%,VLOOKUP(A157,'Données projet'!$A$191:$I$211,6,0)*VLOOKUP('Données projet'!$B$15,Paramètres!$A$1:$I$89,7,0))</f>
        <v>0.10600000000000001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49.475568950907878</v>
      </c>
      <c r="EW157" s="21">
        <f>EXP(-LN(2)/25)*EW156+(1-EXP(-LN(2)/25))/(LN(2)/25)*Calculateur!ER157*Calculateur!ET157*VLOOKUP('Données projet'!$B$15,Paramètres!$A$1:$I$89,3,0)*0.475*44/12</f>
        <v>20.921588205318383</v>
      </c>
      <c r="EX157" s="21">
        <f>EXP(-LN(2)/2)*EX156+(1-EXP(-LN(2)/2))/(LN(2)/2)*ER157*EU157*VLOOKUP('Données projet'!$B$15,Paramètres!$A$1:$I$89,3,0)*0.475*44/12</f>
        <v>1.1552332096155605E-4</v>
      </c>
      <c r="EY157" s="22">
        <f t="shared" si="181"/>
        <v>70.397272679547214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>
        <f>VLOOKUP(A157,'Données projet'!$A$217:$I$237,2,0)</f>
        <v>546.49</v>
      </c>
      <c r="FC157" s="12">
        <f>VLOOKUP(A157,'Données projet'!$A$217:$I$237,9,0)</f>
        <v>9.3350000000000026</v>
      </c>
      <c r="FD157" s="12">
        <f t="array" ref="FD157">INDEX(FC:FC,MIN(IF(ISNUMBER(FC157:FC353),ROW(FC157:FC353),"")))</f>
        <v>9.3350000000000026</v>
      </c>
      <c r="FE157" s="12">
        <f>IF('Données projet'!$A$218&gt;35,FE156+FD157-FM156,IF(A157&lt;'Données projet'!$A$218,$FB$205^A157,IF(A157='Données projet'!$A$218,'Données projet'!$B$218,FE156+FD157-FM156)))</f>
        <v>546.49000000000092</v>
      </c>
      <c r="FF157" s="17">
        <f>FE157*VLOOKUP('Données projet'!$B$16,Paramètres!$A$1:$I$89,3,0)*VLOOKUP('Données projet'!$B$16,Paramètres!$A$1:$I$89,5,0)</f>
        <v>520.03988400000094</v>
      </c>
      <c r="FG157" s="13">
        <f t="shared" si="182"/>
        <v>115.72896023649152</v>
      </c>
      <c r="FH157" s="20">
        <f t="shared" si="183"/>
        <v>1107.2974037118909</v>
      </c>
      <c r="FI157" s="59">
        <f t="shared" si="131"/>
        <v>1400.6307370452241</v>
      </c>
      <c r="FJ157" s="59">
        <f ca="1">AVERAGE(OFFSET($FI$3,0,0,'Données projet'!$E$16+1,1))-AVERAGE(OFFSET($H$3,0,0,'Données projet'!$E$16+1,1))</f>
        <v>666.1523645983184</v>
      </c>
      <c r="FK157" s="59">
        <f t="shared" si="156"/>
        <v>294.13851344047526</v>
      </c>
      <c r="FL157" s="15">
        <f>IF(ISNA(VLOOKUP(A157,'Données projet'!$A$217:$I$237,3,0)),0,VLOOKUP(A157,'Données projet'!$A$217:$I$237,3,0))</f>
        <v>13</v>
      </c>
      <c r="FM157" s="15">
        <f>IF(ISNA(VLOOKUP(A157,'Données projet'!$A$217:$I$237,4,0)),0,VLOOKUP(A157,'Données projet'!$A$217:$I$237,4,0))</f>
        <v>61.050000000000011</v>
      </c>
      <c r="FN157" s="16">
        <f>IF(ISNA(VLOOKUP(A157,'Données projet'!$A$217:$I$237,5,0)),0%,VLOOKUP(A157,'Données projet'!$A$217:$I$237,5,0)*VLOOKUP('Données projet'!$B$16,Paramètres!$A$1:$I$89,7,0))</f>
        <v>0.215</v>
      </c>
      <c r="FO157" s="16">
        <f>IF(ISNA(VLOOKUP(A157,'Données projet'!$A$217:$I$237,6,0)),0%,VLOOKUP(A157,'Données projet'!$A$217:$I$237,6,0)*VLOOKUP('Données projet'!$B$16,Paramètres!$A$1:$I$89,7,0))</f>
        <v>8.6000000000000007E-2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56.943579358592061</v>
      </c>
      <c r="FR157" s="21">
        <f>EXP(-LN(2)/25)*FR156+(1-EXP(-LN(2)/25))/(LN(2)/25)*Calculateur!FM157*Calculateur!FO157*VLOOKUP('Données projet'!$B$16,Paramètres!$A$1:$I$89,3,0)*0.475*44/12</f>
        <v>24.079563783479642</v>
      </c>
      <c r="FS157" s="21">
        <f>EXP(-LN(2)/2)*FS156+(1-EXP(-LN(2)/2))/(LN(2)/2)*FM157*FP157*VLOOKUP('Données projet'!$B$16,Paramètres!$A$1:$I$89,3,0)*0.475*44/12</f>
        <v>1.6388192043383535E-4</v>
      </c>
      <c r="FT157" s="22">
        <f t="shared" si="184"/>
        <v>81.023307023992132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328.55631138162721</v>
      </c>
      <c r="T158" s="59">
        <f t="shared" si="142"/>
        <v>321.81422611044985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8.8005479254594032</v>
      </c>
      <c r="AA158" s="21">
        <f>EXP(-LN(2)/25)*AA157+(1-EXP(-LN(2)/25))/(LN(2)/25)*Calculateur!V158*Calculateur!X158*VLOOKUP('Données projet'!$B$9,Paramètres!$A$1:$I$89,3,0)*0.475*44/12</f>
        <v>4.796767127791175</v>
      </c>
      <c r="AB158" s="21">
        <f>EXP(-LN(2)/2)*AB157+(1-EXP(-LN(2)/2))/(LN(2)/2)*V158*Y158*VLOOKUP('Données projet'!$B$9,Paramètres!$A$1:$I$89,3,0)*0.475*44/12</f>
        <v>2.9596189617472902E-10</v>
      </c>
      <c r="AC158" s="22">
        <f t="shared" si="163"/>
        <v>13.597315053546541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353.37479213497227</v>
      </c>
      <c r="AO158" s="59">
        <f t="shared" si="144"/>
        <v>345.4750813433123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11.770351827074117</v>
      </c>
      <c r="AV158" s="21">
        <f>EXP(-LN(2)/25)*AV157+(1-EXP(-LN(2)/25))/(LN(2)/25)*Calculateur!AQ158*Calculateur!AS158*VLOOKUP('Données projet'!$B$10,Paramètres!$A$1:$I$89,3,0)*0.475*44/12</f>
        <v>6.415468355477274</v>
      </c>
      <c r="AW158" s="21">
        <f>EXP(-LN(2)/2)*AW157+(1-EXP(-LN(2)/2))/(LN(2)/2)*AQ158*AT158*VLOOKUP('Données projet'!$B$10,Paramètres!$A$1:$I$89,3,0)*0.475*44/12</f>
        <v>3.2115014265768568E-10</v>
      </c>
      <c r="AX158" s="21">
        <f t="shared" si="166"/>
        <v>18.185820182872543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359.57284550600366</v>
      </c>
      <c r="BJ158" s="59">
        <f t="shared" si="146"/>
        <v>351.38386928091433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12.001143039369689</v>
      </c>
      <c r="BQ158" s="21">
        <f>EXP(-LN(2)/25)*BQ157+(1-EXP(-LN(2)/25))/(LN(2)/25)*Calculateur!BL158*Calculateur!BN158*VLOOKUP('Données projet'!$B$11,Paramètres!$A$1:$I$89,3,0)*0.475*44/12</f>
        <v>6.5412618526434896</v>
      </c>
      <c r="BR158" s="21">
        <f>EXP(-LN(2)/2)*BR157+(1-EXP(-LN(2)/2))/(LN(2)/2)*BL158*BO158*VLOOKUP('Données projet'!$B$11,Paramètres!$A$1:$I$89,3,0)*0.475*44/12</f>
        <v>3.2744720427842517E-10</v>
      </c>
      <c r="BS158" s="22">
        <f t="shared" si="169"/>
        <v>18.542404892340624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-8.5265128291212022E-14</v>
      </c>
      <c r="BZ158" s="13">
        <f>BY158*VLOOKUP('Données projet'!$B$12,Paramètres!$A$1:$I$89,3,0)*VLOOKUP('Données projet'!$B$12,Paramètres!$A$1:$I$89,5,0)</f>
        <v>-6.9167072069831198E-14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159.4660488566085</v>
      </c>
      <c r="CE158" s="59">
        <f t="shared" si="148"/>
        <v>135.33030558297088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2.6685944090728357</v>
      </c>
      <c r="CM158" s="21">
        <f>EXP(-LN(2)/2)*CM157+(1-EXP(-LN(2)/2))/(LN(2)/2)*CG158*CJ158*VLOOKUP('Données projet'!$B$12,Paramètres!$A$1:$I$89,3,0)*0.475*44/12</f>
        <v>4.1233227362702447E-9</v>
      </c>
      <c r="CN158" s="22">
        <f t="shared" si="172"/>
        <v>2.6685944131961583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353.37479213497227</v>
      </c>
      <c r="CZ158" s="59">
        <f t="shared" si="150"/>
        <v>345.4750813433123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11.770351827074117</v>
      </c>
      <c r="DG158" s="21">
        <f>EXP(-LN(2)/25)*DG157+(1-EXP(-LN(2)/25))/(LN(2)/25)*Calculateur!DB158*Calculateur!DD158*VLOOKUP('Données projet'!$B$13,Paramètres!$A$1:$I$89,3,0)*0.475*44/12</f>
        <v>6.415468355477274</v>
      </c>
      <c r="DH158" s="21">
        <f>EXP(-LN(2)/2)*DH157+(1-EXP(-LN(2)/2))/(LN(2)/2)*DB158*DE158*VLOOKUP('Données projet'!$B$13,Paramètres!$A$1:$I$89,3,0)*0.475*44/12</f>
        <v>3.2115014265768568E-10</v>
      </c>
      <c r="DI158" s="22">
        <f t="shared" si="175"/>
        <v>18.185820182872543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9.4880000000000049</v>
      </c>
      <c r="DO158" s="12">
        <f>IF('Données projet'!$A$166&gt;35,DO157+DN158-DW157,IF(A158&lt;'Données projet'!$A$166,$DL$205^A158,IF(A158='Données projet'!$A$166,'Données projet'!$B$166,DO157+DN158-DW157)))</f>
        <v>494.92800000000096</v>
      </c>
      <c r="DP158" s="17">
        <f>DO158*VLOOKUP('Données projet'!$B$14,Paramètres!$A$1:$I$89,3,0)*VLOOKUP('Données projet'!$B$14,Paramètres!$A$1:$I$89,5,0)</f>
        <v>447.81085440000084</v>
      </c>
      <c r="DQ158" s="13">
        <f t="shared" si="176"/>
        <v>101.40497625718913</v>
      </c>
      <c r="DR158" s="20">
        <f t="shared" si="177"/>
        <v>956.55090506127237</v>
      </c>
      <c r="DS158" s="59">
        <f t="shared" si="125"/>
        <v>1249.8842383946057</v>
      </c>
      <c r="DT158" s="59">
        <f ca="1">AVERAGE(OFFSET($DS$3,0,0,'Données projet'!$E$14+1,1))-AVERAGE(OFFSET($H$3,0,0,'Données projet'!$E$14+1,1))</f>
        <v>635.71275911100679</v>
      </c>
      <c r="DU158" s="59">
        <f t="shared" si="152"/>
        <v>281.7776857269169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53.081362770039171</v>
      </c>
      <c r="EB158" s="21">
        <f>EXP(-LN(2)/25)*EB157+(1-EXP(-LN(2)/25))/(LN(2)/25)*Calculateur!DW158*Calculateur!DY158*VLOOKUP('Données projet'!$B$14,Paramètres!$A$1:$I$89,3,0)*0.475*44/12</f>
        <v>22.269249131816526</v>
      </c>
      <c r="EC158" s="21">
        <f>EXP(-LN(2)/2)*EC157+(1-EXP(-LN(2)/2))/(LN(2)/2)*DW158*DZ158*VLOOKUP('Données projet'!$B$14,Paramètres!$A$1:$I$89,3,0)*0.475*44/12</f>
        <v>1.1018290165005019E-4</v>
      </c>
      <c r="ED158" s="22">
        <f t="shared" si="178"/>
        <v>75.350722084757351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9.4880000000000049</v>
      </c>
      <c r="EJ158" s="12">
        <f>IF('Données projet'!$A$192&gt;35,EJ157+EI158-ER157,IF(A158&lt;'Données projet'!$A$192,$EG$205^A158,IF(A158='Données projet'!$A$192,'Données projet'!$B$192,EJ157+EI158-ER157)))</f>
        <v>494.92800000000096</v>
      </c>
      <c r="EK158" s="17">
        <f>EJ158*VLOOKUP('Données projet'!$B$15,Paramètres!$A$1:$I$89,3,0)*VLOOKUP('Données projet'!$B$15,Paramètres!$A$1:$I$89,5,0)</f>
        <v>331.99770240000061</v>
      </c>
      <c r="EL158" s="13">
        <f t="shared" si="179"/>
        <v>77.844336252298078</v>
      </c>
      <c r="EM158" s="20">
        <f t="shared" si="180"/>
        <v>713.80821731942024</v>
      </c>
      <c r="EN158" s="59">
        <f t="shared" si="128"/>
        <v>1007.1415506527535</v>
      </c>
      <c r="EO158" s="59">
        <f ca="1">AVERAGE(OFFSET($EN$3,0,0,'Données projet'!$E$15+1,1))-AVERAGE(OFFSET($H$3,0,0,'Données projet'!$E$15+1,1))</f>
        <v>482.99915419700773</v>
      </c>
      <c r="EP158" s="59">
        <f t="shared" si="154"/>
        <v>219.74157899604279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48.50538322089789</v>
      </c>
      <c r="EW158" s="21">
        <f>EXP(-LN(2)/25)*EW157+(1-EXP(-LN(2)/25))/(LN(2)/25)*Calculateur!ER158*Calculateur!ET158*VLOOKUP('Données projet'!$B$15,Paramètres!$A$1:$I$89,3,0)*0.475*44/12</f>
        <v>20.349486275625445</v>
      </c>
      <c r="EX158" s="21">
        <f>EXP(-LN(2)/2)*EX157+(1-EXP(-LN(2)/2))/(LN(2)/2)*ER158*EU158*VLOOKUP('Données projet'!$B$15,Paramètres!$A$1:$I$89,3,0)*0.475*44/12</f>
        <v>8.1687323637106324E-5</v>
      </c>
      <c r="EY158" s="22">
        <f t="shared" si="181"/>
        <v>68.854951183846978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9.4880000000000049</v>
      </c>
      <c r="FE158" s="12">
        <f>IF('Données projet'!$A$218&gt;35,FE157+FD158-FM157,IF(A158&lt;'Données projet'!$A$218,$FB$205^A158,IF(A158='Données projet'!$A$218,'Données projet'!$B$218,FE157+FD158-FM157)))</f>
        <v>494.92800000000096</v>
      </c>
      <c r="FF158" s="17">
        <f>FE158*VLOOKUP('Données projet'!$B$16,Paramètres!$A$1:$I$89,3,0)*VLOOKUP('Données projet'!$B$16,Paramètres!$A$1:$I$89,5,0)</f>
        <v>470.97348480000096</v>
      </c>
      <c r="FG158" s="13">
        <f t="shared" si="182"/>
        <v>106.02584315355907</v>
      </c>
      <c r="FH158" s="20">
        <f t="shared" si="183"/>
        <v>1004.9404961857837</v>
      </c>
      <c r="FI158" s="59">
        <f t="shared" si="131"/>
        <v>1298.273829519117</v>
      </c>
      <c r="FJ158" s="59">
        <f ca="1">AVERAGE(OFFSET($FI$3,0,0,'Données projet'!$E$16+1,1))-AVERAGE(OFFSET($H$3,0,0,'Données projet'!$E$16+1,1))</f>
        <v>666.1523645983184</v>
      </c>
      <c r="FK158" s="59">
        <f t="shared" si="156"/>
        <v>294.13851344047526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55.826950499523967</v>
      </c>
      <c r="FR158" s="21">
        <f>EXP(-LN(2)/25)*FR157+(1-EXP(-LN(2)/25))/(LN(2)/25)*Calculateur!FM158*Calculateur!FO158*VLOOKUP('Données projet'!$B$16,Paramètres!$A$1:$I$89,3,0)*0.475*44/12</f>
        <v>23.421106845531167</v>
      </c>
      <c r="FS158" s="21">
        <f>EXP(-LN(2)/2)*FS157+(1-EXP(-LN(2)/2))/(LN(2)/2)*FM158*FP158*VLOOKUP('Données projet'!$B$16,Paramètres!$A$1:$I$89,3,0)*0.475*44/12</f>
        <v>1.1588201725263922E-4</v>
      </c>
      <c r="FT158" s="22">
        <f t="shared" si="184"/>
        <v>79.248173227072385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328.55631138162721</v>
      </c>
      <c r="T159" s="59">
        <f t="shared" si="142"/>
        <v>321.81422611044985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8.6279745484453514</v>
      </c>
      <c r="AA159" s="21">
        <f>EXP(-LN(2)/25)*AA158+(1-EXP(-LN(2)/25))/(LN(2)/25)*Calculateur!V159*Calculateur!X159*VLOOKUP('Données projet'!$B$9,Paramètres!$A$1:$I$89,3,0)*0.475*44/12</f>
        <v>4.6655992784307054</v>
      </c>
      <c r="AB159" s="21">
        <f>EXP(-LN(2)/2)*AB158+(1-EXP(-LN(2)/2))/(LN(2)/2)*V159*Y159*VLOOKUP('Données projet'!$B$9,Paramètres!$A$1:$I$89,3,0)*0.475*44/12</f>
        <v>2.0927666375797981E-10</v>
      </c>
      <c r="AC159" s="22">
        <f t="shared" si="163"/>
        <v>13.293573827085332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353.37479213497227</v>
      </c>
      <c r="AO159" s="59">
        <f t="shared" si="144"/>
        <v>345.4750813433123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11.53954240695092</v>
      </c>
      <c r="AV159" s="21">
        <f>EXP(-LN(2)/25)*AV158+(1-EXP(-LN(2)/25))/(LN(2)/25)*Calculateur!AQ159*Calculateur!AS159*VLOOKUP('Données projet'!$B$10,Paramètres!$A$1:$I$89,3,0)*0.475*44/12</f>
        <v>6.2400370359219295</v>
      </c>
      <c r="AW159" s="21">
        <f>EXP(-LN(2)/2)*AW158+(1-EXP(-LN(2)/2))/(LN(2)/2)*AQ159*AT159*VLOOKUP('Données projet'!$B$10,Paramètres!$A$1:$I$89,3,0)*0.475*44/12</f>
        <v>2.2708744365227668E-10</v>
      </c>
      <c r="AX159" s="21">
        <f t="shared" si="166"/>
        <v>17.779579443099937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359.57284550600366</v>
      </c>
      <c r="BJ159" s="59">
        <f t="shared" si="146"/>
        <v>351.38386928091433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11.765807944342116</v>
      </c>
      <c r="BQ159" s="21">
        <f>EXP(-LN(2)/25)*BQ158+(1-EXP(-LN(2)/25))/(LN(2)/25)*Calculateur!BL159*Calculateur!BN159*VLOOKUP('Données projet'!$B$11,Paramètres!$A$1:$I$89,3,0)*0.475*44/12</f>
        <v>6.3623907032929425</v>
      </c>
      <c r="BR159" s="21">
        <f>EXP(-LN(2)/2)*BR158+(1-EXP(-LN(2)/2))/(LN(2)/2)*BL159*BO159*VLOOKUP('Données projet'!$B$11,Paramètres!$A$1:$I$89,3,0)*0.475*44/12</f>
        <v>2.3154013862585113E-10</v>
      </c>
      <c r="BS159" s="22">
        <f t="shared" si="169"/>
        <v>18.128198647866601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-8.5265128291212022E-14</v>
      </c>
      <c r="BZ159" s="13">
        <f>BY159*VLOOKUP('Données projet'!$B$12,Paramètres!$A$1:$I$89,3,0)*VLOOKUP('Données projet'!$B$12,Paramètres!$A$1:$I$89,5,0)</f>
        <v>-6.9167072069831198E-14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159.4660488566085</v>
      </c>
      <c r="CE159" s="59">
        <f t="shared" si="148"/>
        <v>135.33030558297088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2.595621554621458</v>
      </c>
      <c r="CM159" s="21">
        <f>EXP(-LN(2)/2)*CM158+(1-EXP(-LN(2)/2))/(LN(2)/2)*CG159*CJ159*VLOOKUP('Données projet'!$B$12,Paramètres!$A$1:$I$89,3,0)*0.475*44/12</f>
        <v>2.9156294678373604E-9</v>
      </c>
      <c r="CN159" s="22">
        <f t="shared" si="172"/>
        <v>2.5956215575370876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353.37479213497227</v>
      </c>
      <c r="CZ159" s="59">
        <f t="shared" si="150"/>
        <v>345.4750813433123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11.53954240695092</v>
      </c>
      <c r="DG159" s="21">
        <f>EXP(-LN(2)/25)*DG158+(1-EXP(-LN(2)/25))/(LN(2)/25)*Calculateur!DB159*Calculateur!DD159*VLOOKUP('Données projet'!$B$13,Paramètres!$A$1:$I$89,3,0)*0.475*44/12</f>
        <v>6.2400370359219295</v>
      </c>
      <c r="DH159" s="21">
        <f>EXP(-LN(2)/2)*DH158+(1-EXP(-LN(2)/2))/(LN(2)/2)*DB159*DE159*VLOOKUP('Données projet'!$B$13,Paramètres!$A$1:$I$89,3,0)*0.475*44/12</f>
        <v>2.2708744365227668E-10</v>
      </c>
      <c r="DI159" s="22">
        <f t="shared" si="175"/>
        <v>17.779579443099937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9.4880000000000049</v>
      </c>
      <c r="DO159" s="12">
        <f>IF('Données projet'!$A$166&gt;35,DO158+DN159-DW158,IF(A159&lt;'Données projet'!$A$166,$DL$205^A159,IF(A159='Données projet'!$A$166,'Données projet'!$B$166,DO158+DN159-DW158)))</f>
        <v>504.41600000000096</v>
      </c>
      <c r="DP159" s="17">
        <f>DO159*VLOOKUP('Données projet'!$B$14,Paramètres!$A$1:$I$89,3,0)*VLOOKUP('Données projet'!$B$14,Paramètres!$A$1:$I$89,5,0)</f>
        <v>456.39559680000082</v>
      </c>
      <c r="DQ159" s="13">
        <f t="shared" si="176"/>
        <v>103.12077454694855</v>
      </c>
      <c r="DR159" s="20">
        <f t="shared" si="177"/>
        <v>974.49101342927031</v>
      </c>
      <c r="DS159" s="59">
        <f t="shared" si="125"/>
        <v>1267.8243467626037</v>
      </c>
      <c r="DT159" s="59">
        <f ca="1">AVERAGE(OFFSET($DS$3,0,0,'Données projet'!$E$14+1,1))-AVERAGE(OFFSET($H$3,0,0,'Données projet'!$E$14+1,1))</f>
        <v>635.71275911100679</v>
      </c>
      <c r="DU159" s="59">
        <f t="shared" si="152"/>
        <v>281.7776857269169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52.040469622553083</v>
      </c>
      <c r="EB159" s="21">
        <f>EXP(-LN(2)/25)*EB158+(1-EXP(-LN(2)/25))/(LN(2)/25)*Calculateur!DW159*Calculateur!DY159*VLOOKUP('Données projet'!$B$14,Paramètres!$A$1:$I$89,3,0)*0.475*44/12</f>
        <v>21.660295343218088</v>
      </c>
      <c r="EC159" s="21">
        <f>EXP(-LN(2)/2)*EC158+(1-EXP(-LN(2)/2))/(LN(2)/2)*DW159*DZ159*VLOOKUP('Données projet'!$B$14,Paramètres!$A$1:$I$89,3,0)*0.475*44/12</f>
        <v>7.7911076927560926E-5</v>
      </c>
      <c r="ED159" s="22">
        <f t="shared" si="178"/>
        <v>73.7008428768481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9.4880000000000049</v>
      </c>
      <c r="EJ159" s="12">
        <f>IF('Données projet'!$A$192&gt;35,EJ158+EI159-ER158,IF(A159&lt;'Données projet'!$A$192,$EG$205^A159,IF(A159='Données projet'!$A$192,'Données projet'!$B$192,EJ158+EI159-ER158)))</f>
        <v>504.41600000000096</v>
      </c>
      <c r="EK159" s="17">
        <f>EJ159*VLOOKUP('Données projet'!$B$15,Paramètres!$A$1:$I$89,3,0)*VLOOKUP('Données projet'!$B$15,Paramètres!$A$1:$I$89,5,0)</f>
        <v>338.36225280000065</v>
      </c>
      <c r="EL159" s="13">
        <f t="shared" si="179"/>
        <v>79.161482451025137</v>
      </c>
      <c r="EM159" s="20">
        <f t="shared" si="180"/>
        <v>727.18717222886983</v>
      </c>
      <c r="EN159" s="59">
        <f t="shared" si="128"/>
        <v>1020.5205055622032</v>
      </c>
      <c r="EO159" s="59">
        <f ca="1">AVERAGE(OFFSET($EN$3,0,0,'Données projet'!$E$15+1,1))-AVERAGE(OFFSET($H$3,0,0,'Données projet'!$E$15+1,1))</f>
        <v>482.99915419700773</v>
      </c>
      <c r="EP159" s="59">
        <f t="shared" si="154"/>
        <v>219.74157899604279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47.554222241298532</v>
      </c>
      <c r="EW159" s="21">
        <f>EXP(-LN(2)/25)*EW158+(1-EXP(-LN(2)/25))/(LN(2)/25)*Calculateur!ER159*Calculateur!ET159*VLOOKUP('Données projet'!$B$15,Paramètres!$A$1:$I$89,3,0)*0.475*44/12</f>
        <v>19.793028503285495</v>
      </c>
      <c r="EX159" s="21">
        <f>EXP(-LN(2)/2)*EX158+(1-EXP(-LN(2)/2))/(LN(2)/2)*ER159*EU159*VLOOKUP('Données projet'!$B$15,Paramètres!$A$1:$I$89,3,0)*0.475*44/12</f>
        <v>5.7761660480778039E-5</v>
      </c>
      <c r="EY159" s="22">
        <f t="shared" si="181"/>
        <v>67.347308506244516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9.4880000000000049</v>
      </c>
      <c r="FE159" s="12">
        <f>IF('Données projet'!$A$218&gt;35,FE158+FD159-FM158,IF(A159&lt;'Données projet'!$A$218,$FB$205^A159,IF(A159='Données projet'!$A$218,'Données projet'!$B$218,FE158+FD159-FM158)))</f>
        <v>504.41600000000096</v>
      </c>
      <c r="FF159" s="17">
        <f>FE159*VLOOKUP('Données projet'!$B$16,Paramètres!$A$1:$I$89,3,0)*VLOOKUP('Données projet'!$B$16,Paramètres!$A$1:$I$89,5,0)</f>
        <v>480.0022656000009</v>
      </c>
      <c r="FG159" s="13">
        <f t="shared" si="182"/>
        <v>107.81982770015364</v>
      </c>
      <c r="FH159" s="20">
        <f t="shared" si="183"/>
        <v>1023.7901458311022</v>
      </c>
      <c r="FI159" s="59">
        <f t="shared" si="131"/>
        <v>1317.1234791644356</v>
      </c>
      <c r="FJ159" s="59">
        <f ca="1">AVERAGE(OFFSET($FI$3,0,0,'Données projet'!$E$16+1,1))-AVERAGE(OFFSET($H$3,0,0,'Données projet'!$E$16+1,1))</f>
        <v>666.1523645983184</v>
      </c>
      <c r="FK159" s="59">
        <f t="shared" si="156"/>
        <v>294.13851344047526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54.732218051305843</v>
      </c>
      <c r="FR159" s="21">
        <f>EXP(-LN(2)/25)*FR158+(1-EXP(-LN(2)/25))/(LN(2)/25)*Calculateur!FM159*Calculateur!FO159*VLOOKUP('Données projet'!$B$16,Paramètres!$A$1:$I$89,3,0)*0.475*44/12</f>
        <v>22.780655447177637</v>
      </c>
      <c r="FS159" s="21">
        <f>EXP(-LN(2)/2)*FS158+(1-EXP(-LN(2)/2))/(LN(2)/2)*FM159*FP159*VLOOKUP('Données projet'!$B$16,Paramètres!$A$1:$I$89,3,0)*0.475*44/12</f>
        <v>8.1940960216917688E-5</v>
      </c>
      <c r="FT159" s="22">
        <f t="shared" si="184"/>
        <v>77.512955439443701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328.55631138162721</v>
      </c>
      <c r="T160" s="59">
        <f t="shared" si="142"/>
        <v>321.81422611044985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8.4587852300951791</v>
      </c>
      <c r="AA160" s="21">
        <f>EXP(-LN(2)/25)*AA159+(1-EXP(-LN(2)/25))/(LN(2)/25)*Calculateur!V160*Calculateur!X160*VLOOKUP('Données projet'!$B$9,Paramètres!$A$1:$I$89,3,0)*0.475*44/12</f>
        <v>4.5380182208088149</v>
      </c>
      <c r="AB160" s="21">
        <f>EXP(-LN(2)/2)*AB159+(1-EXP(-LN(2)/2))/(LN(2)/2)*V160*Y160*VLOOKUP('Données projet'!$B$9,Paramètres!$A$1:$I$89,3,0)*0.475*44/12</f>
        <v>1.4798094808736451E-10</v>
      </c>
      <c r="AC160" s="22">
        <f t="shared" si="163"/>
        <v>12.996803451051974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353.37479213497227</v>
      </c>
      <c r="AO160" s="59">
        <f t="shared" si="144"/>
        <v>345.4750813433123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11.313259018776494</v>
      </c>
      <c r="AV160" s="21">
        <f>EXP(-LN(2)/25)*AV159+(1-EXP(-LN(2)/25))/(LN(2)/25)*Calculateur!AQ160*Calculateur!AS160*VLOOKUP('Données projet'!$B$10,Paramètres!$A$1:$I$89,3,0)*0.475*44/12</f>
        <v>6.069402895025358</v>
      </c>
      <c r="AW160" s="21">
        <f>EXP(-LN(2)/2)*AW159+(1-EXP(-LN(2)/2))/(LN(2)/2)*AQ160*AT160*VLOOKUP('Données projet'!$B$10,Paramètres!$A$1:$I$89,3,0)*0.475*44/12</f>
        <v>1.6057507132884284E-10</v>
      </c>
      <c r="AX160" s="21">
        <f t="shared" si="166"/>
        <v>17.382661913962426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359.57284550600366</v>
      </c>
      <c r="BJ160" s="59">
        <f t="shared" si="146"/>
        <v>351.38386928091433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11.535087626987799</v>
      </c>
      <c r="BQ160" s="21">
        <f>EXP(-LN(2)/25)*BQ159+(1-EXP(-LN(2)/25))/(LN(2)/25)*Calculateur!BL160*Calculateur!BN160*VLOOKUP('Données projet'!$B$11,Paramètres!$A$1:$I$89,3,0)*0.475*44/12</f>
        <v>6.1884107949278118</v>
      </c>
      <c r="BR160" s="21">
        <f>EXP(-LN(2)/2)*BR159+(1-EXP(-LN(2)/2))/(LN(2)/2)*BL160*BO160*VLOOKUP('Données projet'!$B$11,Paramètres!$A$1:$I$89,3,0)*0.475*44/12</f>
        <v>1.6372360213921261E-10</v>
      </c>
      <c r="BS160" s="22">
        <f t="shared" si="169"/>
        <v>17.723498422079334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-8.5265128291212022E-14</v>
      </c>
      <c r="BZ160" s="13">
        <f>BY160*VLOOKUP('Données projet'!$B$12,Paramètres!$A$1:$I$89,3,0)*VLOOKUP('Données projet'!$B$12,Paramètres!$A$1:$I$89,5,0)</f>
        <v>-6.9167072069831198E-14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159.4660488566085</v>
      </c>
      <c r="CE160" s="59">
        <f t="shared" si="148"/>
        <v>135.33030558297088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2.5246441467125291</v>
      </c>
      <c r="CM160" s="21">
        <f>EXP(-LN(2)/2)*CM159+(1-EXP(-LN(2)/2))/(LN(2)/2)*CG160*CJ160*VLOOKUP('Données projet'!$B$12,Paramètres!$A$1:$I$89,3,0)*0.475*44/12</f>
        <v>2.0616613681351223E-9</v>
      </c>
      <c r="CN160" s="22">
        <f t="shared" si="172"/>
        <v>2.5246441487741906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353.37479213497227</v>
      </c>
      <c r="CZ160" s="59">
        <f t="shared" si="150"/>
        <v>345.4750813433123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11.313259018776494</v>
      </c>
      <c r="DG160" s="21">
        <f>EXP(-LN(2)/25)*DG159+(1-EXP(-LN(2)/25))/(LN(2)/25)*Calculateur!DB160*Calculateur!DD160*VLOOKUP('Données projet'!$B$13,Paramètres!$A$1:$I$89,3,0)*0.475*44/12</f>
        <v>6.069402895025358</v>
      </c>
      <c r="DH160" s="21">
        <f>EXP(-LN(2)/2)*DH159+(1-EXP(-LN(2)/2))/(LN(2)/2)*DB160*DE160*VLOOKUP('Données projet'!$B$13,Paramètres!$A$1:$I$89,3,0)*0.475*44/12</f>
        <v>1.6057507132884284E-10</v>
      </c>
      <c r="DI160" s="22">
        <f t="shared" si="175"/>
        <v>17.382661913962426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9.4880000000000049</v>
      </c>
      <c r="DO160" s="12">
        <f>IF('Données projet'!$A$166&gt;35,DO159+DN160-DW159,IF(A160&lt;'Données projet'!$A$166,$DL$205^A160,IF(A160='Données projet'!$A$166,'Données projet'!$B$166,DO159+DN160-DW159)))</f>
        <v>513.90400000000102</v>
      </c>
      <c r="DP160" s="17">
        <f>DO160*VLOOKUP('Données projet'!$B$14,Paramètres!$A$1:$I$89,3,0)*VLOOKUP('Données projet'!$B$14,Paramètres!$A$1:$I$89,5,0)</f>
        <v>464.98033920000091</v>
      </c>
      <c r="DQ160" s="13">
        <f t="shared" si="176"/>
        <v>104.83282002515982</v>
      </c>
      <c r="DR160" s="20">
        <f t="shared" si="177"/>
        <v>992.4245856504881</v>
      </c>
      <c r="DS160" s="59">
        <f t="shared" si="125"/>
        <v>1285.7579189838214</v>
      </c>
      <c r="DT160" s="59">
        <f ca="1">AVERAGE(OFFSET($DS$3,0,0,'Données projet'!$E$14+1,1))-AVERAGE(OFFSET($H$3,0,0,'Données projet'!$E$14+1,1))</f>
        <v>635.71275911100679</v>
      </c>
      <c r="DU160" s="59">
        <f t="shared" si="152"/>
        <v>281.7776857269169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51.019987754807069</v>
      </c>
      <c r="EB160" s="21">
        <f>EXP(-LN(2)/25)*EB159+(1-EXP(-LN(2)/25))/(LN(2)/25)*Calculateur!DW160*Calculateur!DY160*VLOOKUP('Données projet'!$B$14,Paramètres!$A$1:$I$89,3,0)*0.475*44/12</f>
        <v>21.067993427992363</v>
      </c>
      <c r="EC160" s="21">
        <f>EXP(-LN(2)/2)*EC159+(1-EXP(-LN(2)/2))/(LN(2)/2)*DW160*DZ160*VLOOKUP('Données projet'!$B$14,Paramètres!$A$1:$I$89,3,0)*0.475*44/12</f>
        <v>5.5091450825025096E-5</v>
      </c>
      <c r="ED160" s="22">
        <f t="shared" si="178"/>
        <v>72.088036274250257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9.4880000000000049</v>
      </c>
      <c r="EJ160" s="12">
        <f>IF('Données projet'!$A$192&gt;35,EJ159+EI160-ER159,IF(A160&lt;'Données projet'!$A$192,$EG$205^A160,IF(A160='Données projet'!$A$192,'Données projet'!$B$192,EJ159+EI160-ER159)))</f>
        <v>513.90400000000102</v>
      </c>
      <c r="EK160" s="17">
        <f>EJ160*VLOOKUP('Données projet'!$B$15,Paramètres!$A$1:$I$89,3,0)*VLOOKUP('Données projet'!$B$15,Paramètres!$A$1:$I$89,5,0)</f>
        <v>344.72680320000069</v>
      </c>
      <c r="EL160" s="13">
        <f t="shared" si="179"/>
        <v>80.475747774130014</v>
      </c>
      <c r="EM160" s="20">
        <f t="shared" si="180"/>
        <v>740.56110961327749</v>
      </c>
      <c r="EN160" s="59">
        <f t="shared" si="128"/>
        <v>1033.8944429466108</v>
      </c>
      <c r="EO160" s="59">
        <f ca="1">AVERAGE(OFFSET($EN$3,0,0,'Données projet'!$E$15+1,1))-AVERAGE(OFFSET($H$3,0,0,'Données projet'!$E$15+1,1))</f>
        <v>482.99915419700773</v>
      </c>
      <c r="EP160" s="59">
        <f t="shared" si="154"/>
        <v>219.74157899604279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46.621712948358208</v>
      </c>
      <c r="EW160" s="21">
        <f>EXP(-LN(2)/25)*EW159+(1-EXP(-LN(2)/25))/(LN(2)/25)*Calculateur!ER160*Calculateur!ET160*VLOOKUP('Données projet'!$B$15,Paramètres!$A$1:$I$89,3,0)*0.475*44/12</f>
        <v>19.25178709799302</v>
      </c>
      <c r="EX160" s="21">
        <f>EXP(-LN(2)/2)*EX159+(1-EXP(-LN(2)/2))/(LN(2)/2)*ER160*EU160*VLOOKUP('Données projet'!$B$15,Paramètres!$A$1:$I$89,3,0)*0.475*44/12</f>
        <v>4.0843661818553169E-5</v>
      </c>
      <c r="EY160" s="22">
        <f t="shared" si="181"/>
        <v>65.873540890013047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9.4880000000000049</v>
      </c>
      <c r="FE160" s="12">
        <f>IF('Données projet'!$A$218&gt;35,FE159+FD160-FM159,IF(A160&lt;'Données projet'!$A$218,$FB$205^A160,IF(A160='Données projet'!$A$218,'Données projet'!$B$218,FE159+FD160-FM159)))</f>
        <v>513.90400000000102</v>
      </c>
      <c r="FF160" s="17">
        <f>FE160*VLOOKUP('Données projet'!$B$16,Paramètres!$A$1:$I$89,3,0)*VLOOKUP('Données projet'!$B$16,Paramètres!$A$1:$I$89,5,0)</f>
        <v>489.03104640000095</v>
      </c>
      <c r="FG160" s="13">
        <f t="shared" si="182"/>
        <v>109.60988842542025</v>
      </c>
      <c r="FH160" s="20">
        <f t="shared" si="183"/>
        <v>1042.6329614876088</v>
      </c>
      <c r="FI160" s="59">
        <f t="shared" si="131"/>
        <v>1335.966294820942</v>
      </c>
      <c r="FJ160" s="59">
        <f ca="1">AVERAGE(OFFSET($FI$3,0,0,'Données projet'!$E$16+1,1))-AVERAGE(OFFSET($H$3,0,0,'Données projet'!$E$16+1,1))</f>
        <v>666.1523645983184</v>
      </c>
      <c r="FK160" s="59">
        <f t="shared" si="156"/>
        <v>294.13851344047526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53.658952638676411</v>
      </c>
      <c r="FR160" s="21">
        <f>EXP(-LN(2)/25)*FR159+(1-EXP(-LN(2)/25))/(LN(2)/25)*Calculateur!FM160*Calculateur!FO160*VLOOKUP('Données projet'!$B$16,Paramètres!$A$1:$I$89,3,0)*0.475*44/12</f>
        <v>22.157717225991959</v>
      </c>
      <c r="FS160" s="21">
        <f>EXP(-LN(2)/2)*FS159+(1-EXP(-LN(2)/2))/(LN(2)/2)*FM160*FP160*VLOOKUP('Données projet'!$B$16,Paramètres!$A$1:$I$89,3,0)*0.475*44/12</f>
        <v>5.7941008626319615E-5</v>
      </c>
      <c r="FT160" s="22">
        <f t="shared" si="184"/>
        <v>75.81672780567699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328.55631138162721</v>
      </c>
      <c r="T161" s="59">
        <f t="shared" si="142"/>
        <v>321.81422611044985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8.2929136110825592</v>
      </c>
      <c r="AA161" s="21">
        <f>EXP(-LN(2)/25)*AA160+(1-EXP(-LN(2)/25))/(LN(2)/25)*Calculateur!V161*Calculateur!X161*VLOOKUP('Données projet'!$B$9,Paramètres!$A$1:$I$89,3,0)*0.475*44/12</f>
        <v>4.4139258739167913</v>
      </c>
      <c r="AB161" s="21">
        <f>EXP(-LN(2)/2)*AB160+(1-EXP(-LN(2)/2))/(LN(2)/2)*V161*Y161*VLOOKUP('Données projet'!$B$9,Paramètres!$A$1:$I$89,3,0)*0.475*44/12</f>
        <v>1.0463833187898991E-10</v>
      </c>
      <c r="AC161" s="22">
        <f t="shared" si="163"/>
        <v>12.706839485103988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353.37479213497227</v>
      </c>
      <c r="AO161" s="59">
        <f t="shared" si="144"/>
        <v>345.4750813433123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11.09141290982493</v>
      </c>
      <c r="AV161" s="21">
        <f>EXP(-LN(2)/25)*AV160+(1-EXP(-LN(2)/25))/(LN(2)/25)*Calculateur!AQ161*Calculateur!AS161*VLOOKUP('Données projet'!$B$10,Paramètres!$A$1:$I$89,3,0)*0.475*44/12</f>
        <v>5.9034347536848628</v>
      </c>
      <c r="AW161" s="21">
        <f>EXP(-LN(2)/2)*AW160+(1-EXP(-LN(2)/2))/(LN(2)/2)*AQ161*AT161*VLOOKUP('Données projet'!$B$10,Paramètres!$A$1:$I$89,3,0)*0.475*44/12</f>
        <v>1.1354372182613834E-10</v>
      </c>
      <c r="AX161" s="21">
        <f t="shared" si="166"/>
        <v>16.994847663623339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359.57284550600366</v>
      </c>
      <c r="BJ161" s="59">
        <f t="shared" si="146"/>
        <v>351.38386928091433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11.308891594331303</v>
      </c>
      <c r="BQ161" s="21">
        <f>EXP(-LN(2)/25)*BQ160+(1-EXP(-LN(2)/25))/(LN(2)/25)*Calculateur!BL161*Calculateur!BN161*VLOOKUP('Données projet'!$B$11,Paramètres!$A$1:$I$89,3,0)*0.475*44/12</f>
        <v>6.0191883763061309</v>
      </c>
      <c r="BR161" s="21">
        <f>EXP(-LN(2)/2)*BR160+(1-EXP(-LN(2)/2))/(LN(2)/2)*BL161*BO161*VLOOKUP('Données projet'!$B$11,Paramètres!$A$1:$I$89,3,0)*0.475*44/12</f>
        <v>1.1577006931292559E-10</v>
      </c>
      <c r="BS161" s="22">
        <f t="shared" si="169"/>
        <v>17.328079970753201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-8.5265128291212022E-14</v>
      </c>
      <c r="BZ161" s="13">
        <f>BY161*VLOOKUP('Données projet'!$B$12,Paramètres!$A$1:$I$89,3,0)*VLOOKUP('Données projet'!$B$12,Paramètres!$A$1:$I$89,5,0)</f>
        <v>-6.9167072069831198E-14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159.4660488566085</v>
      </c>
      <c r="CE161" s="59">
        <f t="shared" si="148"/>
        <v>135.33030558297088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2.4556076197554093</v>
      </c>
      <c r="CM161" s="21">
        <f>EXP(-LN(2)/2)*CM160+(1-EXP(-LN(2)/2))/(LN(2)/2)*CG161*CJ161*VLOOKUP('Données projet'!$B$12,Paramètres!$A$1:$I$89,3,0)*0.475*44/12</f>
        <v>1.4578147339186802E-9</v>
      </c>
      <c r="CN161" s="22">
        <f t="shared" si="172"/>
        <v>2.4556076212132241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353.37479213497227</v>
      </c>
      <c r="CZ161" s="59">
        <f t="shared" si="150"/>
        <v>345.4750813433123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11.09141290982493</v>
      </c>
      <c r="DG161" s="21">
        <f>EXP(-LN(2)/25)*DG160+(1-EXP(-LN(2)/25))/(LN(2)/25)*Calculateur!DB161*Calculateur!DD161*VLOOKUP('Données projet'!$B$13,Paramètres!$A$1:$I$89,3,0)*0.475*44/12</f>
        <v>5.9034347536848628</v>
      </c>
      <c r="DH161" s="21">
        <f>EXP(-LN(2)/2)*DH160+(1-EXP(-LN(2)/2))/(LN(2)/2)*DB161*DE161*VLOOKUP('Données projet'!$B$13,Paramètres!$A$1:$I$89,3,0)*0.475*44/12</f>
        <v>1.1354372182613834E-10</v>
      </c>
      <c r="DI161" s="22">
        <f t="shared" si="175"/>
        <v>16.994847663623339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9.4880000000000049</v>
      </c>
      <c r="DO161" s="12">
        <f>IF('Données projet'!$A$166&gt;35,DO160+DN161-DW160,IF(A161&lt;'Données projet'!$A$166,$DL$205^A161,IF(A161='Données projet'!$A$166,'Données projet'!$B$166,DO160+DN161-DW160)))</f>
        <v>523.39200000000108</v>
      </c>
      <c r="DP161" s="17">
        <f>DO161*VLOOKUP('Données projet'!$B$14,Paramètres!$A$1:$I$89,3,0)*VLOOKUP('Données projet'!$B$14,Paramètres!$A$1:$I$89,5,0)</f>
        <v>473.56508160000089</v>
      </c>
      <c r="DQ161" s="13">
        <f t="shared" si="176"/>
        <v>106.54118996921356</v>
      </c>
      <c r="DR161" s="20">
        <f t="shared" si="177"/>
        <v>1010.3517563163817</v>
      </c>
      <c r="DS161" s="59">
        <f t="shared" si="125"/>
        <v>1303.6850896497151</v>
      </c>
      <c r="DT161" s="59">
        <f ca="1">AVERAGE(OFFSET($DS$3,0,0,'Données projet'!$E$14+1,1))-AVERAGE(OFFSET($H$3,0,0,'Données projet'!$E$14+1,1))</f>
        <v>635.71275911100679</v>
      </c>
      <c r="DU161" s="59">
        <f t="shared" si="152"/>
        <v>281.7776857269169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50.019516914055075</v>
      </c>
      <c r="EB161" s="21">
        <f>EXP(-LN(2)/25)*EB160+(1-EXP(-LN(2)/25))/(LN(2)/25)*Calculateur!DW161*Calculateur!DY161*VLOOKUP('Données projet'!$B$14,Paramètres!$A$1:$I$89,3,0)*0.475*44/12</f>
        <v>20.491888039786289</v>
      </c>
      <c r="EC161" s="21">
        <f>EXP(-LN(2)/2)*EC160+(1-EXP(-LN(2)/2))/(LN(2)/2)*DW161*DZ161*VLOOKUP('Données projet'!$B$14,Paramètres!$A$1:$I$89,3,0)*0.475*44/12</f>
        <v>3.8955538463780463E-5</v>
      </c>
      <c r="ED161" s="22">
        <f t="shared" si="178"/>
        <v>70.511443909379821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9.4880000000000049</v>
      </c>
      <c r="EJ161" s="12">
        <f>IF('Données projet'!$A$192&gt;35,EJ160+EI161-ER160,IF(A161&lt;'Données projet'!$A$192,$EG$205^A161,IF(A161='Données projet'!$A$192,'Données projet'!$B$192,EJ160+EI161-ER160)))</f>
        <v>523.39200000000108</v>
      </c>
      <c r="EK161" s="17">
        <f>EJ161*VLOOKUP('Données projet'!$B$15,Paramètres!$A$1:$I$89,3,0)*VLOOKUP('Données projet'!$B$15,Paramètres!$A$1:$I$89,5,0)</f>
        <v>351.09135360000073</v>
      </c>
      <c r="EL161" s="13">
        <f t="shared" si="179"/>
        <v>81.787191544216299</v>
      </c>
      <c r="EM161" s="20">
        <f t="shared" si="180"/>
        <v>753.93013279284457</v>
      </c>
      <c r="EN161" s="59">
        <f t="shared" si="128"/>
        <v>1047.2634661261779</v>
      </c>
      <c r="EO161" s="59">
        <f ca="1">AVERAGE(OFFSET($EN$3,0,0,'Données projet'!$E$15+1,1))-AVERAGE(OFFSET($H$3,0,0,'Données projet'!$E$15+1,1))</f>
        <v>482.99915419700773</v>
      </c>
      <c r="EP161" s="59">
        <f t="shared" si="154"/>
        <v>219.74157899604279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45.707489593877938</v>
      </c>
      <c r="EW161" s="21">
        <f>EXP(-LN(2)/25)*EW160+(1-EXP(-LN(2)/25))/(LN(2)/25)*Calculateur!ER161*Calculateur!ET161*VLOOKUP('Données projet'!$B$15,Paramètres!$A$1:$I$89,3,0)*0.475*44/12</f>
        <v>18.725345967390918</v>
      </c>
      <c r="EX161" s="21">
        <f>EXP(-LN(2)/2)*EX160+(1-EXP(-LN(2)/2))/(LN(2)/2)*ER161*EU161*VLOOKUP('Données projet'!$B$15,Paramètres!$A$1:$I$89,3,0)*0.475*44/12</f>
        <v>2.8880830240389023E-5</v>
      </c>
      <c r="EY161" s="22">
        <f t="shared" si="181"/>
        <v>64.432864442099103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9.4880000000000049</v>
      </c>
      <c r="FE161" s="12">
        <f>IF('Données projet'!$A$218&gt;35,FE160+FD161-FM160,IF(A161&lt;'Données projet'!$A$218,$FB$205^A161,IF(A161='Données projet'!$A$218,'Données projet'!$B$218,FE160+FD161-FM160)))</f>
        <v>523.39200000000108</v>
      </c>
      <c r="FF161" s="17">
        <f>FE161*VLOOKUP('Données projet'!$B$16,Paramètres!$A$1:$I$89,3,0)*VLOOKUP('Données projet'!$B$16,Paramètres!$A$1:$I$89,5,0)</f>
        <v>498.05982720000105</v>
      </c>
      <c r="FG161" s="13">
        <f t="shared" si="182"/>
        <v>111.39610612815991</v>
      </c>
      <c r="FH161" s="20">
        <f t="shared" si="183"/>
        <v>1061.4690838798804</v>
      </c>
      <c r="FI161" s="59">
        <f t="shared" si="131"/>
        <v>1354.8024172132136</v>
      </c>
      <c r="FJ161" s="59">
        <f ca="1">AVERAGE(OFFSET($FI$3,0,0,'Données projet'!$E$16+1,1))-AVERAGE(OFFSET($H$3,0,0,'Données projet'!$E$16+1,1))</f>
        <v>666.1523645983184</v>
      </c>
      <c r="FK161" s="59">
        <f t="shared" si="156"/>
        <v>294.13851344047526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52.606733306161381</v>
      </c>
      <c r="FR161" s="21">
        <f>EXP(-LN(2)/25)*FR160+(1-EXP(-LN(2)/25))/(LN(2)/25)*Calculateur!FM161*Calculateur!FO161*VLOOKUP('Données projet'!$B$16,Paramètres!$A$1:$I$89,3,0)*0.475*44/12</f>
        <v>21.551813283223503</v>
      </c>
      <c r="FS161" s="21">
        <f>EXP(-LN(2)/2)*FS160+(1-EXP(-LN(2)/2))/(LN(2)/2)*FM161*FP161*VLOOKUP('Données projet'!$B$16,Paramètres!$A$1:$I$89,3,0)*0.475*44/12</f>
        <v>4.0970480108458851E-5</v>
      </c>
      <c r="FT161" s="22">
        <f t="shared" si="184"/>
        <v>74.158587559864998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328.55631138162721</v>
      </c>
      <c r="T162" s="59">
        <f t="shared" si="142"/>
        <v>321.81422611044985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8.1302946333470789</v>
      </c>
      <c r="AA162" s="21">
        <f>EXP(-LN(2)/25)*AA161+(1-EXP(-LN(2)/25))/(LN(2)/25)*Calculateur!V162*Calculateur!X162*VLOOKUP('Données projet'!$B$9,Paramètres!$A$1:$I$89,3,0)*0.475*44/12</f>
        <v>4.2932268387762633</v>
      </c>
      <c r="AB162" s="21">
        <f>EXP(-LN(2)/2)*AB161+(1-EXP(-LN(2)/2))/(LN(2)/2)*V162*Y162*VLOOKUP('Données projet'!$B$9,Paramètres!$A$1:$I$89,3,0)*0.475*44/12</f>
        <v>7.3990474043682255E-11</v>
      </c>
      <c r="AC162" s="22">
        <f t="shared" si="163"/>
        <v>12.423521472197333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353.37479213497227</v>
      </c>
      <c r="AO162" s="59">
        <f t="shared" si="144"/>
        <v>345.4750813433123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10.873917067757141</v>
      </c>
      <c r="AV162" s="21">
        <f>EXP(-LN(2)/25)*AV161+(1-EXP(-LN(2)/25))/(LN(2)/25)*Calculateur!AQ162*Calculateur!AS162*VLOOKUP('Données projet'!$B$10,Paramètres!$A$1:$I$89,3,0)*0.475*44/12</f>
        <v>5.742005019897209</v>
      </c>
      <c r="AW162" s="21">
        <f>EXP(-LN(2)/2)*AW161+(1-EXP(-LN(2)/2))/(LN(2)/2)*AQ162*AT162*VLOOKUP('Données projet'!$B$10,Paramètres!$A$1:$I$89,3,0)*0.475*44/12</f>
        <v>8.0287535664421421E-11</v>
      </c>
      <c r="AX162" s="21">
        <f t="shared" si="166"/>
        <v>16.615922087734639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359.57284550600366</v>
      </c>
      <c r="BJ162" s="59">
        <f t="shared" si="146"/>
        <v>351.38386928091433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11.087131127909243</v>
      </c>
      <c r="BQ162" s="21">
        <f>EXP(-LN(2)/25)*BQ161+(1-EXP(-LN(2)/25))/(LN(2)/25)*Calculateur!BL162*Calculateur!BN162*VLOOKUP('Données projet'!$B$11,Paramètres!$A$1:$I$89,3,0)*0.475*44/12</f>
        <v>5.8545933536206798</v>
      </c>
      <c r="BR162" s="21">
        <f>EXP(-LN(2)/2)*BR161+(1-EXP(-LN(2)/2))/(LN(2)/2)*BL162*BO162*VLOOKUP('Données projet'!$B$11,Paramètres!$A$1:$I$89,3,0)*0.475*44/12</f>
        <v>8.1861801069606319E-11</v>
      </c>
      <c r="BS162" s="22">
        <f t="shared" si="169"/>
        <v>16.941724481611786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-8.5265128291212022E-14</v>
      </c>
      <c r="BZ162" s="13">
        <f>BY162*VLOOKUP('Données projet'!$B$12,Paramètres!$A$1:$I$89,3,0)*VLOOKUP('Données projet'!$B$12,Paramètres!$A$1:$I$89,5,0)</f>
        <v>-6.9167072069831198E-14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159.4660488566085</v>
      </c>
      <c r="CE162" s="59">
        <f t="shared" si="148"/>
        <v>135.33030558297088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2.3884589002584051</v>
      </c>
      <c r="CM162" s="21">
        <f>EXP(-LN(2)/2)*CM161+(1-EXP(-LN(2)/2))/(LN(2)/2)*CG162*CJ162*VLOOKUP('Données projet'!$B$12,Paramètres!$A$1:$I$89,3,0)*0.475*44/12</f>
        <v>1.0308306840675612E-9</v>
      </c>
      <c r="CN162" s="22">
        <f t="shared" si="172"/>
        <v>2.3884589012892357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353.37479213497227</v>
      </c>
      <c r="CZ162" s="59">
        <f t="shared" si="150"/>
        <v>345.4750813433123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10.873917067757141</v>
      </c>
      <c r="DG162" s="21">
        <f>EXP(-LN(2)/25)*DG161+(1-EXP(-LN(2)/25))/(LN(2)/25)*Calculateur!DB162*Calculateur!DD162*VLOOKUP('Données projet'!$B$13,Paramètres!$A$1:$I$89,3,0)*0.475*44/12</f>
        <v>5.742005019897209</v>
      </c>
      <c r="DH162" s="21">
        <f>EXP(-LN(2)/2)*DH161+(1-EXP(-LN(2)/2))/(LN(2)/2)*DB162*DE162*VLOOKUP('Données projet'!$B$13,Paramètres!$A$1:$I$89,3,0)*0.475*44/12</f>
        <v>8.0287535664421421E-11</v>
      </c>
      <c r="DI162" s="22">
        <f t="shared" si="175"/>
        <v>16.615922087734639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9.4880000000000049</v>
      </c>
      <c r="DO162" s="12">
        <f>IF('Données projet'!$A$166&gt;35,DO161+DN162-DW161,IF(A162&lt;'Données projet'!$A$166,$DL$205^A162,IF(A162='Données projet'!$A$166,'Données projet'!$B$166,DO161+DN162-DW161)))</f>
        <v>532.88000000000113</v>
      </c>
      <c r="DP162" s="17">
        <f>DO162*VLOOKUP('Données projet'!$B$14,Paramètres!$A$1:$I$89,3,0)*VLOOKUP('Données projet'!$B$14,Paramètres!$A$1:$I$89,5,0)</f>
        <v>482.14982400000099</v>
      </c>
      <c r="DQ162" s="13">
        <f t="shared" si="176"/>
        <v>108.24595869432409</v>
      </c>
      <c r="DR162" s="20">
        <f t="shared" si="177"/>
        <v>1028.272654859283</v>
      </c>
      <c r="DS162" s="59">
        <f t="shared" si="125"/>
        <v>1321.6059881926162</v>
      </c>
      <c r="DT162" s="59">
        <f ca="1">AVERAGE(OFFSET($DS$3,0,0,'Données projet'!$E$14+1,1))-AVERAGE(OFFSET($H$3,0,0,'Données projet'!$E$14+1,1))</f>
        <v>635.71275911100679</v>
      </c>
      <c r="DU162" s="59">
        <f t="shared" si="152"/>
        <v>281.7776857269169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49.038664696263268</v>
      </c>
      <c r="EB162" s="21">
        <f>EXP(-LN(2)/25)*EB161+(1-EXP(-LN(2)/25))/(LN(2)/25)*Calculateur!DW162*Calculateur!DY162*VLOOKUP('Données projet'!$B$14,Paramètres!$A$1:$I$89,3,0)*0.475*44/12</f>
        <v>19.931536283716778</v>
      </c>
      <c r="EC162" s="21">
        <f>EXP(-LN(2)/2)*EC161+(1-EXP(-LN(2)/2))/(LN(2)/2)*DW162*DZ162*VLOOKUP('Données projet'!$B$14,Paramètres!$A$1:$I$89,3,0)*0.475*44/12</f>
        <v>2.7545725412512548E-5</v>
      </c>
      <c r="ED162" s="22">
        <f t="shared" si="178"/>
        <v>68.970228525705465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9.4880000000000049</v>
      </c>
      <c r="EJ162" s="12">
        <f>IF('Données projet'!$A$192&gt;35,EJ161+EI162-ER161,IF(A162&lt;'Données projet'!$A$192,$EG$205^A162,IF(A162='Données projet'!$A$192,'Données projet'!$B$192,EJ161+EI162-ER161)))</f>
        <v>532.88000000000113</v>
      </c>
      <c r="EK162" s="17">
        <f>EJ162*VLOOKUP('Données projet'!$B$15,Paramètres!$A$1:$I$89,3,0)*VLOOKUP('Données projet'!$B$15,Paramètres!$A$1:$I$89,5,0)</f>
        <v>357.45590400000077</v>
      </c>
      <c r="EL162" s="13">
        <f t="shared" si="179"/>
        <v>83.095870809949048</v>
      </c>
      <c r="EM162" s="20">
        <f t="shared" si="180"/>
        <v>767.2943411273294</v>
      </c>
      <c r="EN162" s="59">
        <f t="shared" si="128"/>
        <v>1060.6276744606628</v>
      </c>
      <c r="EO162" s="59">
        <f ca="1">AVERAGE(OFFSET($EN$3,0,0,'Données projet'!$E$15+1,1))-AVERAGE(OFFSET($H$3,0,0,'Données projet'!$E$15+1,1))</f>
        <v>482.99915419700773</v>
      </c>
      <c r="EP162" s="59">
        <f t="shared" si="154"/>
        <v>219.74157899604279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44.811193601757836</v>
      </c>
      <c r="EW162" s="21">
        <f>EXP(-LN(2)/25)*EW161+(1-EXP(-LN(2)/25))/(LN(2)/25)*Calculateur!ER162*Calculateur!ET162*VLOOKUP('Données projet'!$B$15,Paramètres!$A$1:$I$89,3,0)*0.475*44/12</f>
        <v>18.213300397189467</v>
      </c>
      <c r="EX162" s="21">
        <f>EXP(-LN(2)/2)*EX161+(1-EXP(-LN(2)/2))/(LN(2)/2)*ER162*EU162*VLOOKUP('Données projet'!$B$15,Paramètres!$A$1:$I$89,3,0)*0.475*44/12</f>
        <v>2.0421830909276588E-5</v>
      </c>
      <c r="EY162" s="22">
        <f t="shared" si="181"/>
        <v>63.024514420778218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9.4880000000000049</v>
      </c>
      <c r="FE162" s="12">
        <f>IF('Données projet'!$A$218&gt;35,FE161+FD162-FM161,IF(A162&lt;'Données projet'!$A$218,$FB$205^A162,IF(A162='Données projet'!$A$218,'Données projet'!$B$218,FE161+FD162-FM161)))</f>
        <v>532.88000000000113</v>
      </c>
      <c r="FF162" s="17">
        <f>FE162*VLOOKUP('Données projet'!$B$16,Paramètres!$A$1:$I$89,3,0)*VLOOKUP('Données projet'!$B$16,Paramètres!$A$1:$I$89,5,0)</f>
        <v>507.0886080000011</v>
      </c>
      <c r="FG162" s="13">
        <f t="shared" si="182"/>
        <v>113.17855851001575</v>
      </c>
      <c r="FH162" s="20">
        <f t="shared" si="183"/>
        <v>1080.2986483382792</v>
      </c>
      <c r="FI162" s="59">
        <f t="shared" si="131"/>
        <v>1373.6319816716125</v>
      </c>
      <c r="FJ162" s="59">
        <f ca="1">AVERAGE(OFFSET($FI$3,0,0,'Données projet'!$E$16+1,1))-AVERAGE(OFFSET($H$3,0,0,'Données projet'!$E$16+1,1))</f>
        <v>666.1523645983184</v>
      </c>
      <c r="FK162" s="59">
        <f t="shared" si="156"/>
        <v>294.13851344047526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51.575147352966553</v>
      </c>
      <c r="FR162" s="21">
        <f>EXP(-LN(2)/25)*FR161+(1-EXP(-LN(2)/25))/(LN(2)/25)*Calculateur!FM162*Calculateur!FO162*VLOOKUP('Données projet'!$B$16,Paramètres!$A$1:$I$89,3,0)*0.475*44/12</f>
        <v>20.962477815633154</v>
      </c>
      <c r="FS162" s="21">
        <f>EXP(-LN(2)/2)*FS161+(1-EXP(-LN(2)/2))/(LN(2)/2)*FM162*FP162*VLOOKUP('Données projet'!$B$16,Paramètres!$A$1:$I$89,3,0)*0.475*44/12</f>
        <v>2.8970504313159811E-5</v>
      </c>
      <c r="FT162" s="22">
        <f t="shared" si="184"/>
        <v>72.537654139104021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328.55631138162721</v>
      </c>
      <c r="T163" s="59">
        <f t="shared" si="142"/>
        <v>321.81422611044985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7.970864514577209</v>
      </c>
      <c r="AA163" s="21">
        <f>EXP(-LN(2)/25)*AA162+(1-EXP(-LN(2)/25))/(LN(2)/25)*Calculateur!V163*Calculateur!X163*VLOOKUP('Données projet'!$B$9,Paramètres!$A$1:$I$89,3,0)*0.475*44/12</f>
        <v>4.175828325098939</v>
      </c>
      <c r="AB163" s="21">
        <f>EXP(-LN(2)/2)*AB162+(1-EXP(-LN(2)/2))/(LN(2)/2)*V163*Y163*VLOOKUP('Données projet'!$B$9,Paramètres!$A$1:$I$89,3,0)*0.475*44/12</f>
        <v>5.2319165939494953E-11</v>
      </c>
      <c r="AC163" s="22">
        <f t="shared" si="163"/>
        <v>12.146692839728468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353.37479213497227</v>
      </c>
      <c r="AO163" s="59">
        <f t="shared" si="144"/>
        <v>345.4750813433123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10.660686186492937</v>
      </c>
      <c r="AV163" s="21">
        <f>EXP(-LN(2)/25)*AV162+(1-EXP(-LN(2)/25))/(LN(2)/25)*Calculateur!AQ163*Calculateur!AS163*VLOOKUP('Données projet'!$B$10,Paramètres!$A$1:$I$89,3,0)*0.475*44/12</f>
        <v>5.5849895906691991</v>
      </c>
      <c r="AW163" s="21">
        <f>EXP(-LN(2)/2)*AW162+(1-EXP(-LN(2)/2))/(LN(2)/2)*AQ163*AT163*VLOOKUP('Données projet'!$B$10,Paramètres!$A$1:$I$89,3,0)*0.475*44/12</f>
        <v>5.6771860913069169E-11</v>
      </c>
      <c r="AX163" s="21">
        <f t="shared" si="166"/>
        <v>16.245675777218906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359.57284550600366</v>
      </c>
      <c r="BJ163" s="59">
        <f t="shared" si="146"/>
        <v>351.38386928091433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10.869719248973192</v>
      </c>
      <c r="BQ163" s="21">
        <f>EXP(-LN(2)/25)*BQ162+(1-EXP(-LN(2)/25))/(LN(2)/25)*Calculateur!BL163*Calculateur!BN163*VLOOKUP('Données projet'!$B$11,Paramètres!$A$1:$I$89,3,0)*0.475*44/12</f>
        <v>5.6944991904862388</v>
      </c>
      <c r="BR163" s="21">
        <f>EXP(-LN(2)/2)*BR162+(1-EXP(-LN(2)/2))/(LN(2)/2)*BL163*BO163*VLOOKUP('Données projet'!$B$11,Paramètres!$A$1:$I$89,3,0)*0.475*44/12</f>
        <v>5.7885034656462802E-11</v>
      </c>
      <c r="BS163" s="22">
        <f t="shared" si="169"/>
        <v>16.564218439517315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-8.5265128291212022E-14</v>
      </c>
      <c r="BZ163" s="13">
        <f>BY163*VLOOKUP('Données projet'!$B$12,Paramètres!$A$1:$I$89,3,0)*VLOOKUP('Données projet'!$B$12,Paramètres!$A$1:$I$89,5,0)</f>
        <v>-6.9167072069831198E-14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159.4660488566085</v>
      </c>
      <c r="CE163" s="59">
        <f t="shared" si="148"/>
        <v>135.33030558297088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2.3231463660272444</v>
      </c>
      <c r="CM163" s="21">
        <f>EXP(-LN(2)/2)*CM162+(1-EXP(-LN(2)/2))/(LN(2)/2)*CG163*CJ163*VLOOKUP('Données projet'!$B$12,Paramètres!$A$1:$I$89,3,0)*0.475*44/12</f>
        <v>7.289073669593401E-10</v>
      </c>
      <c r="CN163" s="22">
        <f t="shared" si="172"/>
        <v>2.3231463667561516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353.37479213497227</v>
      </c>
      <c r="CZ163" s="59">
        <f t="shared" si="150"/>
        <v>345.4750813433123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10.660686186492937</v>
      </c>
      <c r="DG163" s="21">
        <f>EXP(-LN(2)/25)*DG162+(1-EXP(-LN(2)/25))/(LN(2)/25)*Calculateur!DB163*Calculateur!DD163*VLOOKUP('Données projet'!$B$13,Paramètres!$A$1:$I$89,3,0)*0.475*44/12</f>
        <v>5.5849895906691991</v>
      </c>
      <c r="DH163" s="21">
        <f>EXP(-LN(2)/2)*DH162+(1-EXP(-LN(2)/2))/(LN(2)/2)*DB163*DE163*VLOOKUP('Données projet'!$B$13,Paramètres!$A$1:$I$89,3,0)*0.475*44/12</f>
        <v>5.6771860913069169E-11</v>
      </c>
      <c r="DI163" s="22">
        <f t="shared" si="175"/>
        <v>16.245675777218906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9.4880000000000049</v>
      </c>
      <c r="DO163" s="12">
        <f>IF('Données projet'!$A$166&gt;35,DO162+DN163-DW162,IF(A163&lt;'Données projet'!$A$166,$DL$205^A163,IF(A163='Données projet'!$A$166,'Données projet'!$B$166,DO162+DN163-DW162)))</f>
        <v>542.36800000000119</v>
      </c>
      <c r="DP163" s="17">
        <f>DO163*VLOOKUP('Données projet'!$B$14,Paramètres!$A$1:$I$89,3,0)*VLOOKUP('Données projet'!$B$14,Paramètres!$A$1:$I$89,5,0)</f>
        <v>490.73456640000109</v>
      </c>
      <c r="DQ163" s="13">
        <f t="shared" si="176"/>
        <v>109.94719771775897</v>
      </c>
      <c r="DR163" s="20">
        <f t="shared" si="177"/>
        <v>1046.1874058384321</v>
      </c>
      <c r="DS163" s="59">
        <f t="shared" si="125"/>
        <v>1339.5207391717654</v>
      </c>
      <c r="DT163" s="59">
        <f ca="1">AVERAGE(OFFSET($DS$3,0,0,'Données projet'!$E$14+1,1))-AVERAGE(OFFSET($H$3,0,0,'Données projet'!$E$14+1,1))</f>
        <v>635.71275911100679</v>
      </c>
      <c r="DU163" s="59">
        <f t="shared" si="152"/>
        <v>281.7776857269169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48.077046392201581</v>
      </c>
      <c r="EB163" s="21">
        <f>EXP(-LN(2)/25)*EB162+(1-EXP(-LN(2)/25))/(LN(2)/25)*Calculateur!DW163*Calculateur!DY163*VLOOKUP('Données projet'!$B$14,Paramètres!$A$1:$I$89,3,0)*0.475*44/12</f>
        <v>19.386507375884602</v>
      </c>
      <c r="EC163" s="21">
        <f>EXP(-LN(2)/2)*EC162+(1-EXP(-LN(2)/2))/(LN(2)/2)*DW163*DZ163*VLOOKUP('Données projet'!$B$14,Paramètres!$A$1:$I$89,3,0)*0.475*44/12</f>
        <v>1.9477769231890232E-5</v>
      </c>
      <c r="ED163" s="22">
        <f t="shared" si="178"/>
        <v>67.463573245855414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9.4880000000000049</v>
      </c>
      <c r="EJ163" s="12">
        <f>IF('Données projet'!$A$192&gt;35,EJ162+EI163-ER162,IF(A163&lt;'Données projet'!$A$192,$EG$205^A163,IF(A163='Données projet'!$A$192,'Données projet'!$B$192,EJ162+EI163-ER162)))</f>
        <v>542.36800000000119</v>
      </c>
      <c r="EK163" s="17">
        <f>EJ163*VLOOKUP('Données projet'!$B$15,Paramètres!$A$1:$I$89,3,0)*VLOOKUP('Données projet'!$B$15,Paramètres!$A$1:$I$89,5,0)</f>
        <v>363.82045440000081</v>
      </c>
      <c r="EL163" s="13">
        <f t="shared" si="179"/>
        <v>84.401840472127247</v>
      </c>
      <c r="EM163" s="20">
        <f t="shared" si="180"/>
        <v>780.65383023562288</v>
      </c>
      <c r="EN163" s="59">
        <f t="shared" si="128"/>
        <v>1073.9871635689562</v>
      </c>
      <c r="EO163" s="59">
        <f ca="1">AVERAGE(OFFSET($EN$3,0,0,'Données projet'!$E$15+1,1))-AVERAGE(OFFSET($H$3,0,0,'Données projet'!$E$15+1,1))</f>
        <v>482.99915419700773</v>
      </c>
      <c r="EP163" s="59">
        <f t="shared" si="154"/>
        <v>219.74157899604279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43.932473427356641</v>
      </c>
      <c r="EW163" s="21">
        <f>EXP(-LN(2)/25)*EW162+(1-EXP(-LN(2)/25))/(LN(2)/25)*Calculateur!ER163*Calculateur!ET163*VLOOKUP('Données projet'!$B$15,Paramètres!$A$1:$I$89,3,0)*0.475*44/12</f>
        <v>17.71525674003248</v>
      </c>
      <c r="EX163" s="21">
        <f>EXP(-LN(2)/2)*EX162+(1-EXP(-LN(2)/2))/(LN(2)/2)*ER163*EU163*VLOOKUP('Données projet'!$B$15,Paramètres!$A$1:$I$89,3,0)*0.475*44/12</f>
        <v>1.4440415120194513E-5</v>
      </c>
      <c r="EY163" s="22">
        <f t="shared" si="181"/>
        <v>61.647744607804242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9.4880000000000049</v>
      </c>
      <c r="FE163" s="12">
        <f>IF('Données projet'!$A$218&gt;35,FE162+FD163-FM162,IF(A163&lt;'Données projet'!$A$218,$FB$205^A163,IF(A163='Données projet'!$A$218,'Données projet'!$B$218,FE162+FD163-FM162)))</f>
        <v>542.36800000000119</v>
      </c>
      <c r="FF163" s="17">
        <f>FE163*VLOOKUP('Données projet'!$B$16,Paramètres!$A$1:$I$89,3,0)*VLOOKUP('Données projet'!$B$16,Paramètres!$A$1:$I$89,5,0)</f>
        <v>516.11738880000109</v>
      </c>
      <c r="FG163" s="13">
        <f t="shared" si="182"/>
        <v>114.95732034718567</v>
      </c>
      <c r="FH163" s="20">
        <f t="shared" si="183"/>
        <v>1099.121785098017</v>
      </c>
      <c r="FI163" s="59">
        <f t="shared" si="131"/>
        <v>1392.4551184313502</v>
      </c>
      <c r="FJ163" s="59">
        <f ca="1">AVERAGE(OFFSET($FI$3,0,0,'Données projet'!$E$16+1,1))-AVERAGE(OFFSET($H$3,0,0,'Données projet'!$E$16+1,1))</f>
        <v>666.1523645983184</v>
      </c>
      <c r="FK163" s="59">
        <f t="shared" si="156"/>
        <v>294.13851344047526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50.563790171108572</v>
      </c>
      <c r="FR163" s="21">
        <f>EXP(-LN(2)/25)*FR162+(1-EXP(-LN(2)/25))/(LN(2)/25)*Calculateur!FM163*Calculateur!FO163*VLOOKUP('Données projet'!$B$16,Paramètres!$A$1:$I$89,3,0)*0.475*44/12</f>
        <v>20.389257757395868</v>
      </c>
      <c r="FS163" s="21">
        <f>EXP(-LN(2)/2)*FS162+(1-EXP(-LN(2)/2))/(LN(2)/2)*FM163*FP163*VLOOKUP('Données projet'!$B$16,Paramètres!$A$1:$I$89,3,0)*0.475*44/12</f>
        <v>2.0485240054229429E-5</v>
      </c>
      <c r="FT163" s="22">
        <f t="shared" si="184"/>
        <v>70.953068413744504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328.55631138162721</v>
      </c>
      <c r="T164" s="59">
        <f t="shared" si="142"/>
        <v>321.81422611044985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7.8145607231936465</v>
      </c>
      <c r="AA164" s="21">
        <f>EXP(-LN(2)/25)*AA163+(1-EXP(-LN(2)/25))/(LN(2)/25)*Calculateur!V164*Calculateur!X164*VLOOKUP('Données projet'!$B$9,Paramètres!$A$1:$I$89,3,0)*0.475*44/12</f>
        <v>4.0616400799518413</v>
      </c>
      <c r="AB164" s="21">
        <f>EXP(-LN(2)/2)*AB163+(1-EXP(-LN(2)/2))/(LN(2)/2)*V164*Y164*VLOOKUP('Données projet'!$B$9,Paramètres!$A$1:$I$89,3,0)*0.475*44/12</f>
        <v>3.6995237021841127E-11</v>
      </c>
      <c r="AC164" s="22">
        <f t="shared" si="163"/>
        <v>11.876200803182481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353.37479213497227</v>
      </c>
      <c r="AO164" s="59">
        <f t="shared" si="144"/>
        <v>345.4750813433123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10.451636632752328</v>
      </c>
      <c r="AV164" s="21">
        <f>EXP(-LN(2)/25)*AV163+(1-EXP(-LN(2)/25))/(LN(2)/25)*Calculateur!AQ164*Calculateur!AS164*VLOOKUP('Données projet'!$B$10,Paramètres!$A$1:$I$89,3,0)*0.475*44/12</f>
        <v>5.4322677566105115</v>
      </c>
      <c r="AW164" s="21">
        <f>EXP(-LN(2)/2)*AW163+(1-EXP(-LN(2)/2))/(LN(2)/2)*AQ164*AT164*VLOOKUP('Données projet'!$B$10,Paramètres!$A$1:$I$89,3,0)*0.475*44/12</f>
        <v>4.0143767832210711E-11</v>
      </c>
      <c r="AX164" s="21">
        <f t="shared" si="166"/>
        <v>15.883904389402984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359.57284550600366</v>
      </c>
      <c r="BJ164" s="59">
        <f t="shared" si="146"/>
        <v>351.38386928091433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10.656570684374923</v>
      </c>
      <c r="BQ164" s="21">
        <f>EXP(-LN(2)/25)*BQ163+(1-EXP(-LN(2)/25))/(LN(2)/25)*Calculateur!BL164*Calculateur!BN164*VLOOKUP('Données projet'!$B$11,Paramètres!$A$1:$I$89,3,0)*0.475*44/12</f>
        <v>5.5387828106616954</v>
      </c>
      <c r="BR164" s="21">
        <f>EXP(-LN(2)/2)*BR163+(1-EXP(-LN(2)/2))/(LN(2)/2)*BL164*BO164*VLOOKUP('Données projet'!$B$11,Paramètres!$A$1:$I$89,3,0)*0.475*44/12</f>
        <v>4.0930900534803166E-11</v>
      </c>
      <c r="BS164" s="22">
        <f t="shared" si="169"/>
        <v>16.195353495077551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-8.5265128291212022E-14</v>
      </c>
      <c r="BZ164" s="13">
        <f>BY164*VLOOKUP('Données projet'!$B$12,Paramètres!$A$1:$I$89,3,0)*VLOOKUP('Données projet'!$B$12,Paramètres!$A$1:$I$89,5,0)</f>
        <v>-6.9167072069831198E-14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159.4660488566085</v>
      </c>
      <c r="CE164" s="59">
        <f t="shared" si="148"/>
        <v>135.33030558297088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2.2596198064792716</v>
      </c>
      <c r="CM164" s="21">
        <f>EXP(-LN(2)/2)*CM163+(1-EXP(-LN(2)/2))/(LN(2)/2)*CG164*CJ164*VLOOKUP('Données projet'!$B$12,Paramètres!$A$1:$I$89,3,0)*0.475*44/12</f>
        <v>5.1541534203378058E-10</v>
      </c>
      <c r="CN164" s="22">
        <f t="shared" si="172"/>
        <v>2.2596198069946869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353.37479213497227</v>
      </c>
      <c r="CZ164" s="59">
        <f t="shared" si="150"/>
        <v>345.4750813433123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10.451636632752328</v>
      </c>
      <c r="DG164" s="21">
        <f>EXP(-LN(2)/25)*DG163+(1-EXP(-LN(2)/25))/(LN(2)/25)*Calculateur!DB164*Calculateur!DD164*VLOOKUP('Données projet'!$B$13,Paramètres!$A$1:$I$89,3,0)*0.475*44/12</f>
        <v>5.4322677566105115</v>
      </c>
      <c r="DH164" s="21">
        <f>EXP(-LN(2)/2)*DH163+(1-EXP(-LN(2)/2))/(LN(2)/2)*DB164*DE164*VLOOKUP('Données projet'!$B$13,Paramètres!$A$1:$I$89,3,0)*0.475*44/12</f>
        <v>4.0143767832210711E-11</v>
      </c>
      <c r="DI164" s="22">
        <f t="shared" si="175"/>
        <v>15.883904389402984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9.4880000000000049</v>
      </c>
      <c r="DO164" s="12">
        <f>IF('Données projet'!$A$166&gt;35,DO163+DN164-DW163,IF(A164&lt;'Données projet'!$A$166,$DL$205^A164,IF(A164='Données projet'!$A$166,'Données projet'!$B$166,DO163+DN164-DW163)))</f>
        <v>551.85600000000125</v>
      </c>
      <c r="DP164" s="17">
        <f>DO164*VLOOKUP('Données projet'!$B$14,Paramètres!$A$1:$I$89,3,0)*VLOOKUP('Données projet'!$B$14,Paramètres!$A$1:$I$89,5,0)</f>
        <v>499.31930880000107</v>
      </c>
      <c r="DQ164" s="13">
        <f t="shared" si="176"/>
        <v>111.64497591125094</v>
      </c>
      <c r="DR164" s="20">
        <f t="shared" si="177"/>
        <v>1064.0961292054305</v>
      </c>
      <c r="DS164" s="59">
        <f t="shared" si="125"/>
        <v>1357.4294625387638</v>
      </c>
      <c r="DT164" s="59">
        <f ca="1">AVERAGE(OFFSET($DS$3,0,0,'Données projet'!$E$14+1,1))-AVERAGE(OFFSET($H$3,0,0,'Données projet'!$E$14+1,1))</f>
        <v>635.71275911100679</v>
      </c>
      <c r="DU164" s="59">
        <f t="shared" si="152"/>
        <v>281.7776857269169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47.134284836553292</v>
      </c>
      <c r="EB164" s="21">
        <f>EXP(-LN(2)/25)*EB163+(1-EXP(-LN(2)/25))/(LN(2)/25)*Calculateur!DW164*Calculateur!DY164*VLOOKUP('Données projet'!$B$14,Paramètres!$A$1:$I$89,3,0)*0.475*44/12</f>
        <v>18.856382312198924</v>
      </c>
      <c r="EC164" s="21">
        <f>EXP(-LN(2)/2)*EC163+(1-EXP(-LN(2)/2))/(LN(2)/2)*DW164*DZ164*VLOOKUP('Données projet'!$B$14,Paramètres!$A$1:$I$89,3,0)*0.475*44/12</f>
        <v>1.3772862706256274E-5</v>
      </c>
      <c r="ED164" s="22">
        <f t="shared" si="178"/>
        <v>65.99068092161491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9.4880000000000049</v>
      </c>
      <c r="EJ164" s="12">
        <f>IF('Données projet'!$A$192&gt;35,EJ163+EI164-ER163,IF(A164&lt;'Données projet'!$A$192,$EG$205^A164,IF(A164='Données projet'!$A$192,'Données projet'!$B$192,EJ163+EI164-ER163)))</f>
        <v>551.85600000000125</v>
      </c>
      <c r="EK164" s="17">
        <f>EJ164*VLOOKUP('Données projet'!$B$15,Paramètres!$A$1:$I$89,3,0)*VLOOKUP('Données projet'!$B$15,Paramètres!$A$1:$I$89,5,0)</f>
        <v>370.18500480000085</v>
      </c>
      <c r="EL164" s="13">
        <f t="shared" si="179"/>
        <v>85.705153400684225</v>
      </c>
      <c r="EM164" s="20">
        <f t="shared" si="180"/>
        <v>794.00869219952654</v>
      </c>
      <c r="EN164" s="59">
        <f t="shared" si="128"/>
        <v>1087.3420255328599</v>
      </c>
      <c r="EO164" s="59">
        <f ca="1">AVERAGE(OFFSET($EN$3,0,0,'Données projet'!$E$15+1,1))-AVERAGE(OFFSET($H$3,0,0,'Données projet'!$E$15+1,1))</f>
        <v>482.99915419700773</v>
      </c>
      <c r="EP164" s="59">
        <f t="shared" si="154"/>
        <v>219.74157899604279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43.070984419609069</v>
      </c>
      <c r="EW164" s="21">
        <f>EXP(-LN(2)/25)*EW163+(1-EXP(-LN(2)/25))/(LN(2)/25)*Calculateur!ER164*Calculateur!ET164*VLOOKUP('Données projet'!$B$15,Paramètres!$A$1:$I$89,3,0)*0.475*44/12</f>
        <v>17.230832112871429</v>
      </c>
      <c r="EX164" s="21">
        <f>EXP(-LN(2)/2)*EX163+(1-EXP(-LN(2)/2))/(LN(2)/2)*ER164*EU164*VLOOKUP('Données projet'!$B$15,Paramètres!$A$1:$I$89,3,0)*0.475*44/12</f>
        <v>1.0210915454638294E-5</v>
      </c>
      <c r="EY164" s="22">
        <f t="shared" si="181"/>
        <v>60.301826743395956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9.4880000000000049</v>
      </c>
      <c r="FE164" s="12">
        <f>IF('Données projet'!$A$218&gt;35,FE163+FD164-FM163,IF(A164&lt;'Données projet'!$A$218,$FB$205^A164,IF(A164='Données projet'!$A$218,'Données projet'!$B$218,FE163+FD164-FM163)))</f>
        <v>551.85600000000125</v>
      </c>
      <c r="FF164" s="17">
        <f>FE164*VLOOKUP('Données projet'!$B$16,Paramètres!$A$1:$I$89,3,0)*VLOOKUP('Données projet'!$B$16,Paramètres!$A$1:$I$89,5,0)</f>
        <v>525.14616960000114</v>
      </c>
      <c r="FG164" s="13">
        <f t="shared" si="182"/>
        <v>116.73246364978037</v>
      </c>
      <c r="FH164" s="20">
        <f t="shared" si="183"/>
        <v>1117.9386195767026</v>
      </c>
      <c r="FI164" s="59">
        <f t="shared" si="131"/>
        <v>1411.2719529100359</v>
      </c>
      <c r="FJ164" s="59">
        <f ca="1">AVERAGE(OFFSET($FI$3,0,0,'Données projet'!$E$16+1,1))-AVERAGE(OFFSET($H$3,0,0,'Données projet'!$E$16+1,1))</f>
        <v>666.1523645983184</v>
      </c>
      <c r="FK164" s="59">
        <f t="shared" si="156"/>
        <v>294.13851344047526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49.572265086719852</v>
      </c>
      <c r="FR164" s="21">
        <f>EXP(-LN(2)/25)*FR163+(1-EXP(-LN(2)/25))/(LN(2)/25)*Calculateur!FM164*Calculateur!FO164*VLOOKUP('Données projet'!$B$16,Paramètres!$A$1:$I$89,3,0)*0.475*44/12</f>
        <v>19.831712431795413</v>
      </c>
      <c r="FS164" s="21">
        <f>EXP(-LN(2)/2)*FS163+(1-EXP(-LN(2)/2))/(LN(2)/2)*FM164*FP164*VLOOKUP('Données projet'!$B$16,Paramètres!$A$1:$I$89,3,0)*0.475*44/12</f>
        <v>1.4485252156579909E-5</v>
      </c>
      <c r="FT164" s="22">
        <f t="shared" si="184"/>
        <v>69.403992003767414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328.55631138162721</v>
      </c>
      <c r="T165" s="59">
        <f t="shared" si="142"/>
        <v>321.81422611044985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7.661321953823216</v>
      </c>
      <c r="AA165" s="21">
        <f>EXP(-LN(2)/25)*AA164+(1-EXP(-LN(2)/25))/(LN(2)/25)*Calculateur!V165*Calculateur!X165*VLOOKUP('Données projet'!$B$9,Paramètres!$A$1:$I$89,3,0)*0.475*44/12</f>
        <v>3.9505743183731892</v>
      </c>
      <c r="AB165" s="21">
        <f>EXP(-LN(2)/2)*AB164+(1-EXP(-LN(2)/2))/(LN(2)/2)*V165*Y165*VLOOKUP('Données projet'!$B$9,Paramètres!$A$1:$I$89,3,0)*0.475*44/12</f>
        <v>2.6159582969747477E-11</v>
      </c>
      <c r="AC165" s="22">
        <f t="shared" si="163"/>
        <v>11.611896272222566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353.37479213497227</v>
      </c>
      <c r="AO165" s="59">
        <f t="shared" si="144"/>
        <v>345.4750813433123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10.246686413252934</v>
      </c>
      <c r="AV165" s="21">
        <f>EXP(-LN(2)/25)*AV164+(1-EXP(-LN(2)/25))/(LN(2)/25)*Calculateur!AQ165*Calculateur!AS165*VLOOKUP('Données projet'!$B$10,Paramètres!$A$1:$I$89,3,0)*0.475*44/12</f>
        <v>5.2837221091354518</v>
      </c>
      <c r="AW165" s="21">
        <f>EXP(-LN(2)/2)*AW164+(1-EXP(-LN(2)/2))/(LN(2)/2)*AQ165*AT165*VLOOKUP('Données projet'!$B$10,Paramètres!$A$1:$I$89,3,0)*0.475*44/12</f>
        <v>2.8385930456534585E-11</v>
      </c>
      <c r="AX165" s="21">
        <f t="shared" si="166"/>
        <v>15.530408522416772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359.57284550600366</v>
      </c>
      <c r="BJ165" s="59">
        <f t="shared" si="146"/>
        <v>351.38386928091433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10.44760183312064</v>
      </c>
      <c r="BQ165" s="21">
        <f>EXP(-LN(2)/25)*BQ164+(1-EXP(-LN(2)/25))/(LN(2)/25)*Calculateur!BL165*Calculateur!BN165*VLOOKUP('Données projet'!$B$11,Paramètres!$A$1:$I$89,3,0)*0.475*44/12</f>
        <v>5.3873245034322226</v>
      </c>
      <c r="BR165" s="21">
        <f>EXP(-LN(2)/2)*BR164+(1-EXP(-LN(2)/2))/(LN(2)/2)*BL165*BO165*VLOOKUP('Données projet'!$B$11,Paramètres!$A$1:$I$89,3,0)*0.475*44/12</f>
        <v>2.8942517328231404E-11</v>
      </c>
      <c r="BS165" s="22">
        <f t="shared" si="169"/>
        <v>15.834926336581804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-8.5265128291212022E-14</v>
      </c>
      <c r="BZ165" s="13">
        <f>BY165*VLOOKUP('Données projet'!$B$12,Paramètres!$A$1:$I$89,3,0)*VLOOKUP('Données projet'!$B$12,Paramètres!$A$1:$I$89,5,0)</f>
        <v>-6.9167072069831198E-14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159.4660488566085</v>
      </c>
      <c r="CE165" s="59">
        <f t="shared" si="148"/>
        <v>135.33030558297088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2.1978303840428546</v>
      </c>
      <c r="CM165" s="21">
        <f>EXP(-LN(2)/2)*CM164+(1-EXP(-LN(2)/2))/(LN(2)/2)*CG165*CJ165*VLOOKUP('Données projet'!$B$12,Paramètres!$A$1:$I$89,3,0)*0.475*44/12</f>
        <v>3.6445368347967005E-10</v>
      </c>
      <c r="CN165" s="22">
        <f t="shared" si="172"/>
        <v>2.1978303844073084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353.37479213497227</v>
      </c>
      <c r="CZ165" s="59">
        <f t="shared" si="150"/>
        <v>345.4750813433123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10.246686413252934</v>
      </c>
      <c r="DG165" s="21">
        <f>EXP(-LN(2)/25)*DG164+(1-EXP(-LN(2)/25))/(LN(2)/25)*Calculateur!DB165*Calculateur!DD165*VLOOKUP('Données projet'!$B$13,Paramètres!$A$1:$I$89,3,0)*0.475*44/12</f>
        <v>5.2837221091354518</v>
      </c>
      <c r="DH165" s="21">
        <f>EXP(-LN(2)/2)*DH164+(1-EXP(-LN(2)/2))/(LN(2)/2)*DB165*DE165*VLOOKUP('Données projet'!$B$13,Paramètres!$A$1:$I$89,3,0)*0.475*44/12</f>
        <v>2.8385930456534585E-11</v>
      </c>
      <c r="DI165" s="22">
        <f t="shared" si="175"/>
        <v>15.530408522416772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9.4880000000000049</v>
      </c>
      <c r="DO165" s="12">
        <f>IF('Données projet'!$A$166&gt;35,DO164+DN165-DW164,IF(A165&lt;'Données projet'!$A$166,$DL$205^A165,IF(A165='Données projet'!$A$166,'Données projet'!$B$166,DO164+DN165-DW164)))</f>
        <v>561.3440000000013</v>
      </c>
      <c r="DP165" s="17">
        <f>DO165*VLOOKUP('Données projet'!$B$14,Paramètres!$A$1:$I$89,3,0)*VLOOKUP('Données projet'!$B$14,Paramètres!$A$1:$I$89,5,0)</f>
        <v>507.90405120000116</v>
      </c>
      <c r="DQ165" s="13">
        <f t="shared" si="176"/>
        <v>113.33935964263163</v>
      </c>
      <c r="DR165" s="20">
        <f t="shared" si="177"/>
        <v>1081.9989405509189</v>
      </c>
      <c r="DS165" s="59">
        <f t="shared" si="125"/>
        <v>1375.3322738842521</v>
      </c>
      <c r="DT165" s="59">
        <f ca="1">AVERAGE(OFFSET($DS$3,0,0,'Données projet'!$E$14+1,1))-AVERAGE(OFFSET($H$3,0,0,'Données projet'!$E$14+1,1))</f>
        <v>635.71275911100679</v>
      </c>
      <c r="DU165" s="59">
        <f t="shared" si="152"/>
        <v>281.7776857269169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46.210010259983498</v>
      </c>
      <c r="EB165" s="21">
        <f>EXP(-LN(2)/25)*EB164+(1-EXP(-LN(2)/25))/(LN(2)/25)*Calculateur!DW165*Calculateur!DY165*VLOOKUP('Données projet'!$B$14,Paramètres!$A$1:$I$89,3,0)*0.475*44/12</f>
        <v>18.340753546257798</v>
      </c>
      <c r="EC165" s="21">
        <f>EXP(-LN(2)/2)*EC164+(1-EXP(-LN(2)/2))/(LN(2)/2)*DW165*DZ165*VLOOKUP('Données projet'!$B$14,Paramètres!$A$1:$I$89,3,0)*0.475*44/12</f>
        <v>9.7388846159451158E-6</v>
      </c>
      <c r="ED165" s="22">
        <f t="shared" si="178"/>
        <v>64.550773545125907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9.4880000000000049</v>
      </c>
      <c r="EJ165" s="12">
        <f>IF('Données projet'!$A$192&gt;35,EJ164+EI165-ER164,IF(A165&lt;'Données projet'!$A$192,$EG$205^A165,IF(A165='Données projet'!$A$192,'Données projet'!$B$192,EJ164+EI165-ER164)))</f>
        <v>561.3440000000013</v>
      </c>
      <c r="EK165" s="17">
        <f>EJ165*VLOOKUP('Données projet'!$B$15,Paramètres!$A$1:$I$89,3,0)*VLOOKUP('Données projet'!$B$15,Paramètres!$A$1:$I$89,5,0)</f>
        <v>376.5495552000009</v>
      </c>
      <c r="EL165" s="13">
        <f t="shared" si="179"/>
        <v>87.005860543413618</v>
      </c>
      <c r="EM165" s="20">
        <f t="shared" si="180"/>
        <v>807.35901575311357</v>
      </c>
      <c r="EN165" s="59">
        <f t="shared" si="128"/>
        <v>1100.6923490864469</v>
      </c>
      <c r="EO165" s="59">
        <f ca="1">AVERAGE(OFFSET($EN$3,0,0,'Données projet'!$E$15+1,1))-AVERAGE(OFFSET($H$3,0,0,'Données projet'!$E$15+1,1))</f>
        <v>482.99915419700773</v>
      </c>
      <c r="EP165" s="59">
        <f t="shared" si="154"/>
        <v>219.74157899604279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42.226388685847013</v>
      </c>
      <c r="EW165" s="21">
        <f>EXP(-LN(2)/25)*EW164+(1-EXP(-LN(2)/25))/(LN(2)/25)*Calculateur!ER165*Calculateur!ET165*VLOOKUP('Données projet'!$B$15,Paramètres!$A$1:$I$89,3,0)*0.475*44/12</f>
        <v>16.759654102614881</v>
      </c>
      <c r="EX165" s="21">
        <f>EXP(-LN(2)/2)*EX164+(1-EXP(-LN(2)/2))/(LN(2)/2)*ER165*EU165*VLOOKUP('Données projet'!$B$15,Paramètres!$A$1:$I$89,3,0)*0.475*44/12</f>
        <v>7.2202075600972566E-6</v>
      </c>
      <c r="EY165" s="22">
        <f t="shared" si="181"/>
        <v>58.986050008669451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9.4880000000000049</v>
      </c>
      <c r="FE165" s="12">
        <f>IF('Données projet'!$A$218&gt;35,FE164+FD165-FM164,IF(A165&lt;'Données projet'!$A$218,$FB$205^A165,IF(A165='Données projet'!$A$218,'Données projet'!$B$218,FE164+FD165-FM164)))</f>
        <v>561.3440000000013</v>
      </c>
      <c r="FF165" s="17">
        <f>FE165*VLOOKUP('Données projet'!$B$16,Paramètres!$A$1:$I$89,3,0)*VLOOKUP('Données projet'!$B$16,Paramètres!$A$1:$I$89,5,0)</f>
        <v>534.17495040000119</v>
      </c>
      <c r="FG165" s="13">
        <f t="shared" si="182"/>
        <v>118.50405780990992</v>
      </c>
      <c r="FH165" s="20">
        <f t="shared" si="183"/>
        <v>1136.7492726322619</v>
      </c>
      <c r="FI165" s="59">
        <f t="shared" si="131"/>
        <v>1430.0826059655951</v>
      </c>
      <c r="FJ165" s="59">
        <f ca="1">AVERAGE(OFFSET($FI$3,0,0,'Données projet'!$E$16+1,1))-AVERAGE(OFFSET($H$3,0,0,'Données projet'!$E$16+1,1))</f>
        <v>666.1523645983184</v>
      </c>
      <c r="FK165" s="59">
        <f t="shared" si="156"/>
        <v>294.13851344047526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48.600183204465409</v>
      </c>
      <c r="FR165" s="21">
        <f>EXP(-LN(2)/25)*FR164+(1-EXP(-LN(2)/25))/(LN(2)/25)*Calculateur!FM165*Calculateur!FO165*VLOOKUP('Données projet'!$B$16,Paramètres!$A$1:$I$89,3,0)*0.475*44/12</f>
        <v>19.289413212443538</v>
      </c>
      <c r="FS165" s="21">
        <f>EXP(-LN(2)/2)*FS164+(1-EXP(-LN(2)/2))/(LN(2)/2)*FM165*FP165*VLOOKUP('Données projet'!$B$16,Paramètres!$A$1:$I$89,3,0)*0.475*44/12</f>
        <v>1.0242620027114716E-5</v>
      </c>
      <c r="FT165" s="22">
        <f t="shared" si="184"/>
        <v>67.889606659528965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328.55631138162721</v>
      </c>
      <c r="T166" s="59">
        <f t="shared" si="142"/>
        <v>321.81422611044985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7.5110881032537193</v>
      </c>
      <c r="AA166" s="21">
        <f>EXP(-LN(2)/25)*AA165+(1-EXP(-LN(2)/25))/(LN(2)/25)*Calculateur!V166*Calculateur!X166*VLOOKUP('Données projet'!$B$9,Paramètres!$A$1:$I$89,3,0)*0.475*44/12</f>
        <v>3.8425456558855999</v>
      </c>
      <c r="AB166" s="21">
        <f>EXP(-LN(2)/2)*AB165+(1-EXP(-LN(2)/2))/(LN(2)/2)*V166*Y166*VLOOKUP('Données projet'!$B$9,Paramètres!$A$1:$I$89,3,0)*0.475*44/12</f>
        <v>1.8497618510920564E-11</v>
      </c>
      <c r="AC166" s="22">
        <f t="shared" si="163"/>
        <v>11.353633759157816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353.37479213497227</v>
      </c>
      <c r="AO166" s="59">
        <f t="shared" si="144"/>
        <v>345.4750813433123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10.045755142550634</v>
      </c>
      <c r="AV166" s="21">
        <f>EXP(-LN(2)/25)*AV165+(1-EXP(-LN(2)/25))/(LN(2)/25)*Calculateur!AQ166*Calculateur!AS166*VLOOKUP('Données projet'!$B$10,Paramètres!$A$1:$I$89,3,0)*0.475*44/12</f>
        <v>5.1392384502022734</v>
      </c>
      <c r="AW166" s="21">
        <f>EXP(-LN(2)/2)*AW165+(1-EXP(-LN(2)/2))/(LN(2)/2)*AQ166*AT166*VLOOKUP('Données projet'!$B$10,Paramètres!$A$1:$I$89,3,0)*0.475*44/12</f>
        <v>2.0071883916105355E-11</v>
      </c>
      <c r="AX166" s="21">
        <f t="shared" si="166"/>
        <v>15.184993592772978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359.57284550600366</v>
      </c>
      <c r="BJ166" s="59">
        <f t="shared" si="146"/>
        <v>351.38386928091433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10.242730733581039</v>
      </c>
      <c r="BQ166" s="21">
        <f>EXP(-LN(2)/25)*BQ165+(1-EXP(-LN(2)/25))/(LN(2)/25)*Calculateur!BL166*Calculateur!BN166*VLOOKUP('Données projet'!$B$11,Paramètres!$A$1:$I$89,3,0)*0.475*44/12</f>
        <v>5.2400078315787857</v>
      </c>
      <c r="BR166" s="21">
        <f>EXP(-LN(2)/2)*BR165+(1-EXP(-LN(2)/2))/(LN(2)/2)*BL166*BO166*VLOOKUP('Données projet'!$B$11,Paramètres!$A$1:$I$89,3,0)*0.475*44/12</f>
        <v>2.0465450267401586E-11</v>
      </c>
      <c r="BS166" s="22">
        <f t="shared" si="169"/>
        <v>15.48273856518029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-8.5265128291212022E-14</v>
      </c>
      <c r="BZ166" s="13">
        <f>BY166*VLOOKUP('Données projet'!$B$12,Paramètres!$A$1:$I$89,3,0)*VLOOKUP('Données projet'!$B$12,Paramètres!$A$1:$I$89,5,0)</f>
        <v>-6.9167072069831198E-14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159.4660488566085</v>
      </c>
      <c r="CE166" s="59">
        <f t="shared" si="148"/>
        <v>135.33030558297088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2.1377305966123261</v>
      </c>
      <c r="CM166" s="21">
        <f>EXP(-LN(2)/2)*CM165+(1-EXP(-LN(2)/2))/(LN(2)/2)*CG166*CJ166*VLOOKUP('Données projet'!$B$12,Paramètres!$A$1:$I$89,3,0)*0.475*44/12</f>
        <v>2.5770767101689029E-10</v>
      </c>
      <c r="CN166" s="22">
        <f t="shared" si="172"/>
        <v>2.1377305968700338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353.37479213497227</v>
      </c>
      <c r="CZ166" s="59">
        <f t="shared" si="150"/>
        <v>345.4750813433123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10.045755142550634</v>
      </c>
      <c r="DG166" s="21">
        <f>EXP(-LN(2)/25)*DG165+(1-EXP(-LN(2)/25))/(LN(2)/25)*Calculateur!DB166*Calculateur!DD166*VLOOKUP('Données projet'!$B$13,Paramètres!$A$1:$I$89,3,0)*0.475*44/12</f>
        <v>5.1392384502022734</v>
      </c>
      <c r="DH166" s="21">
        <f>EXP(-LN(2)/2)*DH165+(1-EXP(-LN(2)/2))/(LN(2)/2)*DB166*DE166*VLOOKUP('Données projet'!$B$13,Paramètres!$A$1:$I$89,3,0)*0.475*44/12</f>
        <v>2.0071883916105355E-11</v>
      </c>
      <c r="DI166" s="22">
        <f t="shared" si="175"/>
        <v>15.184993592772978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9.4880000000000049</v>
      </c>
      <c r="DO166" s="12">
        <f>IF('Données projet'!$A$166&gt;35,DO165+DN166-DW165,IF(A166&lt;'Données projet'!$A$166,$DL$205^A166,IF(A166='Données projet'!$A$166,'Données projet'!$B$166,DO165+DN166-DW165)))</f>
        <v>570.83200000000136</v>
      </c>
      <c r="DP166" s="17">
        <f>DO166*VLOOKUP('Données projet'!$B$14,Paramètres!$A$1:$I$89,3,0)*VLOOKUP('Données projet'!$B$14,Paramètres!$A$1:$I$89,5,0)</f>
        <v>516.48879360000115</v>
      </c>
      <c r="DQ166" s="13">
        <f t="shared" si="176"/>
        <v>115.03041290761819</v>
      </c>
      <c r="DR166" s="20">
        <f t="shared" si="177"/>
        <v>1099.8959513341035</v>
      </c>
      <c r="DS166" s="59">
        <f t="shared" si="125"/>
        <v>1393.2292846674368</v>
      </c>
      <c r="DT166" s="59">
        <f ca="1">AVERAGE(OFFSET($DS$3,0,0,'Données projet'!$E$14+1,1))-AVERAGE(OFFSET($H$3,0,0,'Données projet'!$E$14+1,1))</f>
        <v>635.71275911100679</v>
      </c>
      <c r="DU166" s="59">
        <f t="shared" si="152"/>
        <v>281.7776857269169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45.303860144108413</v>
      </c>
      <c r="EB166" s="21">
        <f>EXP(-LN(2)/25)*EB165+(1-EXP(-LN(2)/25))/(LN(2)/25)*Calculateur!DW166*Calculateur!DY166*VLOOKUP('Données projet'!$B$14,Paramètres!$A$1:$I$89,3,0)*0.475*44/12</f>
        <v>17.839224676037066</v>
      </c>
      <c r="EC166" s="21">
        <f>EXP(-LN(2)/2)*EC165+(1-EXP(-LN(2)/2))/(LN(2)/2)*DW166*DZ166*VLOOKUP('Données projet'!$B$14,Paramètres!$A$1:$I$89,3,0)*0.475*44/12</f>
        <v>6.886431353128137E-6</v>
      </c>
      <c r="ED166" s="22">
        <f t="shared" si="178"/>
        <v>63.143091706576826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9.4880000000000049</v>
      </c>
      <c r="EJ166" s="12">
        <f>IF('Données projet'!$A$192&gt;35,EJ165+EI166-ER165,IF(A166&lt;'Données projet'!$A$192,$EG$205^A166,IF(A166='Données projet'!$A$192,'Données projet'!$B$192,EJ165+EI166-ER165)))</f>
        <v>570.83200000000136</v>
      </c>
      <c r="EK166" s="17">
        <f>EJ166*VLOOKUP('Données projet'!$B$15,Paramètres!$A$1:$I$89,3,0)*VLOOKUP('Données projet'!$B$15,Paramètres!$A$1:$I$89,5,0)</f>
        <v>382.91410560000094</v>
      </c>
      <c r="EL166" s="13">
        <f t="shared" si="179"/>
        <v>88.304011027136326</v>
      </c>
      <c r="EM166" s="20">
        <f t="shared" si="180"/>
        <v>820.70488645893067</v>
      </c>
      <c r="EN166" s="59">
        <f t="shared" si="128"/>
        <v>1114.038219792264</v>
      </c>
      <c r="EO166" s="59">
        <f ca="1">AVERAGE(OFFSET($EN$3,0,0,'Données projet'!$E$15+1,1))-AVERAGE(OFFSET($H$3,0,0,'Données projet'!$E$15+1,1))</f>
        <v>482.99915419700773</v>
      </c>
      <c r="EP166" s="59">
        <f t="shared" si="154"/>
        <v>219.74157899604279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41.398354959271501</v>
      </c>
      <c r="EW166" s="21">
        <f>EXP(-LN(2)/25)*EW165+(1-EXP(-LN(2)/25))/(LN(2)/25)*Calculateur!ER166*Calculateur!ET166*VLOOKUP('Données projet'!$B$15,Paramètres!$A$1:$I$89,3,0)*0.475*44/12</f>
        <v>16.301360479826972</v>
      </c>
      <c r="EX166" s="21">
        <f>EXP(-LN(2)/2)*EX165+(1-EXP(-LN(2)/2))/(LN(2)/2)*ER166*EU166*VLOOKUP('Données projet'!$B$15,Paramètres!$A$1:$I$89,3,0)*0.475*44/12</f>
        <v>5.1054577273191469E-6</v>
      </c>
      <c r="EY166" s="22">
        <f t="shared" si="181"/>
        <v>57.699720544556193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9.4880000000000049</v>
      </c>
      <c r="FE166" s="12">
        <f>IF('Données projet'!$A$218&gt;35,FE165+FD166-FM165,IF(A166&lt;'Données projet'!$A$218,$FB$205^A166,IF(A166='Données projet'!$A$218,'Données projet'!$B$218,FE165+FD166-FM165)))</f>
        <v>570.83200000000136</v>
      </c>
      <c r="FF166" s="17">
        <f>FE166*VLOOKUP('Données projet'!$B$16,Paramètres!$A$1:$I$89,3,0)*VLOOKUP('Données projet'!$B$16,Paramètres!$A$1:$I$89,5,0)</f>
        <v>543.20373120000136</v>
      </c>
      <c r="FG166" s="13">
        <f t="shared" si="182"/>
        <v>120.27216973947687</v>
      </c>
      <c r="FH166" s="20">
        <f t="shared" si="183"/>
        <v>1155.5538608029244</v>
      </c>
      <c r="FI166" s="59">
        <f t="shared" si="131"/>
        <v>1448.8871941362577</v>
      </c>
      <c r="FJ166" s="59">
        <f ca="1">AVERAGE(OFFSET($FI$3,0,0,'Données projet'!$E$16+1,1))-AVERAGE(OFFSET($H$3,0,0,'Données projet'!$E$16+1,1))</f>
        <v>666.1523645983184</v>
      </c>
      <c r="FK166" s="59">
        <f t="shared" si="156"/>
        <v>294.13851344047526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47.647163255010575</v>
      </c>
      <c r="FR166" s="21">
        <f>EXP(-LN(2)/25)*FR165+(1-EXP(-LN(2)/25))/(LN(2)/25)*Calculateur!FM166*Calculateur!FO166*VLOOKUP('Données projet'!$B$16,Paramètres!$A$1:$I$89,3,0)*0.475*44/12</f>
        <v>18.761943193763116</v>
      </c>
      <c r="FS166" s="21">
        <f>EXP(-LN(2)/2)*FS165+(1-EXP(-LN(2)/2))/(LN(2)/2)*FM166*FP166*VLOOKUP('Données projet'!$B$16,Paramètres!$A$1:$I$89,3,0)*0.475*44/12</f>
        <v>7.2426260782899553E-6</v>
      </c>
      <c r="FT166" s="22">
        <f t="shared" si="184"/>
        <v>66.409113691399767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328.55631138162721</v>
      </c>
      <c r="T167" s="59">
        <f t="shared" si="142"/>
        <v>321.81422611044985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7.3638002468602899</v>
      </c>
      <c r="AA167" s="21">
        <f>EXP(-LN(2)/25)*AA166+(1-EXP(-LN(2)/25))/(LN(2)/25)*Calculateur!V167*Calculateur!X167*VLOOKUP('Données projet'!$B$9,Paramètres!$A$1:$I$89,3,0)*0.475*44/12</f>
        <v>3.7374710428547142</v>
      </c>
      <c r="AB167" s="21">
        <f>EXP(-LN(2)/2)*AB166+(1-EXP(-LN(2)/2))/(LN(2)/2)*V167*Y167*VLOOKUP('Données projet'!$B$9,Paramètres!$A$1:$I$89,3,0)*0.475*44/12</f>
        <v>1.3079791484873738E-11</v>
      </c>
      <c r="AC167" s="22">
        <f t="shared" si="163"/>
        <v>11.101271289728084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353.37479213497227</v>
      </c>
      <c r="AO167" s="59">
        <f t="shared" si="144"/>
        <v>345.4750813433123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9.8487640115108324</v>
      </c>
      <c r="AV167" s="21">
        <f>EXP(-LN(2)/25)*AV166+(1-EXP(-LN(2)/25))/(LN(2)/25)*Calculateur!AQ167*Calculateur!AS167*VLOOKUP('Données projet'!$B$10,Paramètres!$A$1:$I$89,3,0)*0.475*44/12</f>
        <v>4.9987057045206882</v>
      </c>
      <c r="AW167" s="21">
        <f>EXP(-LN(2)/2)*AW166+(1-EXP(-LN(2)/2))/(LN(2)/2)*AQ167*AT167*VLOOKUP('Données projet'!$B$10,Paramètres!$A$1:$I$89,3,0)*0.475*44/12</f>
        <v>1.4192965228267292E-11</v>
      </c>
      <c r="AX167" s="21">
        <f t="shared" si="166"/>
        <v>14.847469716045714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359.57284550600366</v>
      </c>
      <c r="BJ167" s="59">
        <f t="shared" si="146"/>
        <v>351.38386928091433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10.041877031344379</v>
      </c>
      <c r="BQ167" s="21">
        <f>EXP(-LN(2)/25)*BQ166+(1-EXP(-LN(2)/25))/(LN(2)/25)*Calculateur!BL167*Calculateur!BN167*VLOOKUP('Données projet'!$B$11,Paramètres!$A$1:$I$89,3,0)*0.475*44/12</f>
        <v>5.0967195418642284</v>
      </c>
      <c r="BR167" s="21">
        <f>EXP(-LN(2)/2)*BR166+(1-EXP(-LN(2)/2))/(LN(2)/2)*BL167*BO167*VLOOKUP('Données projet'!$B$11,Paramètres!$A$1:$I$89,3,0)*0.475*44/12</f>
        <v>1.4471258664115705E-11</v>
      </c>
      <c r="BS167" s="22">
        <f t="shared" si="169"/>
        <v>15.138596573223079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-8.5265128291212022E-14</v>
      </c>
      <c r="BZ167" s="13">
        <f>BY167*VLOOKUP('Données projet'!$B$12,Paramètres!$A$1:$I$89,3,0)*VLOOKUP('Données projet'!$B$12,Paramètres!$A$1:$I$89,5,0)</f>
        <v>-6.9167072069831198E-14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159.4660488566085</v>
      </c>
      <c r="CE167" s="59">
        <f t="shared" si="148"/>
        <v>135.33030558297088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2.0792742410295957</v>
      </c>
      <c r="CM167" s="21">
        <f>EXP(-LN(2)/2)*CM166+(1-EXP(-LN(2)/2))/(LN(2)/2)*CG167*CJ167*VLOOKUP('Données projet'!$B$12,Paramètres!$A$1:$I$89,3,0)*0.475*44/12</f>
        <v>1.8222684173983502E-10</v>
      </c>
      <c r="CN167" s="22">
        <f t="shared" si="172"/>
        <v>2.0792742412118224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353.37479213497227</v>
      </c>
      <c r="CZ167" s="59">
        <f t="shared" si="150"/>
        <v>345.4750813433123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9.8487640115108324</v>
      </c>
      <c r="DG167" s="21">
        <f>EXP(-LN(2)/25)*DG166+(1-EXP(-LN(2)/25))/(LN(2)/25)*Calculateur!DB167*Calculateur!DD167*VLOOKUP('Données projet'!$B$13,Paramètres!$A$1:$I$89,3,0)*0.475*44/12</f>
        <v>4.9987057045206882</v>
      </c>
      <c r="DH167" s="21">
        <f>EXP(-LN(2)/2)*DH166+(1-EXP(-LN(2)/2))/(LN(2)/2)*DB167*DE167*VLOOKUP('Données projet'!$B$13,Paramètres!$A$1:$I$89,3,0)*0.475*44/12</f>
        <v>1.4192965228267292E-11</v>
      </c>
      <c r="DI167" s="22">
        <f t="shared" si="175"/>
        <v>14.847469716045714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>
        <f>VLOOKUP(A167,'Données projet'!$A$165:$I$185,2,0)</f>
        <v>580.32000000000005</v>
      </c>
      <c r="DM167" s="12">
        <f>VLOOKUP(A167,'Données projet'!$A$165:$I$185,9,0)</f>
        <v>9.4880000000000049</v>
      </c>
      <c r="DN167" s="12">
        <f t="array" ref="DN167">INDEX(DM:DM,MIN(IF(ISNUMBER(DM167:DM363),ROW(DM167:DM363),"")))</f>
        <v>9.4880000000000049</v>
      </c>
      <c r="DO167" s="12">
        <f>IF('Données projet'!$A$166&gt;35,DO166+DN167-DW166,IF(A167&lt;'Données projet'!$A$166,$DL$205^A167,IF(A167='Données projet'!$A$166,'Données projet'!$B$166,DO166+DN167-DW166)))</f>
        <v>580.32000000000141</v>
      </c>
      <c r="DP167" s="17">
        <f>DO167*VLOOKUP('Données projet'!$B$14,Paramètres!$A$1:$I$89,3,0)*VLOOKUP('Données projet'!$B$14,Paramètres!$A$1:$I$89,5,0)</f>
        <v>525.07353600000124</v>
      </c>
      <c r="DQ167" s="13">
        <f t="shared" si="176"/>
        <v>116.71819745258949</v>
      </c>
      <c r="DR167" s="20">
        <f t="shared" si="177"/>
        <v>1117.7872690965953</v>
      </c>
      <c r="DS167" s="59">
        <f t="shared" si="125"/>
        <v>1411.1206024299286</v>
      </c>
      <c r="DT167" s="59">
        <f ca="1">AVERAGE(OFFSET($DS$3,0,0,'Données projet'!$E$14+1,1))-AVERAGE(OFFSET($H$3,0,0,'Données projet'!$E$14+1,1))</f>
        <v>635.71275911100679</v>
      </c>
      <c r="DU167" s="59">
        <f t="shared" si="152"/>
        <v>281.7776857269169</v>
      </c>
      <c r="DV167" s="15">
        <f>IF(ISNA(VLOOKUP(A167,'Données projet'!$A$165:$I$185,3,0)),0,VLOOKUP(A167,'Données projet'!$A$165:$I$185,3,0))</f>
        <v>14</v>
      </c>
      <c r="DW167" s="15">
        <f>IF(ISNA(VLOOKUP(A167,'Données projet'!$A$165:$I$185,4,0)),0,VLOOKUP(A167,'Données projet'!$A$165:$I$185,4,0))</f>
        <v>66.020000000000095</v>
      </c>
      <c r="DX167" s="16">
        <f>IF(ISNA(VLOOKUP(A167,'Données projet'!$A$165:$I$185,5,0)),0%,VLOOKUP(A167,'Données projet'!$A$165:$I$185,5,0)*VLOOKUP('Données projet'!$B$14,Paramètres!$A$1:$I$89,7,0))</f>
        <v>0.215</v>
      </c>
      <c r="DY167" s="16">
        <f>IF(ISNA(VLOOKUP(A167,'Données projet'!$A$165:$I$185,6,0)),0%,VLOOKUP(A167,'Données projet'!$A$165:$I$185,6,0)*VLOOKUP('Données projet'!$B$14,Paramètres!$A$1:$I$89,7,0))</f>
        <v>8.6000000000000007E-2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58.613038082092139</v>
      </c>
      <c r="EB167" s="21">
        <f>EXP(-LN(2)/25)*EB166+(1-EXP(-LN(2)/25))/(LN(2)/25)*Calculateur!DW167*Calculateur!DY167*VLOOKUP('Données projet'!$B$14,Paramètres!$A$1:$I$89,3,0)*0.475*44/12</f>
        <v>23.008073260464958</v>
      </c>
      <c r="EC167" s="21">
        <f>EXP(-LN(2)/2)*EC166+(1-EXP(-LN(2)/2))/(LN(2)/2)*DW167*DZ167*VLOOKUP('Données projet'!$B$14,Paramètres!$A$1:$I$89,3,0)*0.475*44/12</f>
        <v>4.8694423079725579E-6</v>
      </c>
      <c r="ED167" s="22">
        <f t="shared" si="178"/>
        <v>81.621116211999407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>
        <f>VLOOKUP(A167,'Données projet'!$A$191:$I$211,2,0)</f>
        <v>580.32000000000005</v>
      </c>
      <c r="EH167" s="12">
        <f>VLOOKUP(A167,'Données projet'!$A$191:$I$211,9,0)</f>
        <v>9.4880000000000049</v>
      </c>
      <c r="EI167" s="12">
        <f t="array" ref="EI167">INDEX(EH:EH,MIN(IF(ISNUMBER(EH167:EH363),ROW(EH167:EH363),"")))</f>
        <v>9.4880000000000049</v>
      </c>
      <c r="EJ167" s="12">
        <f>IF('Données projet'!$A$192&gt;35,EJ166+EI167-ER166,IF(A167&lt;'Données projet'!$A$192,$EG$205^A167,IF(A167='Données projet'!$A$192,'Données projet'!$B$192,EJ166+EI167-ER166)))</f>
        <v>580.32000000000141</v>
      </c>
      <c r="EK167" s="17">
        <f>EJ167*VLOOKUP('Données projet'!$B$15,Paramètres!$A$1:$I$89,3,0)*VLOOKUP('Données projet'!$B$15,Paramètres!$A$1:$I$89,5,0)</f>
        <v>389.27865600000092</v>
      </c>
      <c r="EL167" s="13">
        <f t="shared" si="179"/>
        <v>89.599652251951028</v>
      </c>
      <c r="EM167" s="20">
        <f t="shared" si="180"/>
        <v>834.04638687214958</v>
      </c>
      <c r="EN167" s="59">
        <f t="shared" si="128"/>
        <v>1127.379720205483</v>
      </c>
      <c r="EO167" s="59">
        <f ca="1">AVERAGE(OFFSET($EN$3,0,0,'Données projet'!$E$15+1,1))-AVERAGE(OFFSET($H$3,0,0,'Données projet'!$E$15+1,1))</f>
        <v>482.99915419700773</v>
      </c>
      <c r="EP167" s="59">
        <f t="shared" si="154"/>
        <v>219.74157899604279</v>
      </c>
      <c r="EQ167" s="15">
        <f>IF(ISNA(VLOOKUP(A167,'Données projet'!$A$191:$I$211,3,0)),0,VLOOKUP(A167,'Données projet'!$A$191:$I$211,3,0))</f>
        <v>14</v>
      </c>
      <c r="ER167" s="15">
        <f>IF(ISNA(VLOOKUP(A167,'Données projet'!$A$191:$I$211,4,0)),0,VLOOKUP(A167,'Données projet'!$A$191:$I$211,4,0))</f>
        <v>66.020000000000095</v>
      </c>
      <c r="ES167" s="16">
        <f>IF(ISNA(VLOOKUP(A167,'Données projet'!$A$191:$I$211,5,0)),0%,VLOOKUP(A167,'Données projet'!$A$191:$I$211,5,0)*VLOOKUP('Données projet'!$B$15,Paramètres!$A$1:$I$89,7,0))</f>
        <v>0.26500000000000001</v>
      </c>
      <c r="ET167" s="16">
        <f>IF(ISNA(VLOOKUP(A167,'Données projet'!$A$191:$I$211,6,0)),0%,VLOOKUP(A167,'Données projet'!$A$191:$I$211,6,0)*VLOOKUP('Données projet'!$B$15,Paramètres!$A$1:$I$89,7,0))</f>
        <v>0.10600000000000001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53.56018997156697</v>
      </c>
      <c r="EW167" s="21">
        <f>EXP(-LN(2)/25)*EW166+(1-EXP(-LN(2)/25))/(LN(2)/25)*Calculateur!ER167*Calculateur!ET167*VLOOKUP('Données projet'!$B$15,Paramètres!$A$1:$I$89,3,0)*0.475*44/12</f>
        <v>21.024618669045566</v>
      </c>
      <c r="EX167" s="21">
        <f>EXP(-LN(2)/2)*EX166+(1-EXP(-LN(2)/2))/(LN(2)/2)*ER167*EU167*VLOOKUP('Données projet'!$B$15,Paramètres!$A$1:$I$89,3,0)*0.475*44/12</f>
        <v>3.6101037800486283E-6</v>
      </c>
      <c r="EY167" s="22">
        <f t="shared" si="181"/>
        <v>74.584812250716311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>
        <f>VLOOKUP(A167,'Données projet'!$A$217:$I$237,2,0)</f>
        <v>580.32000000000005</v>
      </c>
      <c r="FC167" s="12">
        <f>VLOOKUP(A167,'Données projet'!$A$217:$I$237,9,0)</f>
        <v>9.4880000000000049</v>
      </c>
      <c r="FD167" s="12">
        <f t="array" ref="FD167">INDEX(FC:FC,MIN(IF(ISNUMBER(FC167:FC363),ROW(FC167:FC363),"")))</f>
        <v>9.4880000000000049</v>
      </c>
      <c r="FE167" s="12">
        <f>IF('Données projet'!$A$218&gt;35,FE166+FD167-FM166,IF(A167&lt;'Données projet'!$A$218,$FB$205^A167,IF(A167='Données projet'!$A$218,'Données projet'!$B$218,FE166+FD167-FM166)))</f>
        <v>580.32000000000141</v>
      </c>
      <c r="FF167" s="17">
        <f>FE167*VLOOKUP('Données projet'!$B$16,Paramètres!$A$1:$I$89,3,0)*VLOOKUP('Données projet'!$B$16,Paramètres!$A$1:$I$89,5,0)</f>
        <v>552.23251200000141</v>
      </c>
      <c r="FG167" s="13">
        <f t="shared" si="182"/>
        <v>122.03686399854614</v>
      </c>
      <c r="FH167" s="20">
        <f t="shared" si="183"/>
        <v>1174.3524965308034</v>
      </c>
      <c r="FI167" s="59">
        <f t="shared" si="131"/>
        <v>1467.6858298641366</v>
      </c>
      <c r="FJ167" s="59">
        <f ca="1">AVERAGE(OFFSET($FI$3,0,0,'Données projet'!$E$16+1,1))-AVERAGE(OFFSET($H$3,0,0,'Données projet'!$E$16+1,1))</f>
        <v>666.1523645983184</v>
      </c>
      <c r="FK167" s="59">
        <f t="shared" si="156"/>
        <v>294.13851344047526</v>
      </c>
      <c r="FL167" s="15">
        <f>IF(ISNA(VLOOKUP(A167,'Données projet'!$A$217:$I$237,3,0)),0,VLOOKUP(A167,'Données projet'!$A$217:$I$237,3,0))</f>
        <v>14</v>
      </c>
      <c r="FM167" s="15">
        <f>IF(ISNA(VLOOKUP(A167,'Données projet'!$A$217:$I$237,4,0)),0,VLOOKUP(A167,'Données projet'!$A$217:$I$237,4,0))</f>
        <v>66.020000000000095</v>
      </c>
      <c r="FN167" s="16">
        <f>IF(ISNA(VLOOKUP(A167,'Données projet'!$A$217:$I$237,5,0)),0%,VLOOKUP(A167,'Données projet'!$A$217:$I$237,5,0)*VLOOKUP('Données projet'!$B$16,Paramètres!$A$1:$I$89,7,0))</f>
        <v>0.215</v>
      </c>
      <c r="FO167" s="16">
        <f>IF(ISNA(VLOOKUP(A167,'Données projet'!$A$217:$I$237,6,0)),0%,VLOOKUP(A167,'Données projet'!$A$217:$I$237,6,0)*VLOOKUP('Données projet'!$B$16,Paramètres!$A$1:$I$89,7,0))</f>
        <v>8.6000000000000007E-2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61.644746948407253</v>
      </c>
      <c r="FR167" s="21">
        <f>EXP(-LN(2)/25)*FR166+(1-EXP(-LN(2)/25))/(LN(2)/25)*Calculateur!FM167*Calculateur!FO167*VLOOKUP('Données projet'!$B$16,Paramètres!$A$1:$I$89,3,0)*0.475*44/12</f>
        <v>24.198146015316592</v>
      </c>
      <c r="FS167" s="21">
        <f>EXP(-LN(2)/2)*FS166+(1-EXP(-LN(2)/2))/(LN(2)/2)*FM167*FP167*VLOOKUP('Données projet'!$B$16,Paramètres!$A$1:$I$89,3,0)*0.475*44/12</f>
        <v>5.1213100135573589E-6</v>
      </c>
      <c r="FT167" s="22">
        <f t="shared" si="184"/>
        <v>85.842898085033852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328.55631138162721</v>
      </c>
      <c r="T168" s="59">
        <f t="shared" si="142"/>
        <v>321.81422611044985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7.2194006154940142</v>
      </c>
      <c r="AA168" s="21">
        <f>EXP(-LN(2)/25)*AA167+(1-EXP(-LN(2)/25))/(LN(2)/25)*Calculateur!V168*Calculateur!X168*VLOOKUP('Données projet'!$B$9,Paramètres!$A$1:$I$89,3,0)*0.475*44/12</f>
        <v>3.6352697006427919</v>
      </c>
      <c r="AB168" s="21">
        <f>EXP(-LN(2)/2)*AB167+(1-EXP(-LN(2)/2))/(LN(2)/2)*V168*Y168*VLOOKUP('Données projet'!$B$9,Paramètres!$A$1:$I$89,3,0)*0.475*44/12</f>
        <v>9.2488092554602818E-12</v>
      </c>
      <c r="AC168" s="22">
        <f t="shared" si="163"/>
        <v>10.854670316146056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353.37479213497227</v>
      </c>
      <c r="AO168" s="59">
        <f t="shared" si="144"/>
        <v>345.4750813433123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9.6556357563979951</v>
      </c>
      <c r="AV168" s="21">
        <f>EXP(-LN(2)/25)*AV167+(1-EXP(-LN(2)/25))/(LN(2)/25)*Calculateur!AQ168*Calculateur!AS168*VLOOKUP('Données projet'!$B$10,Paramètres!$A$1:$I$89,3,0)*0.475*44/12</f>
        <v>4.8620158341600614</v>
      </c>
      <c r="AW168" s="21">
        <f>EXP(-LN(2)/2)*AW167+(1-EXP(-LN(2)/2))/(LN(2)/2)*AQ168*AT168*VLOOKUP('Données projet'!$B$10,Paramètres!$A$1:$I$89,3,0)*0.475*44/12</f>
        <v>1.0035941958052678E-11</v>
      </c>
      <c r="AX168" s="21">
        <f t="shared" si="166"/>
        <v>14.517651590568093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359.57284550600366</v>
      </c>
      <c r="BJ168" s="59">
        <f t="shared" si="146"/>
        <v>351.38386928091433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9.8449619476999164</v>
      </c>
      <c r="BQ168" s="21">
        <f>EXP(-LN(2)/25)*BQ167+(1-EXP(-LN(2)/25))/(LN(2)/25)*Calculateur!BL168*Calculateur!BN168*VLOOKUP('Données projet'!$B$11,Paramètres!$A$1:$I$89,3,0)*0.475*44/12</f>
        <v>4.957349477967119</v>
      </c>
      <c r="BR168" s="21">
        <f>EXP(-LN(2)/2)*BR167+(1-EXP(-LN(2)/2))/(LN(2)/2)*BL168*BO168*VLOOKUP('Données projet'!$B$11,Paramètres!$A$1:$I$89,3,0)*0.475*44/12</f>
        <v>1.0232725133700795E-11</v>
      </c>
      <c r="BS168" s="22">
        <f t="shared" si="169"/>
        <v>14.802311425677269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-8.5265128291212022E-14</v>
      </c>
      <c r="BZ168" s="13">
        <f>BY168*VLOOKUP('Données projet'!$B$12,Paramètres!$A$1:$I$89,3,0)*VLOOKUP('Données projet'!$B$12,Paramètres!$A$1:$I$89,5,0)</f>
        <v>-6.9167072069831198E-14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159.4660488566085</v>
      </c>
      <c r="CE168" s="59">
        <f t="shared" si="148"/>
        <v>135.33030558297088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2.0224163775643613</v>
      </c>
      <c r="CM168" s="21">
        <f>EXP(-LN(2)/2)*CM167+(1-EXP(-LN(2)/2))/(LN(2)/2)*CG168*CJ168*VLOOKUP('Données projet'!$B$12,Paramètres!$A$1:$I$89,3,0)*0.475*44/12</f>
        <v>1.2885383550844515E-10</v>
      </c>
      <c r="CN168" s="22">
        <f t="shared" si="172"/>
        <v>2.0224163776932151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353.37479213497227</v>
      </c>
      <c r="CZ168" s="59">
        <f t="shared" si="150"/>
        <v>345.4750813433123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9.6556357563979951</v>
      </c>
      <c r="DG168" s="21">
        <f>EXP(-LN(2)/25)*DG167+(1-EXP(-LN(2)/25))/(LN(2)/25)*Calculateur!DB168*Calculateur!DD168*VLOOKUP('Données projet'!$B$13,Paramètres!$A$1:$I$89,3,0)*0.475*44/12</f>
        <v>4.8620158341600614</v>
      </c>
      <c r="DH168" s="21">
        <f>EXP(-LN(2)/2)*DH167+(1-EXP(-LN(2)/2))/(LN(2)/2)*DB168*DE168*VLOOKUP('Données projet'!$B$13,Paramètres!$A$1:$I$89,3,0)*0.475*44/12</f>
        <v>1.0035941958052678E-11</v>
      </c>
      <c r="DI168" s="22">
        <f t="shared" si="175"/>
        <v>14.517651590568093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9.6220000000000034</v>
      </c>
      <c r="DO168" s="12">
        <f>IF('Données projet'!$A$166&gt;35,DO167+DN168-DW167,IF(A168&lt;'Données projet'!$A$166,$DL$205^A168,IF(A168='Données projet'!$A$166,'Données projet'!$B$166,DO167+DN168-DW167)))</f>
        <v>523.92200000000128</v>
      </c>
      <c r="DP168" s="17">
        <f>DO168*VLOOKUP('Données projet'!$B$14,Paramètres!$A$1:$I$89,3,0)*VLOOKUP('Données projet'!$B$14,Paramètres!$A$1:$I$89,5,0)</f>
        <v>474.04462560000115</v>
      </c>
      <c r="DQ168" s="13">
        <f t="shared" si="176"/>
        <v>106.63651269520395</v>
      </c>
      <c r="DR168" s="20">
        <f t="shared" si="177"/>
        <v>1011.3529825308154</v>
      </c>
      <c r="DS168" s="59">
        <f t="shared" si="125"/>
        <v>1304.6863158641488</v>
      </c>
      <c r="DT168" s="59">
        <f ca="1">AVERAGE(OFFSET($DS$3,0,0,'Données projet'!$E$14+1,1))-AVERAGE(OFFSET($H$3,0,0,'Données projet'!$E$14+1,1))</f>
        <v>635.71275911100679</v>
      </c>
      <c r="DU168" s="59">
        <f t="shared" si="152"/>
        <v>281.7776857269169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57.463672155725483</v>
      </c>
      <c r="EB168" s="21">
        <f>EXP(-LN(2)/25)*EB167+(1-EXP(-LN(2)/25))/(LN(2)/25)*Calculateur!DW168*Calculateur!DY168*VLOOKUP('Données projet'!$B$14,Paramètres!$A$1:$I$89,3,0)*0.475*44/12</f>
        <v>22.378916287215556</v>
      </c>
      <c r="EC168" s="21">
        <f>EXP(-LN(2)/2)*EC167+(1-EXP(-LN(2)/2))/(LN(2)/2)*DW168*DZ168*VLOOKUP('Données projet'!$B$14,Paramètres!$A$1:$I$89,3,0)*0.475*44/12</f>
        <v>3.4432156765640685E-6</v>
      </c>
      <c r="ED168" s="22">
        <f t="shared" si="178"/>
        <v>79.842591886156711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9.6220000000000034</v>
      </c>
      <c r="EJ168" s="12">
        <f>IF('Données projet'!$A$192&gt;35,EJ167+EI168-ER167,IF(A168&lt;'Données projet'!$A$192,$EG$205^A168,IF(A168='Données projet'!$A$192,'Données projet'!$B$192,EJ167+EI168-ER167)))</f>
        <v>523.92200000000128</v>
      </c>
      <c r="EK168" s="17">
        <f>EJ168*VLOOKUP('Données projet'!$B$15,Paramètres!$A$1:$I$89,3,0)*VLOOKUP('Données projet'!$B$15,Paramètres!$A$1:$I$89,5,0)</f>
        <v>351.44687760000085</v>
      </c>
      <c r="EL168" s="13">
        <f t="shared" si="179"/>
        <v>81.860366792693796</v>
      </c>
      <c r="EM168" s="20">
        <f t="shared" si="180"/>
        <v>754.6767839839431</v>
      </c>
      <c r="EN168" s="59">
        <f t="shared" si="128"/>
        <v>1048.0101173172764</v>
      </c>
      <c r="EO168" s="59">
        <f ca="1">AVERAGE(OFFSET($EN$3,0,0,'Données projet'!$E$15+1,1))-AVERAGE(OFFSET($H$3,0,0,'Données projet'!$E$15+1,1))</f>
        <v>482.99915419700773</v>
      </c>
      <c r="EP168" s="59">
        <f t="shared" si="154"/>
        <v>219.74157899604279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52.509907314714681</v>
      </c>
      <c r="EW168" s="21">
        <f>EXP(-LN(2)/25)*EW167+(1-EXP(-LN(2)/25))/(LN(2)/25)*Calculateur!ER168*Calculateur!ET168*VLOOKUP('Données projet'!$B$15,Paramètres!$A$1:$I$89,3,0)*0.475*44/12</f>
        <v>20.449699365903871</v>
      </c>
      <c r="EX168" s="21">
        <f>EXP(-LN(2)/2)*EX167+(1-EXP(-LN(2)/2))/(LN(2)/2)*ER168*EU168*VLOOKUP('Données projet'!$B$15,Paramètres!$A$1:$I$89,3,0)*0.475*44/12</f>
        <v>2.5527288636595735E-6</v>
      </c>
      <c r="EY168" s="22">
        <f t="shared" si="181"/>
        <v>72.959609233347408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9.6220000000000034</v>
      </c>
      <c r="FE168" s="12">
        <f>IF('Données projet'!$A$218&gt;35,FE167+FD168-FM167,IF(A168&lt;'Données projet'!$A$218,$FB$205^A168,IF(A168='Données projet'!$A$218,'Données projet'!$B$218,FE167+FD168-FM167)))</f>
        <v>523.92200000000128</v>
      </c>
      <c r="FF168" s="17">
        <f>FE168*VLOOKUP('Données projet'!$B$16,Paramètres!$A$1:$I$89,3,0)*VLOOKUP('Données projet'!$B$16,Paramètres!$A$1:$I$89,5,0)</f>
        <v>498.56417520000116</v>
      </c>
      <c r="FG168" s="13">
        <f t="shared" si="182"/>
        <v>111.49577256237113</v>
      </c>
      <c r="FH168" s="20">
        <f t="shared" si="183"/>
        <v>1062.5210756861318</v>
      </c>
      <c r="FI168" s="59">
        <f t="shared" si="131"/>
        <v>1355.854409019465</v>
      </c>
      <c r="FJ168" s="59">
        <f ca="1">AVERAGE(OFFSET($FI$3,0,0,'Données projet'!$E$16+1,1))-AVERAGE(OFFSET($H$3,0,0,'Données projet'!$E$16+1,1))</f>
        <v>666.1523645983184</v>
      </c>
      <c r="FK168" s="59">
        <f t="shared" si="156"/>
        <v>294.13851344047526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60.435931060331974</v>
      </c>
      <c r="FR168" s="21">
        <f>EXP(-LN(2)/25)*FR167+(1-EXP(-LN(2)/25))/(LN(2)/25)*Calculateur!FM168*Calculateur!FO168*VLOOKUP('Données projet'!$B$16,Paramètres!$A$1:$I$89,3,0)*0.475*44/12</f>
        <v>23.536446440002567</v>
      </c>
      <c r="FS168" s="21">
        <f>EXP(-LN(2)/2)*FS167+(1-EXP(-LN(2)/2))/(LN(2)/2)*FM168*FP168*VLOOKUP('Données projet'!$B$16,Paramètres!$A$1:$I$89,3,0)*0.475*44/12</f>
        <v>3.6213130391449785E-6</v>
      </c>
      <c r="FT168" s="22">
        <f t="shared" si="184"/>
        <v>83.972381121647587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328.55631138162721</v>
      </c>
      <c r="T169" s="59">
        <f t="shared" si="142"/>
        <v>321.81422611044985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7.0778325728237528</v>
      </c>
      <c r="AA169" s="21">
        <f>EXP(-LN(2)/25)*AA168+(1-EXP(-LN(2)/25))/(LN(2)/25)*Calculateur!V169*Calculateur!X169*VLOOKUP('Données projet'!$B$9,Paramètres!$A$1:$I$89,3,0)*0.475*44/12</f>
        <v>3.5358630595081899</v>
      </c>
      <c r="AB169" s="21">
        <f>EXP(-LN(2)/2)*AB168+(1-EXP(-LN(2)/2))/(LN(2)/2)*V169*Y169*VLOOKUP('Données projet'!$B$9,Paramètres!$A$1:$I$89,3,0)*0.475*44/12</f>
        <v>6.5398957424368692E-12</v>
      </c>
      <c r="AC169" s="22">
        <f t="shared" si="163"/>
        <v>10.613695632338484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353.37479213497227</v>
      </c>
      <c r="AO169" s="59">
        <f t="shared" si="144"/>
        <v>345.4750813433123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9.4662946285713154</v>
      </c>
      <c r="AV169" s="21">
        <f>EXP(-LN(2)/25)*AV168+(1-EXP(-LN(2)/25))/(LN(2)/25)*Calculateur!AQ169*Calculateur!AS169*VLOOKUP('Données projet'!$B$10,Paramètres!$A$1:$I$89,3,0)*0.475*44/12</f>
        <v>4.7290637554926542</v>
      </c>
      <c r="AW169" s="21">
        <f>EXP(-LN(2)/2)*AW168+(1-EXP(-LN(2)/2))/(LN(2)/2)*AQ169*AT169*VLOOKUP('Données projet'!$B$10,Paramètres!$A$1:$I$89,3,0)*0.475*44/12</f>
        <v>7.0964826141336461E-12</v>
      </c>
      <c r="AX169" s="21">
        <f t="shared" si="166"/>
        <v>14.195358384071065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359.57284550600366</v>
      </c>
      <c r="BJ169" s="59">
        <f t="shared" si="146"/>
        <v>351.38386928091433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9.6519082487393817</v>
      </c>
      <c r="BQ169" s="21">
        <f>EXP(-LN(2)/25)*BQ168+(1-EXP(-LN(2)/25))/(LN(2)/25)*Calculateur!BL169*Calculateur!BN169*VLOOKUP('Données projet'!$B$11,Paramètres!$A$1:$I$89,3,0)*0.475*44/12</f>
        <v>4.8217904957964288</v>
      </c>
      <c r="BR169" s="21">
        <f>EXP(-LN(2)/2)*BR168+(1-EXP(-LN(2)/2))/(LN(2)/2)*BL169*BO169*VLOOKUP('Données projet'!$B$11,Paramètres!$A$1:$I$89,3,0)*0.475*44/12</f>
        <v>7.2356293320578535E-12</v>
      </c>
      <c r="BS169" s="22">
        <f t="shared" si="169"/>
        <v>14.473698744543045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-8.5265128291212022E-14</v>
      </c>
      <c r="BZ169" s="13">
        <f>BY169*VLOOKUP('Données projet'!$B$12,Paramètres!$A$1:$I$89,3,0)*VLOOKUP('Données projet'!$B$12,Paramètres!$A$1:$I$89,5,0)</f>
        <v>-6.9167072069831198E-14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159.4660488566085</v>
      </c>
      <c r="CE169" s="59">
        <f t="shared" si="148"/>
        <v>135.33030558297088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1.967113295365609</v>
      </c>
      <c r="CM169" s="21">
        <f>EXP(-LN(2)/2)*CM168+(1-EXP(-LN(2)/2))/(LN(2)/2)*CG169*CJ169*VLOOKUP('Données projet'!$B$12,Paramètres!$A$1:$I$89,3,0)*0.475*44/12</f>
        <v>9.1113420869917512E-11</v>
      </c>
      <c r="CN169" s="22">
        <f t="shared" si="172"/>
        <v>1.9671132954567223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353.37479213497227</v>
      </c>
      <c r="CZ169" s="59">
        <f t="shared" si="150"/>
        <v>345.4750813433123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9.4662946285713154</v>
      </c>
      <c r="DG169" s="21">
        <f>EXP(-LN(2)/25)*DG168+(1-EXP(-LN(2)/25))/(LN(2)/25)*Calculateur!DB169*Calculateur!DD169*VLOOKUP('Données projet'!$B$13,Paramètres!$A$1:$I$89,3,0)*0.475*44/12</f>
        <v>4.7290637554926542</v>
      </c>
      <c r="DH169" s="21">
        <f>EXP(-LN(2)/2)*DH168+(1-EXP(-LN(2)/2))/(LN(2)/2)*DB169*DE169*VLOOKUP('Données projet'!$B$13,Paramètres!$A$1:$I$89,3,0)*0.475*44/12</f>
        <v>7.0964826141336461E-12</v>
      </c>
      <c r="DI169" s="22">
        <f t="shared" si="175"/>
        <v>14.195358384071065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9.6220000000000034</v>
      </c>
      <c r="DO169" s="12">
        <f>IF('Données projet'!$A$166&gt;35,DO168+DN169-DW168,IF(A169&lt;'Données projet'!$A$166,$DL$205^A169,IF(A169='Données projet'!$A$166,'Données projet'!$B$166,DO168+DN169-DW168)))</f>
        <v>533.54400000000123</v>
      </c>
      <c r="DP169" s="17">
        <f>DO169*VLOOKUP('Données projet'!$B$14,Paramètres!$A$1:$I$89,3,0)*VLOOKUP('Données projet'!$B$14,Paramètres!$A$1:$I$89,5,0)</f>
        <v>482.75061120000112</v>
      </c>
      <c r="DQ169" s="13">
        <f t="shared" si="176"/>
        <v>108.36513078962237</v>
      </c>
      <c r="DR169" s="20">
        <f t="shared" si="177"/>
        <v>1029.5265839652609</v>
      </c>
      <c r="DS169" s="59">
        <f t="shared" si="125"/>
        <v>1322.8599172985942</v>
      </c>
      <c r="DT169" s="59">
        <f ca="1">AVERAGE(OFFSET($DS$3,0,0,'Données projet'!$E$14+1,1))-AVERAGE(OFFSET($H$3,0,0,'Données projet'!$E$14+1,1))</f>
        <v>635.71275911100679</v>
      </c>
      <c r="DU169" s="59">
        <f t="shared" si="152"/>
        <v>281.7776857269169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56.336844594130881</v>
      </c>
      <c r="EB169" s="21">
        <f>EXP(-LN(2)/25)*EB168+(1-EXP(-LN(2)/25))/(LN(2)/25)*Calculateur!DW169*Calculateur!DY169*VLOOKUP('Données projet'!$B$14,Paramètres!$A$1:$I$89,3,0)*0.475*44/12</f>
        <v>21.766963644485589</v>
      </c>
      <c r="EC169" s="21">
        <f>EXP(-LN(2)/2)*EC168+(1-EXP(-LN(2)/2))/(LN(2)/2)*DW169*DZ169*VLOOKUP('Données projet'!$B$14,Paramètres!$A$1:$I$89,3,0)*0.475*44/12</f>
        <v>2.434721153986279E-6</v>
      </c>
      <c r="ED169" s="22">
        <f t="shared" si="178"/>
        <v>78.10381067333762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9.6220000000000034</v>
      </c>
      <c r="EJ169" s="12">
        <f>IF('Données projet'!$A$192&gt;35,EJ168+EI169-ER168,IF(A169&lt;'Données projet'!$A$192,$EG$205^A169,IF(A169='Données projet'!$A$192,'Données projet'!$B$192,EJ168+EI169-ER168)))</f>
        <v>533.54400000000123</v>
      </c>
      <c r="EK169" s="17">
        <f>EJ169*VLOOKUP('Données projet'!$B$15,Paramètres!$A$1:$I$89,3,0)*VLOOKUP('Données projet'!$B$15,Paramètres!$A$1:$I$89,5,0)</f>
        <v>357.90131520000085</v>
      </c>
      <c r="EL169" s="13">
        <f t="shared" si="179"/>
        <v>83.187354216392166</v>
      </c>
      <c r="EM169" s="20">
        <f t="shared" si="180"/>
        <v>768.2294325668845</v>
      </c>
      <c r="EN169" s="59">
        <f t="shared" si="128"/>
        <v>1061.5627659002178</v>
      </c>
      <c r="EO169" s="59">
        <f ca="1">AVERAGE(OFFSET($EN$3,0,0,'Données projet'!$E$15+1,1))-AVERAGE(OFFSET($H$3,0,0,'Données projet'!$E$15+1,1))</f>
        <v>482.99915419700773</v>
      </c>
      <c r="EP169" s="59">
        <f t="shared" si="154"/>
        <v>219.74157899604279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51.480220060154096</v>
      </c>
      <c r="EW169" s="21">
        <f>EXP(-LN(2)/25)*EW168+(1-EXP(-LN(2)/25))/(LN(2)/25)*Calculateur!ER169*Calculateur!ET169*VLOOKUP('Données projet'!$B$15,Paramètres!$A$1:$I$89,3,0)*0.475*44/12</f>
        <v>19.89050126134028</v>
      </c>
      <c r="EX169" s="21">
        <f>EXP(-LN(2)/2)*EX168+(1-EXP(-LN(2)/2))/(LN(2)/2)*ER169*EU169*VLOOKUP('Données projet'!$B$15,Paramètres!$A$1:$I$89,3,0)*0.475*44/12</f>
        <v>1.8050518900243141E-6</v>
      </c>
      <c r="EY169" s="22">
        <f t="shared" si="181"/>
        <v>71.370723126546267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9.6220000000000034</v>
      </c>
      <c r="FE169" s="12">
        <f>IF('Données projet'!$A$218&gt;35,FE168+FD169-FM168,IF(A169&lt;'Données projet'!$A$218,$FB$205^A169,IF(A169='Données projet'!$A$218,'Données projet'!$B$218,FE168+FD169-FM168)))</f>
        <v>533.54400000000123</v>
      </c>
      <c r="FF169" s="17">
        <f>FE169*VLOOKUP('Données projet'!$B$16,Paramètres!$A$1:$I$89,3,0)*VLOOKUP('Données projet'!$B$16,Paramètres!$A$1:$I$89,5,0)</f>
        <v>507.72047040000115</v>
      </c>
      <c r="FG169" s="13">
        <f t="shared" si="182"/>
        <v>113.30316109216449</v>
      </c>
      <c r="FH169" s="20">
        <f t="shared" si="183"/>
        <v>1081.6161581821882</v>
      </c>
      <c r="FI169" s="59">
        <f t="shared" si="131"/>
        <v>1374.9494915155215</v>
      </c>
      <c r="FJ169" s="59">
        <f ca="1">AVERAGE(OFFSET($FI$3,0,0,'Données projet'!$E$16+1,1))-AVERAGE(OFFSET($H$3,0,0,'Données projet'!$E$16+1,1))</f>
        <v>666.1523645983184</v>
      </c>
      <c r="FK169" s="59">
        <f t="shared" si="156"/>
        <v>294.13851344047526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59.25081931451696</v>
      </c>
      <c r="FR169" s="21">
        <f>EXP(-LN(2)/25)*FR168+(1-EXP(-LN(2)/25))/(LN(2)/25)*Calculateur!FM169*Calculateur!FO169*VLOOKUP('Données projet'!$B$16,Paramètres!$A$1:$I$89,3,0)*0.475*44/12</f>
        <v>22.892841074372772</v>
      </c>
      <c r="FS169" s="21">
        <f>EXP(-LN(2)/2)*FS168+(1-EXP(-LN(2)/2))/(LN(2)/2)*FM169*FP169*VLOOKUP('Données projet'!$B$16,Paramètres!$A$1:$I$89,3,0)*0.475*44/12</f>
        <v>2.5606550067786799E-6</v>
      </c>
      <c r="FT169" s="22">
        <f t="shared" si="184"/>
        <v>82.143662949544733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328.55631138162721</v>
      </c>
      <c r="T170" s="59">
        <f t="shared" si="142"/>
        <v>321.81422611044985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6.9390405931222752</v>
      </c>
      <c r="AA170" s="21">
        <f>EXP(-LN(2)/25)*AA169+(1-EXP(-LN(2)/25))/(LN(2)/25)*Calculateur!V170*Calculateur!X170*VLOOKUP('Données projet'!$B$9,Paramètres!$A$1:$I$89,3,0)*0.475*44/12</f>
        <v>3.4391746982029816</v>
      </c>
      <c r="AB170" s="21">
        <f>EXP(-LN(2)/2)*AB169+(1-EXP(-LN(2)/2))/(LN(2)/2)*V170*Y170*VLOOKUP('Données projet'!$B$9,Paramètres!$A$1:$I$89,3,0)*0.475*44/12</f>
        <v>4.6244046277301409E-12</v>
      </c>
      <c r="AC170" s="22">
        <f t="shared" si="163"/>
        <v>10.37821529132988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353.37479213497227</v>
      </c>
      <c r="AO170" s="59">
        <f t="shared" si="144"/>
        <v>345.4750813433123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9.2806663647746337</v>
      </c>
      <c r="AV170" s="21">
        <f>EXP(-LN(2)/25)*AV169+(1-EXP(-LN(2)/25))/(LN(2)/25)*Calculateur!AQ170*Calculateur!AS170*VLOOKUP('Données projet'!$B$10,Paramètres!$A$1:$I$89,3,0)*0.475*44/12</f>
        <v>4.599747258408053</v>
      </c>
      <c r="AW170" s="21">
        <f>EXP(-LN(2)/2)*AW169+(1-EXP(-LN(2)/2))/(LN(2)/2)*AQ170*AT170*VLOOKUP('Données projet'!$B$10,Paramètres!$A$1:$I$89,3,0)*0.475*44/12</f>
        <v>5.0179709790263388E-12</v>
      </c>
      <c r="AX170" s="21">
        <f t="shared" si="166"/>
        <v>13.880413623187705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359.57284550600366</v>
      </c>
      <c r="BJ170" s="59">
        <f t="shared" si="146"/>
        <v>351.38386928091433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9.4626402150643329</v>
      </c>
      <c r="BQ170" s="21">
        <f>EXP(-LN(2)/25)*BQ169+(1-EXP(-LN(2)/25))/(LN(2)/25)*Calculateur!BL170*Calculateur!BN170*VLOOKUP('Données projet'!$B$11,Paramètres!$A$1:$I$89,3,0)*0.475*44/12</f>
        <v>4.6899383811219337</v>
      </c>
      <c r="BR170" s="21">
        <f>EXP(-LN(2)/2)*BR169+(1-EXP(-LN(2)/2))/(LN(2)/2)*BL170*BO170*VLOOKUP('Données projet'!$B$11,Paramètres!$A$1:$I$89,3,0)*0.475*44/12</f>
        <v>5.1163625668503982E-12</v>
      </c>
      <c r="BS170" s="22">
        <f t="shared" si="169"/>
        <v>14.152578596191383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-8.5265128291212022E-14</v>
      </c>
      <c r="BZ170" s="13">
        <f>BY170*VLOOKUP('Données projet'!$B$12,Paramètres!$A$1:$I$89,3,0)*VLOOKUP('Données projet'!$B$12,Paramètres!$A$1:$I$89,5,0)</f>
        <v>-6.9167072069831198E-14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159.4660488566085</v>
      </c>
      <c r="CE170" s="59">
        <f t="shared" si="148"/>
        <v>135.33030558297088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1.913322478857844</v>
      </c>
      <c r="CM170" s="21">
        <f>EXP(-LN(2)/2)*CM169+(1-EXP(-LN(2)/2))/(LN(2)/2)*CG170*CJ170*VLOOKUP('Données projet'!$B$12,Paramètres!$A$1:$I$89,3,0)*0.475*44/12</f>
        <v>6.4426917754222573E-11</v>
      </c>
      <c r="CN170" s="22">
        <f t="shared" si="172"/>
        <v>1.9133224789222709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353.37479213497227</v>
      </c>
      <c r="CZ170" s="59">
        <f t="shared" si="150"/>
        <v>345.4750813433123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9.2806663647746337</v>
      </c>
      <c r="DG170" s="21">
        <f>EXP(-LN(2)/25)*DG169+(1-EXP(-LN(2)/25))/(LN(2)/25)*Calculateur!DB170*Calculateur!DD170*VLOOKUP('Données projet'!$B$13,Paramètres!$A$1:$I$89,3,0)*0.475*44/12</f>
        <v>4.599747258408053</v>
      </c>
      <c r="DH170" s="21">
        <f>EXP(-LN(2)/2)*DH169+(1-EXP(-LN(2)/2))/(LN(2)/2)*DB170*DE170*VLOOKUP('Données projet'!$B$13,Paramètres!$A$1:$I$89,3,0)*0.475*44/12</f>
        <v>5.0179709790263388E-12</v>
      </c>
      <c r="DI170" s="22">
        <f t="shared" si="175"/>
        <v>13.880413623187705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9.6220000000000034</v>
      </c>
      <c r="DO170" s="12">
        <f>IF('Données projet'!$A$166&gt;35,DO169+DN170-DW169,IF(A170&lt;'Données projet'!$A$166,$DL$205^A170,IF(A170='Données projet'!$A$166,'Données projet'!$B$166,DO169+DN170-DW169)))</f>
        <v>543.16600000000119</v>
      </c>
      <c r="DP170" s="17">
        <f>DO170*VLOOKUP('Données projet'!$B$14,Paramètres!$A$1:$I$89,3,0)*VLOOKUP('Données projet'!$B$14,Paramètres!$A$1:$I$89,5,0)</f>
        <v>491.45659680000102</v>
      </c>
      <c r="DQ170" s="13">
        <f t="shared" si="176"/>
        <v>110.09012381497753</v>
      </c>
      <c r="DR170" s="20">
        <f t="shared" si="177"/>
        <v>1047.6938717377543</v>
      </c>
      <c r="DS170" s="59">
        <f t="shared" si="125"/>
        <v>1341.0272050710876</v>
      </c>
      <c r="DT170" s="59">
        <f ca="1">AVERAGE(OFFSET($DS$3,0,0,'Données projet'!$E$14+1,1))-AVERAGE(OFFSET($H$3,0,0,'Données projet'!$E$14+1,1))</f>
        <v>635.71275911100679</v>
      </c>
      <c r="DU170" s="59">
        <f t="shared" si="152"/>
        <v>281.7776857269169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55.232113433722205</v>
      </c>
      <c r="EB170" s="21">
        <f>EXP(-LN(2)/25)*EB169+(1-EXP(-LN(2)/25))/(LN(2)/25)*Calculateur!DW170*Calculateur!DY170*VLOOKUP('Données projet'!$B$14,Paramètres!$A$1:$I$89,3,0)*0.475*44/12</f>
        <v>21.171744878952261</v>
      </c>
      <c r="EC170" s="21">
        <f>EXP(-LN(2)/2)*EC169+(1-EXP(-LN(2)/2))/(LN(2)/2)*DW170*DZ170*VLOOKUP('Données projet'!$B$14,Paramètres!$A$1:$I$89,3,0)*0.475*44/12</f>
        <v>1.7216078382820342E-6</v>
      </c>
      <c r="ED170" s="22">
        <f t="shared" si="178"/>
        <v>76.403860034282303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9.6220000000000034</v>
      </c>
      <c r="EJ170" s="12">
        <f>IF('Données projet'!$A$192&gt;35,EJ169+EI170-ER169,IF(A170&lt;'Données projet'!$A$192,$EG$205^A170,IF(A170='Données projet'!$A$192,'Données projet'!$B$192,EJ169+EI170-ER169)))</f>
        <v>543.16600000000119</v>
      </c>
      <c r="EK170" s="17">
        <f>EJ170*VLOOKUP('Données projet'!$B$15,Paramètres!$A$1:$I$89,3,0)*VLOOKUP('Données projet'!$B$15,Paramètres!$A$1:$I$89,5,0)</f>
        <v>364.3557528000008</v>
      </c>
      <c r="EL170" s="13">
        <f t="shared" si="179"/>
        <v>84.511558827002645</v>
      </c>
      <c r="EM170" s="20">
        <f t="shared" si="180"/>
        <v>781.77723441703108</v>
      </c>
      <c r="EN170" s="59">
        <f t="shared" si="128"/>
        <v>1075.1105677503645</v>
      </c>
      <c r="EO170" s="59">
        <f ca="1">AVERAGE(OFFSET($EN$3,0,0,'Données projet'!$E$15+1,1))-AVERAGE(OFFSET($H$3,0,0,'Données projet'!$E$15+1,1))</f>
        <v>482.99915419700773</v>
      </c>
      <c r="EP170" s="59">
        <f t="shared" si="154"/>
        <v>219.74157899604279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50.470724344608236</v>
      </c>
      <c r="EW170" s="21">
        <f>EXP(-LN(2)/25)*EW169+(1-EXP(-LN(2)/25))/(LN(2)/25)*Calculateur!ER170*Calculateur!ET170*VLOOKUP('Données projet'!$B$15,Paramètres!$A$1:$I$89,3,0)*0.475*44/12</f>
        <v>19.346594458352929</v>
      </c>
      <c r="EX170" s="21">
        <f>EXP(-LN(2)/2)*EX169+(1-EXP(-LN(2)/2))/(LN(2)/2)*ER170*EU170*VLOOKUP('Données projet'!$B$15,Paramètres!$A$1:$I$89,3,0)*0.475*44/12</f>
        <v>1.2763644318297867E-6</v>
      </c>
      <c r="EY170" s="22">
        <f t="shared" si="181"/>
        <v>69.817320079325597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9.6220000000000034</v>
      </c>
      <c r="FE170" s="12">
        <f>IF('Données projet'!$A$218&gt;35,FE169+FD170-FM169,IF(A170&lt;'Données projet'!$A$218,$FB$205^A170,IF(A170='Données projet'!$A$218,'Données projet'!$B$218,FE169+FD170-FM169)))</f>
        <v>543.16600000000119</v>
      </c>
      <c r="FF170" s="17">
        <f>FE170*VLOOKUP('Données projet'!$B$16,Paramètres!$A$1:$I$89,3,0)*VLOOKUP('Données projet'!$B$16,Paramètres!$A$1:$I$89,5,0)</f>
        <v>516.87676560000114</v>
      </c>
      <c r="FG170" s="13">
        <f t="shared" si="182"/>
        <v>115.10675936414104</v>
      </c>
      <c r="FH170" s="20">
        <f t="shared" si="183"/>
        <v>1100.7046393125474</v>
      </c>
      <c r="FI170" s="59">
        <f t="shared" si="131"/>
        <v>1394.0379726458807</v>
      </c>
      <c r="FJ170" s="59">
        <f ca="1">AVERAGE(OFFSET($FI$3,0,0,'Données projet'!$E$16+1,1))-AVERAGE(OFFSET($H$3,0,0,'Données projet'!$E$16+1,1))</f>
        <v>666.1523645983184</v>
      </c>
      <c r="FK170" s="59">
        <f t="shared" si="156"/>
        <v>294.13851344047526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58.088946887190595</v>
      </c>
      <c r="FR170" s="21">
        <f>EXP(-LN(2)/25)*FR169+(1-EXP(-LN(2)/25))/(LN(2)/25)*Calculateur!FM170*Calculateur!FO170*VLOOKUP('Données projet'!$B$16,Paramètres!$A$1:$I$89,3,0)*0.475*44/12</f>
        <v>22.266835131311858</v>
      </c>
      <c r="FS170" s="21">
        <f>EXP(-LN(2)/2)*FS169+(1-EXP(-LN(2)/2))/(LN(2)/2)*FM170*FP170*VLOOKUP('Données projet'!$B$16,Paramètres!$A$1:$I$89,3,0)*0.475*44/12</f>
        <v>1.8106565195724895E-6</v>
      </c>
      <c r="FT170" s="22">
        <f t="shared" si="184"/>
        <v>80.355783829158966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328.55631138162721</v>
      </c>
      <c r="T171" s="59">
        <f t="shared" si="142"/>
        <v>321.81422611044985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6.802970239487995</v>
      </c>
      <c r="AA171" s="21">
        <f>EXP(-LN(2)/25)*AA170+(1-EXP(-LN(2)/25))/(LN(2)/25)*Calculateur!V171*Calculateur!X171*VLOOKUP('Données projet'!$B$9,Paramètres!$A$1:$I$89,3,0)*0.475*44/12</f>
        <v>3.3451302852222842</v>
      </c>
      <c r="AB171" s="21">
        <f>EXP(-LN(2)/2)*AB170+(1-EXP(-LN(2)/2))/(LN(2)/2)*V171*Y171*VLOOKUP('Données projet'!$B$9,Paramètres!$A$1:$I$89,3,0)*0.475*44/12</f>
        <v>3.2699478712184346E-12</v>
      </c>
      <c r="AC171" s="22">
        <f t="shared" si="163"/>
        <v>10.14810052471355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353.37479213497227</v>
      </c>
      <c r="AO171" s="59">
        <f t="shared" si="144"/>
        <v>345.4750813433123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9.0986781580089424</v>
      </c>
      <c r="AV171" s="21">
        <f>EXP(-LN(2)/25)*AV170+(1-EXP(-LN(2)/25))/(LN(2)/25)*Calculateur!AQ171*Calculateur!AS171*VLOOKUP('Données projet'!$B$10,Paramètres!$A$1:$I$89,3,0)*0.475*44/12</f>
        <v>4.4739669277366891</v>
      </c>
      <c r="AW171" s="21">
        <f>EXP(-LN(2)/2)*AW170+(1-EXP(-LN(2)/2))/(LN(2)/2)*AQ171*AT171*VLOOKUP('Données projet'!$B$10,Paramètres!$A$1:$I$89,3,0)*0.475*44/12</f>
        <v>3.5482413070668231E-12</v>
      </c>
      <c r="AX171" s="21">
        <f t="shared" si="166"/>
        <v>13.572645085749178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359.57284550600366</v>
      </c>
      <c r="BJ171" s="59">
        <f t="shared" si="146"/>
        <v>351.38386928091433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9.2770836120875497</v>
      </c>
      <c r="BQ171" s="21">
        <f>EXP(-LN(2)/25)*BQ170+(1-EXP(-LN(2)/25))/(LN(2)/25)*Calculateur!BL171*Calculateur!BN171*VLOOKUP('Données projet'!$B$11,Paramètres!$A$1:$I$89,3,0)*0.475*44/12</f>
        <v>4.5616917694570143</v>
      </c>
      <c r="BR171" s="21">
        <f>EXP(-LN(2)/2)*BR170+(1-EXP(-LN(2)/2))/(LN(2)/2)*BL171*BO171*VLOOKUP('Données projet'!$B$11,Paramètres!$A$1:$I$89,3,0)*0.475*44/12</f>
        <v>3.6178146660289276E-12</v>
      </c>
      <c r="BS171" s="22">
        <f t="shared" si="169"/>
        <v>13.838775381548183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-8.5265128291212022E-14</v>
      </c>
      <c r="BZ171" s="13">
        <f>BY171*VLOOKUP('Données projet'!$B$12,Paramètres!$A$1:$I$89,3,0)*VLOOKUP('Données projet'!$B$12,Paramètres!$A$1:$I$89,5,0)</f>
        <v>-6.9167072069831198E-14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159.4660488566085</v>
      </c>
      <c r="CE171" s="59">
        <f t="shared" si="148"/>
        <v>135.33030558297088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1.86100257505622</v>
      </c>
      <c r="CM171" s="21">
        <f>EXP(-LN(2)/2)*CM170+(1-EXP(-LN(2)/2))/(LN(2)/2)*CG171*CJ171*VLOOKUP('Données projet'!$B$12,Paramètres!$A$1:$I$89,3,0)*0.475*44/12</f>
        <v>4.5556710434958756E-11</v>
      </c>
      <c r="CN171" s="22">
        <f t="shared" si="172"/>
        <v>1.8610025751017767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353.37479213497227</v>
      </c>
      <c r="CZ171" s="59">
        <f t="shared" si="150"/>
        <v>345.4750813433123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9.0986781580089424</v>
      </c>
      <c r="DG171" s="21">
        <f>EXP(-LN(2)/25)*DG170+(1-EXP(-LN(2)/25))/(LN(2)/25)*Calculateur!DB171*Calculateur!DD171*VLOOKUP('Données projet'!$B$13,Paramètres!$A$1:$I$89,3,0)*0.475*44/12</f>
        <v>4.4739669277366891</v>
      </c>
      <c r="DH171" s="21">
        <f>EXP(-LN(2)/2)*DH170+(1-EXP(-LN(2)/2))/(LN(2)/2)*DB171*DE171*VLOOKUP('Données projet'!$B$13,Paramètres!$A$1:$I$89,3,0)*0.475*44/12</f>
        <v>3.5482413070668231E-12</v>
      </c>
      <c r="DI171" s="22">
        <f t="shared" si="175"/>
        <v>13.572645085749178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9.6220000000000034</v>
      </c>
      <c r="DO171" s="12">
        <f>IF('Données projet'!$A$166&gt;35,DO170+DN171-DW170,IF(A171&lt;'Données projet'!$A$166,$DL$205^A171,IF(A171='Données projet'!$A$166,'Données projet'!$B$166,DO170+DN171-DW170)))</f>
        <v>552.78800000000115</v>
      </c>
      <c r="DP171" s="17">
        <f>DO171*VLOOKUP('Données projet'!$B$14,Paramètres!$A$1:$I$89,3,0)*VLOOKUP('Données projet'!$B$14,Paramètres!$A$1:$I$89,5,0)</f>
        <v>500.16258240000104</v>
      </c>
      <c r="DQ171" s="13">
        <f t="shared" si="176"/>
        <v>111.81156339666074</v>
      </c>
      <c r="DR171" s="20">
        <f t="shared" si="177"/>
        <v>1065.8549705958526</v>
      </c>
      <c r="DS171" s="59">
        <f t="shared" si="125"/>
        <v>1359.1883039291858</v>
      </c>
      <c r="DT171" s="59">
        <f ca="1">AVERAGE(OFFSET($DS$3,0,0,'Données projet'!$E$14+1,1))-AVERAGE(OFFSET($H$3,0,0,'Données projet'!$E$14+1,1))</f>
        <v>635.71275911100679</v>
      </c>
      <c r="DU171" s="59">
        <f t="shared" si="152"/>
        <v>281.7776857269169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54.149045377549669</v>
      </c>
      <c r="EB171" s="21">
        <f>EXP(-LN(2)/25)*EB170+(1-EXP(-LN(2)/25))/(LN(2)/25)*Calculateur!DW171*Calculateur!DY171*VLOOKUP('Données projet'!$B$14,Paramètres!$A$1:$I$89,3,0)*0.475*44/12</f>
        <v>20.592802401863636</v>
      </c>
      <c r="EC171" s="21">
        <f>EXP(-LN(2)/2)*EC170+(1-EXP(-LN(2)/2))/(LN(2)/2)*DW171*DZ171*VLOOKUP('Données projet'!$B$14,Paramètres!$A$1:$I$89,3,0)*0.475*44/12</f>
        <v>1.2173605769931395E-6</v>
      </c>
      <c r="ED171" s="22">
        <f t="shared" si="178"/>
        <v>74.741848996773882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9.6220000000000034</v>
      </c>
      <c r="EJ171" s="12">
        <f>IF('Données projet'!$A$192&gt;35,EJ170+EI171-ER170,IF(A171&lt;'Données projet'!$A$192,$EG$205^A171,IF(A171='Données projet'!$A$192,'Données projet'!$B$192,EJ170+EI171-ER170)))</f>
        <v>552.78800000000115</v>
      </c>
      <c r="EK171" s="17">
        <f>EJ171*VLOOKUP('Données projet'!$B$15,Paramètres!$A$1:$I$89,3,0)*VLOOKUP('Données projet'!$B$15,Paramètres!$A$1:$I$89,5,0)</f>
        <v>370.81019040000081</v>
      </c>
      <c r="EL171" s="13">
        <f t="shared" si="179"/>
        <v>85.833035608326341</v>
      </c>
      <c r="EM171" s="20">
        <f t="shared" si="180"/>
        <v>795.32028529783645</v>
      </c>
      <c r="EN171" s="59">
        <f t="shared" si="128"/>
        <v>1088.6536186311698</v>
      </c>
      <c r="EO171" s="59">
        <f ca="1">AVERAGE(OFFSET($EN$3,0,0,'Données projet'!$E$15+1,1))-AVERAGE(OFFSET($H$3,0,0,'Données projet'!$E$15+1,1))</f>
        <v>482.99915419700773</v>
      </c>
      <c r="EP171" s="59">
        <f t="shared" si="154"/>
        <v>219.74157899604279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49.481024224312641</v>
      </c>
      <c r="EW171" s="21">
        <f>EXP(-LN(2)/25)*EW170+(1-EXP(-LN(2)/25))/(LN(2)/25)*Calculateur!ER171*Calculateur!ET171*VLOOKUP('Données projet'!$B$15,Paramètres!$A$1:$I$89,3,0)*0.475*44/12</f>
        <v>18.817560815496083</v>
      </c>
      <c r="EX171" s="21">
        <f>EXP(-LN(2)/2)*EX170+(1-EXP(-LN(2)/2))/(LN(2)/2)*ER171*EU171*VLOOKUP('Données projet'!$B$15,Paramètres!$A$1:$I$89,3,0)*0.475*44/12</f>
        <v>9.0252594501215707E-7</v>
      </c>
      <c r="EY171" s="22">
        <f t="shared" si="181"/>
        <v>68.298585942334668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9.6220000000000034</v>
      </c>
      <c r="FE171" s="12">
        <f>IF('Données projet'!$A$218&gt;35,FE170+FD171-FM170,IF(A171&lt;'Données projet'!$A$218,$FB$205^A171,IF(A171='Données projet'!$A$218,'Données projet'!$B$218,FE170+FD171-FM170)))</f>
        <v>552.78800000000115</v>
      </c>
      <c r="FF171" s="17">
        <f>FE171*VLOOKUP('Données projet'!$B$16,Paramètres!$A$1:$I$89,3,0)*VLOOKUP('Données projet'!$B$16,Paramètres!$A$1:$I$89,5,0)</f>
        <v>526.03306080000118</v>
      </c>
      <c r="FG171" s="13">
        <f t="shared" si="182"/>
        <v>116.90664226754956</v>
      </c>
      <c r="FH171" s="20">
        <f t="shared" si="183"/>
        <v>1119.7866495093174</v>
      </c>
      <c r="FI171" s="59">
        <f t="shared" si="131"/>
        <v>1413.1199828426506</v>
      </c>
      <c r="FJ171" s="59">
        <f ca="1">AVERAGE(OFFSET($FI$3,0,0,'Données projet'!$E$16+1,1))-AVERAGE(OFFSET($H$3,0,0,'Données projet'!$E$16+1,1))</f>
        <v>666.1523645983184</v>
      </c>
      <c r="FK171" s="59">
        <f t="shared" si="156"/>
        <v>294.13851344047526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56.949858069491889</v>
      </c>
      <c r="FR171" s="21">
        <f>EXP(-LN(2)/25)*FR170+(1-EXP(-LN(2)/25))/(LN(2)/25)*Calculateur!FM171*Calculateur!FO171*VLOOKUP('Données projet'!$B$16,Paramètres!$A$1:$I$89,3,0)*0.475*44/12</f>
        <v>21.657947353684168</v>
      </c>
      <c r="FS171" s="21">
        <f>EXP(-LN(2)/2)*FS170+(1-EXP(-LN(2)/2))/(LN(2)/2)*FM171*FP171*VLOOKUP('Données projet'!$B$16,Paramètres!$A$1:$I$89,3,0)*0.475*44/12</f>
        <v>1.2803275033893401E-6</v>
      </c>
      <c r="FT171" s="22">
        <f t="shared" si="184"/>
        <v>78.60780670350357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328.55631138162721</v>
      </c>
      <c r="T172" s="59">
        <f t="shared" si="142"/>
        <v>321.81422611044985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6.6695681424937616</v>
      </c>
      <c r="AA172" s="21">
        <f>EXP(-LN(2)/25)*AA171+(1-EXP(-LN(2)/25))/(LN(2)/25)*Calculateur!V172*Calculateur!X172*VLOOKUP('Données projet'!$B$9,Paramètres!$A$1:$I$89,3,0)*0.475*44/12</f>
        <v>3.2536575216601245</v>
      </c>
      <c r="AB172" s="21">
        <f>EXP(-LN(2)/2)*AB171+(1-EXP(-LN(2)/2))/(LN(2)/2)*V172*Y172*VLOOKUP('Données projet'!$B$9,Paramètres!$A$1:$I$89,3,0)*0.475*44/12</f>
        <v>2.3122023138650705E-12</v>
      </c>
      <c r="AC172" s="22">
        <f t="shared" si="163"/>
        <v>9.9232256641561989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353.37479213497227</v>
      </c>
      <c r="AO172" s="59">
        <f t="shared" si="144"/>
        <v>345.4750813433123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8.9202586289760806</v>
      </c>
      <c r="AV172" s="21">
        <f>EXP(-LN(2)/25)*AV171+(1-EXP(-LN(2)/25))/(LN(2)/25)*Calculateur!AQ172*Calculateur!AS172*VLOOKUP('Données projet'!$B$10,Paramètres!$A$1:$I$89,3,0)*0.475*44/12</f>
        <v>4.3516260668220337</v>
      </c>
      <c r="AW172" s="21">
        <f>EXP(-LN(2)/2)*AW171+(1-EXP(-LN(2)/2))/(LN(2)/2)*AQ172*AT172*VLOOKUP('Données projet'!$B$10,Paramètres!$A$1:$I$89,3,0)*0.475*44/12</f>
        <v>2.5089854895131694E-12</v>
      </c>
      <c r="AX172" s="21">
        <f t="shared" si="166"/>
        <v>13.271884695800622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359.57284550600366</v>
      </c>
      <c r="BJ172" s="59">
        <f t="shared" si="146"/>
        <v>351.38386928091433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9.0951656609167895</v>
      </c>
      <c r="BQ172" s="21">
        <f>EXP(-LN(2)/25)*BQ171+(1-EXP(-LN(2)/25))/(LN(2)/25)*Calculateur!BL172*Calculateur!BN172*VLOOKUP('Données projet'!$B$11,Paramètres!$A$1:$I$89,3,0)*0.475*44/12</f>
        <v>4.4369520681322676</v>
      </c>
      <c r="BR172" s="21">
        <f>EXP(-LN(2)/2)*BR171+(1-EXP(-LN(2)/2))/(LN(2)/2)*BL172*BO172*VLOOKUP('Données projet'!$B$11,Paramètres!$A$1:$I$89,3,0)*0.475*44/12</f>
        <v>2.5581812834251995E-12</v>
      </c>
      <c r="BS172" s="22">
        <f t="shared" si="169"/>
        <v>13.532117729051615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-8.5265128291212022E-14</v>
      </c>
      <c r="BZ172" s="13">
        <f>BY172*VLOOKUP('Données projet'!$B$12,Paramètres!$A$1:$I$89,3,0)*VLOOKUP('Données projet'!$B$12,Paramètres!$A$1:$I$89,5,0)</f>
        <v>-6.9167072069831198E-14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159.4660488566085</v>
      </c>
      <c r="CE172" s="59">
        <f t="shared" si="148"/>
        <v>135.33030558297088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1.8101133617754357</v>
      </c>
      <c r="CM172" s="21">
        <f>EXP(-LN(2)/2)*CM171+(1-EXP(-LN(2)/2))/(LN(2)/2)*CG172*CJ172*VLOOKUP('Données projet'!$B$12,Paramètres!$A$1:$I$89,3,0)*0.475*44/12</f>
        <v>3.2213458877111287E-11</v>
      </c>
      <c r="CN172" s="22">
        <f t="shared" si="172"/>
        <v>1.8101133618076493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353.37479213497227</v>
      </c>
      <c r="CZ172" s="59">
        <f t="shared" si="150"/>
        <v>345.4750813433123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8.9202586289760806</v>
      </c>
      <c r="DG172" s="21">
        <f>EXP(-LN(2)/25)*DG171+(1-EXP(-LN(2)/25))/(LN(2)/25)*Calculateur!DB172*Calculateur!DD172*VLOOKUP('Données projet'!$B$13,Paramètres!$A$1:$I$89,3,0)*0.475*44/12</f>
        <v>4.3516260668220337</v>
      </c>
      <c r="DH172" s="21">
        <f>EXP(-LN(2)/2)*DH171+(1-EXP(-LN(2)/2))/(LN(2)/2)*DB172*DE172*VLOOKUP('Données projet'!$B$13,Paramètres!$A$1:$I$89,3,0)*0.475*44/12</f>
        <v>2.5089854895131694E-12</v>
      </c>
      <c r="DI172" s="22">
        <f t="shared" si="175"/>
        <v>13.271884695800622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9.6220000000000034</v>
      </c>
      <c r="DO172" s="12">
        <f>IF('Données projet'!$A$166&gt;35,DO171+DN172-DW171,IF(A172&lt;'Données projet'!$A$166,$DL$205^A172,IF(A172='Données projet'!$A$166,'Données projet'!$B$166,DO171+DN172-DW171)))</f>
        <v>562.41000000000111</v>
      </c>
      <c r="DP172" s="17">
        <f>DO172*VLOOKUP('Données projet'!$B$14,Paramètres!$A$1:$I$89,3,0)*VLOOKUP('Données projet'!$B$14,Paramètres!$A$1:$I$89,5,0)</f>
        <v>508.86856800000095</v>
      </c>
      <c r="DQ172" s="13">
        <f t="shared" si="176"/>
        <v>113.52951852374844</v>
      </c>
      <c r="DR172" s="20">
        <f t="shared" si="177"/>
        <v>1084.0100006955302</v>
      </c>
      <c r="DS172" s="59">
        <f t="shared" si="125"/>
        <v>1377.3433340288634</v>
      </c>
      <c r="DT172" s="59">
        <f ca="1">AVERAGE(OFFSET($DS$3,0,0,'Données projet'!$E$14+1,1))-AVERAGE(OFFSET($H$3,0,0,'Données projet'!$E$14+1,1))</f>
        <v>635.71275911100679</v>
      </c>
      <c r="DU172" s="59">
        <f t="shared" si="152"/>
        <v>281.7776857269169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53.087215625352393</v>
      </c>
      <c r="EB172" s="21">
        <f>EXP(-LN(2)/25)*EB171+(1-EXP(-LN(2)/25))/(LN(2)/25)*Calculateur!DW172*Calculateur!DY172*VLOOKUP('Données projet'!$B$14,Paramètres!$A$1:$I$89,3,0)*0.475*44/12</f>
        <v>20.029691137256261</v>
      </c>
      <c r="EC172" s="21">
        <f>EXP(-LN(2)/2)*EC171+(1-EXP(-LN(2)/2))/(LN(2)/2)*DW172*DZ172*VLOOKUP('Données projet'!$B$14,Paramètres!$A$1:$I$89,3,0)*0.475*44/12</f>
        <v>8.6080391914101712E-7</v>
      </c>
      <c r="ED172" s="22">
        <f t="shared" si="178"/>
        <v>73.116907623412573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9.6220000000000034</v>
      </c>
      <c r="EJ172" s="12">
        <f>IF('Données projet'!$A$192&gt;35,EJ171+EI172-ER171,IF(A172&lt;'Données projet'!$A$192,$EG$205^A172,IF(A172='Données projet'!$A$192,'Données projet'!$B$192,EJ171+EI172-ER171)))</f>
        <v>562.41000000000111</v>
      </c>
      <c r="EK172" s="17">
        <f>EJ172*VLOOKUP('Données projet'!$B$15,Paramètres!$A$1:$I$89,3,0)*VLOOKUP('Données projet'!$B$15,Paramètres!$A$1:$I$89,5,0)</f>
        <v>377.26462800000076</v>
      </c>
      <c r="EL172" s="13">
        <f t="shared" si="179"/>
        <v>87.151837520376489</v>
      </c>
      <c r="EM172" s="20">
        <f t="shared" si="180"/>
        <v>808.85867744799032</v>
      </c>
      <c r="EN172" s="59">
        <f t="shared" si="128"/>
        <v>1102.1920107813237</v>
      </c>
      <c r="EO172" s="59">
        <f ca="1">AVERAGE(OFFSET($EN$3,0,0,'Données projet'!$E$15+1,1))-AVERAGE(OFFSET($H$3,0,0,'Données projet'!$E$15+1,1))</f>
        <v>482.99915419700773</v>
      </c>
      <c r="EP172" s="59">
        <f t="shared" si="154"/>
        <v>219.74157899604279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48.510731519718576</v>
      </c>
      <c r="EW172" s="21">
        <f>EXP(-LN(2)/25)*EW171+(1-EXP(-LN(2)/25))/(LN(2)/25)*Calculateur!ER172*Calculateur!ET172*VLOOKUP('Données projet'!$B$15,Paramètres!$A$1:$I$89,3,0)*0.475*44/12</f>
        <v>18.302993625423827</v>
      </c>
      <c r="EX172" s="21">
        <f>EXP(-LN(2)/2)*EX171+(1-EXP(-LN(2)/2))/(LN(2)/2)*ER172*EU172*VLOOKUP('Données projet'!$B$15,Paramètres!$A$1:$I$89,3,0)*0.475*44/12</f>
        <v>6.3818221591489336E-7</v>
      </c>
      <c r="EY172" s="22">
        <f t="shared" si="181"/>
        <v>66.813725783324614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9.6220000000000034</v>
      </c>
      <c r="FE172" s="12">
        <f>IF('Données projet'!$A$218&gt;35,FE171+FD172-FM171,IF(A172&lt;'Données projet'!$A$218,$FB$205^A172,IF(A172='Données projet'!$A$218,'Données projet'!$B$218,FE171+FD172-FM171)))</f>
        <v>562.41000000000111</v>
      </c>
      <c r="FF172" s="17">
        <f>FE172*VLOOKUP('Données projet'!$B$16,Paramètres!$A$1:$I$89,3,0)*VLOOKUP('Données projet'!$B$16,Paramètres!$A$1:$I$89,5,0)</f>
        <v>535.189356000001</v>
      </c>
      <c r="FG172" s="13">
        <f t="shared" si="182"/>
        <v>118.70288193519161</v>
      </c>
      <c r="FH172" s="20">
        <f t="shared" si="183"/>
        <v>1138.8623144037938</v>
      </c>
      <c r="FI172" s="59">
        <f t="shared" si="131"/>
        <v>1432.195647737127</v>
      </c>
      <c r="FJ172" s="59">
        <f ca="1">AVERAGE(OFFSET($FI$3,0,0,'Données projet'!$E$16+1,1))-AVERAGE(OFFSET($H$3,0,0,'Données projet'!$E$16+1,1))</f>
        <v>666.1523645983184</v>
      </c>
      <c r="FK172" s="59">
        <f t="shared" si="156"/>
        <v>294.13851344047526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55.833106088732684</v>
      </c>
      <c r="FR172" s="21">
        <f>EXP(-LN(2)/25)*FR171+(1-EXP(-LN(2)/25))/(LN(2)/25)*Calculateur!FM172*Calculateur!FO172*VLOOKUP('Données projet'!$B$16,Paramètres!$A$1:$I$89,3,0)*0.475*44/12</f>
        <v>21.065709644355724</v>
      </c>
      <c r="FS172" s="21">
        <f>EXP(-LN(2)/2)*FS171+(1-EXP(-LN(2)/2))/(LN(2)/2)*FM172*FP172*VLOOKUP('Données projet'!$B$16,Paramètres!$A$1:$I$89,3,0)*0.475*44/12</f>
        <v>9.0532825978624484E-7</v>
      </c>
      <c r="FT172" s="22">
        <f t="shared" si="184"/>
        <v>76.898816638416676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328.55631138162721</v>
      </c>
      <c r="T173" s="59">
        <f t="shared" si="142"/>
        <v>321.81422611044985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6.5387819792543409</v>
      </c>
      <c r="AA173" s="21">
        <f>EXP(-LN(2)/25)*AA172+(1-EXP(-LN(2)/25))/(LN(2)/25)*Calculateur!V173*Calculateur!X173*VLOOKUP('Données projet'!$B$9,Paramètres!$A$1:$I$89,3,0)*0.475*44/12</f>
        <v>3.1646860856279155</v>
      </c>
      <c r="AB173" s="21">
        <f>EXP(-LN(2)/2)*AB172+(1-EXP(-LN(2)/2))/(LN(2)/2)*V173*Y173*VLOOKUP('Données projet'!$B$9,Paramètres!$A$1:$I$89,3,0)*0.475*44/12</f>
        <v>1.6349739356092173E-12</v>
      </c>
      <c r="AC173" s="22">
        <f t="shared" si="163"/>
        <v>9.7034680648838911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353.37479213497227</v>
      </c>
      <c r="AO173" s="59">
        <f t="shared" si="144"/>
        <v>345.4750813433123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8.745337798082387</v>
      </c>
      <c r="AV173" s="21">
        <f>EXP(-LN(2)/25)*AV172+(1-EXP(-LN(2)/25))/(LN(2)/25)*Calculateur!AQ173*Calculateur!AS173*VLOOKUP('Données projet'!$B$10,Paramètres!$A$1:$I$89,3,0)*0.475*44/12</f>
        <v>4.2326306231827164</v>
      </c>
      <c r="AW173" s="21">
        <f>EXP(-LN(2)/2)*AW172+(1-EXP(-LN(2)/2))/(LN(2)/2)*AQ173*AT173*VLOOKUP('Données projet'!$B$10,Paramètres!$A$1:$I$89,3,0)*0.475*44/12</f>
        <v>1.7741206535334115E-12</v>
      </c>
      <c r="AX173" s="21">
        <f t="shared" si="166"/>
        <v>12.977968421266878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359.57284550600366</v>
      </c>
      <c r="BJ173" s="59">
        <f t="shared" si="146"/>
        <v>351.38386928091433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8.9168150098094934</v>
      </c>
      <c r="BQ173" s="21">
        <f>EXP(-LN(2)/25)*BQ172+(1-EXP(-LN(2)/25))/(LN(2)/25)*Calculateur!BL173*Calculateur!BN173*VLOOKUP('Données projet'!$B$11,Paramètres!$A$1:$I$89,3,0)*0.475*44/12</f>
        <v>4.3156233805000221</v>
      </c>
      <c r="BR173" s="21">
        <f>EXP(-LN(2)/2)*BR172+(1-EXP(-LN(2)/2))/(LN(2)/2)*BL173*BO173*VLOOKUP('Données projet'!$B$11,Paramètres!$A$1:$I$89,3,0)*0.475*44/12</f>
        <v>1.808907333014464E-12</v>
      </c>
      <c r="BS173" s="22">
        <f t="shared" si="169"/>
        <v>13.232438390311323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-8.5265128291212022E-14</v>
      </c>
      <c r="BZ173" s="13">
        <f>BY173*VLOOKUP('Données projet'!$B$12,Paramètres!$A$1:$I$89,3,0)*VLOOKUP('Données projet'!$B$12,Paramètres!$A$1:$I$89,5,0)</f>
        <v>-6.9167072069831198E-14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159.4660488566085</v>
      </c>
      <c r="CE173" s="59">
        <f t="shared" si="148"/>
        <v>135.33030558297088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1.7606157167079617</v>
      </c>
      <c r="CM173" s="21">
        <f>EXP(-LN(2)/2)*CM172+(1-EXP(-LN(2)/2))/(LN(2)/2)*CG173*CJ173*VLOOKUP('Données projet'!$B$12,Paramètres!$A$1:$I$89,3,0)*0.475*44/12</f>
        <v>2.2778355217479378E-11</v>
      </c>
      <c r="CN173" s="22">
        <f t="shared" si="172"/>
        <v>1.7606157167307401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353.37479213497227</v>
      </c>
      <c r="CZ173" s="59">
        <f t="shared" si="150"/>
        <v>345.4750813433123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8.745337798082387</v>
      </c>
      <c r="DG173" s="21">
        <f>EXP(-LN(2)/25)*DG172+(1-EXP(-LN(2)/25))/(LN(2)/25)*Calculateur!DB173*Calculateur!DD173*VLOOKUP('Données projet'!$B$13,Paramètres!$A$1:$I$89,3,0)*0.475*44/12</f>
        <v>4.2326306231827164</v>
      </c>
      <c r="DH173" s="21">
        <f>EXP(-LN(2)/2)*DH172+(1-EXP(-LN(2)/2))/(LN(2)/2)*DB173*DE173*VLOOKUP('Données projet'!$B$13,Paramètres!$A$1:$I$89,3,0)*0.475*44/12</f>
        <v>1.7741206535334115E-12</v>
      </c>
      <c r="DI173" s="22">
        <f t="shared" si="175"/>
        <v>12.977968421266878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9.6220000000000034</v>
      </c>
      <c r="DO173" s="12">
        <f>IF('Données projet'!$A$166&gt;35,DO172+DN173-DW172,IF(A173&lt;'Données projet'!$A$166,$DL$205^A173,IF(A173='Données projet'!$A$166,'Données projet'!$B$166,DO172+DN173-DW172)))</f>
        <v>572.03200000000106</v>
      </c>
      <c r="DP173" s="17">
        <f>DO173*VLOOKUP('Données projet'!$B$14,Paramètres!$A$1:$I$89,3,0)*VLOOKUP('Données projet'!$B$14,Paramètres!$A$1:$I$89,5,0)</f>
        <v>517.57455360000097</v>
      </c>
      <c r="DQ173" s="13">
        <f t="shared" si="176"/>
        <v>115.24405568945055</v>
      </c>
      <c r="DR173" s="20">
        <f t="shared" si="177"/>
        <v>1102.1590778457946</v>
      </c>
      <c r="DS173" s="59">
        <f t="shared" si="125"/>
        <v>1395.4924111791279</v>
      </c>
      <c r="DT173" s="59">
        <f ca="1">AVERAGE(OFFSET($DS$3,0,0,'Données projet'!$E$14+1,1))-AVERAGE(OFFSET($H$3,0,0,'Données projet'!$E$14+1,1))</f>
        <v>635.71275911100679</v>
      </c>
      <c r="DU173" s="59">
        <f t="shared" si="152"/>
        <v>281.7776857269169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52.046207706943505</v>
      </c>
      <c r="EB173" s="21">
        <f>EXP(-LN(2)/25)*EB172+(1-EXP(-LN(2)/25))/(LN(2)/25)*Calculateur!DW173*Calculateur!DY173*VLOOKUP('Données projet'!$B$14,Paramètres!$A$1:$I$89,3,0)*0.475*44/12</f>
        <v>19.481978179792311</v>
      </c>
      <c r="EC173" s="21">
        <f>EXP(-LN(2)/2)*EC172+(1-EXP(-LN(2)/2))/(LN(2)/2)*DW173*DZ173*VLOOKUP('Données projet'!$B$14,Paramètres!$A$1:$I$89,3,0)*0.475*44/12</f>
        <v>6.0868028849656974E-7</v>
      </c>
      <c r="ED173" s="22">
        <f t="shared" si="178"/>
        <v>71.528186495416108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9.6220000000000034</v>
      </c>
      <c r="EJ173" s="12">
        <f>IF('Données projet'!$A$192&gt;35,EJ172+EI173-ER172,IF(A173&lt;'Données projet'!$A$192,$EG$205^A173,IF(A173='Données projet'!$A$192,'Données projet'!$B$192,EJ172+EI173-ER172)))</f>
        <v>572.03200000000106</v>
      </c>
      <c r="EK173" s="17">
        <f>EJ173*VLOOKUP('Données projet'!$B$15,Paramètres!$A$1:$I$89,3,0)*VLOOKUP('Données projet'!$B$15,Paramètres!$A$1:$I$89,5,0)</f>
        <v>383.7190656000007</v>
      </c>
      <c r="EL173" s="13">
        <f t="shared" si="179"/>
        <v>88.468015607194161</v>
      </c>
      <c r="EM173" s="20">
        <f t="shared" si="180"/>
        <v>822.3924997691978</v>
      </c>
      <c r="EN173" s="59">
        <f t="shared" si="128"/>
        <v>1115.7258331025312</v>
      </c>
      <c r="EO173" s="59">
        <f ca="1">AVERAGE(OFFSET($EN$3,0,0,'Données projet'!$E$15+1,1))-AVERAGE(OFFSET($H$3,0,0,'Données projet'!$E$15+1,1))</f>
        <v>482.99915419700773</v>
      </c>
      <c r="EP173" s="59">
        <f t="shared" si="154"/>
        <v>219.74157899604279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47.55946566324149</v>
      </c>
      <c r="EW173" s="21">
        <f>EXP(-LN(2)/25)*EW172+(1-EXP(-LN(2)/25))/(LN(2)/25)*Calculateur!ER173*Calculateur!ET173*VLOOKUP('Données projet'!$B$15,Paramètres!$A$1:$I$89,3,0)*0.475*44/12</f>
        <v>17.802497302224008</v>
      </c>
      <c r="EX173" s="21">
        <f>EXP(-LN(2)/2)*EX172+(1-EXP(-LN(2)/2))/(LN(2)/2)*ER173*EU173*VLOOKUP('Données projet'!$B$15,Paramètres!$A$1:$I$89,3,0)*0.475*44/12</f>
        <v>4.5126297250607854E-7</v>
      </c>
      <c r="EY173" s="22">
        <f t="shared" si="181"/>
        <v>65.361963416728472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9.6220000000000034</v>
      </c>
      <c r="FE173" s="12">
        <f>IF('Données projet'!$A$218&gt;35,FE172+FD173-FM172,IF(A173&lt;'Données projet'!$A$218,$FB$205^A173,IF(A173='Données projet'!$A$218,'Données projet'!$B$218,FE172+FD173-FM172)))</f>
        <v>572.03200000000106</v>
      </c>
      <c r="FF173" s="17">
        <f>FE173*VLOOKUP('Données projet'!$B$16,Paramètres!$A$1:$I$89,3,0)*VLOOKUP('Données projet'!$B$16,Paramètres!$A$1:$I$89,5,0)</f>
        <v>544.34565120000104</v>
      </c>
      <c r="FG173" s="13">
        <f t="shared" si="182"/>
        <v>120.49554789026885</v>
      </c>
      <c r="FH173" s="20">
        <f t="shared" si="183"/>
        <v>1157.9317550822202</v>
      </c>
      <c r="FI173" s="59">
        <f t="shared" si="131"/>
        <v>1451.2650884155535</v>
      </c>
      <c r="FJ173" s="59">
        <f ca="1">AVERAGE(OFFSET($FI$3,0,0,'Données projet'!$E$16+1,1))-AVERAGE(OFFSET($H$3,0,0,'Données projet'!$E$16+1,1))</f>
        <v>666.1523645983184</v>
      </c>
      <c r="FK173" s="59">
        <f t="shared" si="156"/>
        <v>294.13851344047526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54.738252933164716</v>
      </c>
      <c r="FR173" s="21">
        <f>EXP(-LN(2)/25)*FR172+(1-EXP(-LN(2)/25))/(LN(2)/25)*Calculateur!FM173*Calculateur!FO173*VLOOKUP('Données projet'!$B$16,Paramètres!$A$1:$I$89,3,0)*0.475*44/12</f>
        <v>20.489666706333292</v>
      </c>
      <c r="FS173" s="21">
        <f>EXP(-LN(2)/2)*FS172+(1-EXP(-LN(2)/2))/(LN(2)/2)*FM173*FP173*VLOOKUP('Données projet'!$B$16,Paramètres!$A$1:$I$89,3,0)*0.475*44/12</f>
        <v>6.4016375169467007E-7</v>
      </c>
      <c r="FT173" s="22">
        <f t="shared" si="184"/>
        <v>75.22792027966176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328.55631138162721</v>
      </c>
      <c r="T174" s="59">
        <f t="shared" si="142"/>
        <v>321.81422611044985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6.4105604529043623</v>
      </c>
      <c r="AA174" s="21">
        <f>EXP(-LN(2)/25)*AA173+(1-EXP(-LN(2)/25))/(LN(2)/25)*Calculateur!V174*Calculateur!X174*VLOOKUP('Données projet'!$B$9,Paramètres!$A$1:$I$89,3,0)*0.475*44/12</f>
        <v>3.0781475781928118</v>
      </c>
      <c r="AB174" s="21">
        <f>EXP(-LN(2)/2)*AB173+(1-EXP(-LN(2)/2))/(LN(2)/2)*V174*Y174*VLOOKUP('Données projet'!$B$9,Paramètres!$A$1:$I$89,3,0)*0.475*44/12</f>
        <v>1.1561011569325352E-12</v>
      </c>
      <c r="AC174" s="22">
        <f t="shared" si="163"/>
        <v>9.4887080310983301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353.37479213497227</v>
      </c>
      <c r="AO174" s="59">
        <f t="shared" si="144"/>
        <v>345.4750813433123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8.5738470579913475</v>
      </c>
      <c r="AV174" s="21">
        <f>EXP(-LN(2)/25)*AV173+(1-EXP(-LN(2)/25))/(LN(2)/25)*Calculateur!AQ174*Calculateur!AS174*VLOOKUP('Données projet'!$B$10,Paramètres!$A$1:$I$89,3,0)*0.475*44/12</f>
        <v>4.1168891162074148</v>
      </c>
      <c r="AW174" s="21">
        <f>EXP(-LN(2)/2)*AW173+(1-EXP(-LN(2)/2))/(LN(2)/2)*AQ174*AT174*VLOOKUP('Données projet'!$B$10,Paramètres!$A$1:$I$89,3,0)*0.475*44/12</f>
        <v>1.2544927447565847E-12</v>
      </c>
      <c r="AX174" s="21">
        <f t="shared" si="166"/>
        <v>12.690736174200016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359.57284550600366</v>
      </c>
      <c r="BJ174" s="59">
        <f t="shared" si="146"/>
        <v>351.38386928091433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8.7419617061872561</v>
      </c>
      <c r="BQ174" s="21">
        <f>EXP(-LN(2)/25)*BQ173+(1-EXP(-LN(2)/25))/(LN(2)/25)*Calculateur!BL174*Calculateur!BN174*VLOOKUP('Données projet'!$B$11,Paramètres!$A$1:$I$89,3,0)*0.475*44/12</f>
        <v>4.1976124322114785</v>
      </c>
      <c r="BR174" s="21">
        <f>EXP(-LN(2)/2)*BR173+(1-EXP(-LN(2)/2))/(LN(2)/2)*BL174*BO174*VLOOKUP('Données projet'!$B$11,Paramètres!$A$1:$I$89,3,0)*0.475*44/12</f>
        <v>1.2790906417126E-12</v>
      </c>
      <c r="BS174" s="22">
        <f t="shared" si="169"/>
        <v>12.939574138400014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-8.5265128291212022E-14</v>
      </c>
      <c r="BZ174" s="13">
        <f>BY174*VLOOKUP('Données projet'!$B$12,Paramètres!$A$1:$I$89,3,0)*VLOOKUP('Données projet'!$B$12,Paramètres!$A$1:$I$89,5,0)</f>
        <v>-6.9167072069831198E-14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159.4660488566085</v>
      </c>
      <c r="CE174" s="59">
        <f t="shared" si="148"/>
        <v>135.33030558297088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1.7124715873478258</v>
      </c>
      <c r="CM174" s="21">
        <f>EXP(-LN(2)/2)*CM173+(1-EXP(-LN(2)/2))/(LN(2)/2)*CG174*CJ174*VLOOKUP('Données projet'!$B$12,Paramètres!$A$1:$I$89,3,0)*0.475*44/12</f>
        <v>1.6106729438555643E-11</v>
      </c>
      <c r="CN174" s="22">
        <f t="shared" si="172"/>
        <v>1.7124715873639325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353.37479213497227</v>
      </c>
      <c r="CZ174" s="59">
        <f t="shared" si="150"/>
        <v>345.4750813433123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8.5738470579913475</v>
      </c>
      <c r="DG174" s="21">
        <f>EXP(-LN(2)/25)*DG173+(1-EXP(-LN(2)/25))/(LN(2)/25)*Calculateur!DB174*Calculateur!DD174*VLOOKUP('Données projet'!$B$13,Paramètres!$A$1:$I$89,3,0)*0.475*44/12</f>
        <v>4.1168891162074148</v>
      </c>
      <c r="DH174" s="21">
        <f>EXP(-LN(2)/2)*DH173+(1-EXP(-LN(2)/2))/(LN(2)/2)*DB174*DE174*VLOOKUP('Données projet'!$B$13,Paramètres!$A$1:$I$89,3,0)*0.475*44/12</f>
        <v>1.2544927447565847E-12</v>
      </c>
      <c r="DI174" s="22">
        <f t="shared" si="175"/>
        <v>12.690736174200016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9.6220000000000034</v>
      </c>
      <c r="DO174" s="12">
        <f>IF('Données projet'!$A$166&gt;35,DO173+DN174-DW173,IF(A174&lt;'Données projet'!$A$166,$DL$205^A174,IF(A174='Données projet'!$A$166,'Données projet'!$B$166,DO173+DN174-DW173)))</f>
        <v>581.65400000000102</v>
      </c>
      <c r="DP174" s="17">
        <f>DO174*VLOOKUP('Données projet'!$B$14,Paramètres!$A$1:$I$89,3,0)*VLOOKUP('Données projet'!$B$14,Paramètres!$A$1:$I$89,5,0)</f>
        <v>526.28053920000093</v>
      </c>
      <c r="DQ174" s="13">
        <f t="shared" si="176"/>
        <v>116.95523902184036</v>
      </c>
      <c r="DR174" s="20">
        <f t="shared" si="177"/>
        <v>1120.3023137363737</v>
      </c>
      <c r="DS174" s="59">
        <f t="shared" si="125"/>
        <v>1413.6356470697069</v>
      </c>
      <c r="DT174" s="59">
        <f ca="1">AVERAGE(OFFSET($DS$3,0,0,'Données projet'!$E$14+1,1))-AVERAGE(OFFSET($H$3,0,0,'Données projet'!$E$14+1,1))</f>
        <v>635.71275911100679</v>
      </c>
      <c r="DU174" s="59">
        <f t="shared" si="152"/>
        <v>281.7776857269169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51.025613318862483</v>
      </c>
      <c r="EB174" s="21">
        <f>EXP(-LN(2)/25)*EB173+(1-EXP(-LN(2)/25))/(LN(2)/25)*Calculateur!DW174*Calculateur!DY174*VLOOKUP('Données projet'!$B$14,Paramètres!$A$1:$I$89,3,0)*0.475*44/12</f>
        <v>18.949242461953183</v>
      </c>
      <c r="EC174" s="21">
        <f>EXP(-LN(2)/2)*EC173+(1-EXP(-LN(2)/2))/(LN(2)/2)*DW174*DZ174*VLOOKUP('Données projet'!$B$14,Paramètres!$A$1:$I$89,3,0)*0.475*44/12</f>
        <v>4.3040195957050856E-7</v>
      </c>
      <c r="ED174" s="22">
        <f t="shared" si="178"/>
        <v>69.974856211217613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9.6220000000000034</v>
      </c>
      <c r="EJ174" s="12">
        <f>IF('Données projet'!$A$192&gt;35,EJ173+EI174-ER173,IF(A174&lt;'Données projet'!$A$192,$EG$205^A174,IF(A174='Données projet'!$A$192,'Données projet'!$B$192,EJ173+EI174-ER173)))</f>
        <v>581.65400000000102</v>
      </c>
      <c r="EK174" s="17">
        <f>EJ174*VLOOKUP('Données projet'!$B$15,Paramètres!$A$1:$I$89,3,0)*VLOOKUP('Données projet'!$B$15,Paramètres!$A$1:$I$89,5,0)</f>
        <v>390.17350320000071</v>
      </c>
      <c r="EL174" s="13">
        <f t="shared" si="179"/>
        <v>89.781619097204697</v>
      </c>
      <c r="EM174" s="20">
        <f t="shared" si="180"/>
        <v>835.92183800096609</v>
      </c>
      <c r="EN174" s="59">
        <f t="shared" si="128"/>
        <v>1129.2551713342993</v>
      </c>
      <c r="EO174" s="59">
        <f ca="1">AVERAGE(OFFSET($EN$3,0,0,'Données projet'!$E$15+1,1))-AVERAGE(OFFSET($H$3,0,0,'Données projet'!$E$15+1,1))</f>
        <v>482.99915419700773</v>
      </c>
      <c r="EP174" s="59">
        <f t="shared" si="154"/>
        <v>219.74157899604279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46.626853549995033</v>
      </c>
      <c r="EW174" s="21">
        <f>EXP(-LN(2)/25)*EW173+(1-EXP(-LN(2)/25))/(LN(2)/25)*Calculateur!ER174*Calculateur!ET174*VLOOKUP('Données projet'!$B$15,Paramètres!$A$1:$I$89,3,0)*0.475*44/12</f>
        <v>17.315687077302048</v>
      </c>
      <c r="EX174" s="21">
        <f>EXP(-LN(2)/2)*EX173+(1-EXP(-LN(2)/2))/(LN(2)/2)*ER174*EU174*VLOOKUP('Données projet'!$B$15,Paramètres!$A$1:$I$89,3,0)*0.475*44/12</f>
        <v>3.1909110795744668E-7</v>
      </c>
      <c r="EY174" s="22">
        <f t="shared" si="181"/>
        <v>63.942540946388185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9.6220000000000034</v>
      </c>
      <c r="FE174" s="12">
        <f>IF('Données projet'!$A$218&gt;35,FE173+FD174-FM173,IF(A174&lt;'Données projet'!$A$218,$FB$205^A174,IF(A174='Données projet'!$A$218,'Données projet'!$B$218,FE173+FD174-FM173)))</f>
        <v>581.65400000000102</v>
      </c>
      <c r="FF174" s="17">
        <f>FE174*VLOOKUP('Données projet'!$B$16,Paramètres!$A$1:$I$89,3,0)*VLOOKUP('Données projet'!$B$16,Paramètres!$A$1:$I$89,5,0)</f>
        <v>553.50194640000097</v>
      </c>
      <c r="FG174" s="13">
        <f t="shared" si="182"/>
        <v>122.28470718307115</v>
      </c>
      <c r="FH174" s="20">
        <f t="shared" si="183"/>
        <v>1176.9950883238507</v>
      </c>
      <c r="FI174" s="59">
        <f t="shared" si="131"/>
        <v>1470.328421657184</v>
      </c>
      <c r="FJ174" s="59">
        <f ca="1">AVERAGE(OFFSET($FI$3,0,0,'Données projet'!$E$16+1,1))-AVERAGE(OFFSET($H$3,0,0,'Données projet'!$E$16+1,1))</f>
        <v>666.1523645983184</v>
      </c>
      <c r="FK174" s="59">
        <f t="shared" si="156"/>
        <v>294.13851344047526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53.664869180182947</v>
      </c>
      <c r="FR174" s="21">
        <f>EXP(-LN(2)/25)*FR173+(1-EXP(-LN(2)/25))/(LN(2)/25)*Calculateur!FM174*Calculateur!FO174*VLOOKUP('Données projet'!$B$16,Paramètres!$A$1:$I$89,3,0)*0.475*44/12</f>
        <v>19.929375692743864</v>
      </c>
      <c r="FS174" s="21">
        <f>EXP(-LN(2)/2)*FS173+(1-EXP(-LN(2)/2))/(LN(2)/2)*FM174*FP174*VLOOKUP('Données projet'!$B$16,Paramètres!$A$1:$I$89,3,0)*0.475*44/12</f>
        <v>4.5266412989312242E-7</v>
      </c>
      <c r="FT174" s="22">
        <f t="shared" si="184"/>
        <v>73.594245325590933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328.55631138162721</v>
      </c>
      <c r="T175" s="59">
        <f t="shared" si="142"/>
        <v>321.81422611044985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6.2848532724786983</v>
      </c>
      <c r="AA175" s="21">
        <f>EXP(-LN(2)/25)*AA174+(1-EXP(-LN(2)/25))/(LN(2)/25)*Calculateur!V175*Calculateur!X175*VLOOKUP('Données projet'!$B$9,Paramètres!$A$1:$I$89,3,0)*0.475*44/12</f>
        <v>2.9939754707943833</v>
      </c>
      <c r="AB175" s="21">
        <f>EXP(-LN(2)/2)*AB174+(1-EXP(-LN(2)/2))/(LN(2)/2)*V175*Y175*VLOOKUP('Données projet'!$B$9,Paramètres!$A$1:$I$89,3,0)*0.475*44/12</f>
        <v>8.1748696780460864E-13</v>
      </c>
      <c r="AC175" s="22">
        <f t="shared" si="163"/>
        <v>9.2788287432738983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353.37479213497227</v>
      </c>
      <c r="AO175" s="59">
        <f t="shared" si="144"/>
        <v>345.4750813433123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8.4057191467144694</v>
      </c>
      <c r="AV175" s="21">
        <f>EXP(-LN(2)/25)*AV174+(1-EXP(-LN(2)/25))/(LN(2)/25)*Calculateur!AQ175*Calculateur!AS175*VLOOKUP('Données projet'!$B$10,Paramètres!$A$1:$I$89,3,0)*0.475*44/12</f>
        <v>4.0043125668269335</v>
      </c>
      <c r="AW175" s="21">
        <f>EXP(-LN(2)/2)*AW174+(1-EXP(-LN(2)/2))/(LN(2)/2)*AQ175*AT175*VLOOKUP('Données projet'!$B$10,Paramètres!$A$1:$I$89,3,0)*0.475*44/12</f>
        <v>8.8706032676670577E-13</v>
      </c>
      <c r="AX175" s="21">
        <f t="shared" si="166"/>
        <v>12.41003171354229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359.57284550600366</v>
      </c>
      <c r="BJ175" s="59">
        <f t="shared" si="146"/>
        <v>351.38386928091433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8.5705371691990671</v>
      </c>
      <c r="BQ175" s="21">
        <f>EXP(-LN(2)/25)*BQ174+(1-EXP(-LN(2)/25))/(LN(2)/25)*Calculateur!BL175*Calculateur!BN175*VLOOKUP('Données projet'!$B$11,Paramètres!$A$1:$I$89,3,0)*0.475*44/12</f>
        <v>4.0828284995098114</v>
      </c>
      <c r="BR175" s="21">
        <f>EXP(-LN(2)/2)*BR174+(1-EXP(-LN(2)/2))/(LN(2)/2)*BL175*BO175*VLOOKUP('Données projet'!$B$11,Paramètres!$A$1:$I$89,3,0)*0.475*44/12</f>
        <v>9.0445366650723209E-13</v>
      </c>
      <c r="BS175" s="22">
        <f t="shared" si="169"/>
        <v>12.653365668709784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-8.5265128291212022E-14</v>
      </c>
      <c r="BZ175" s="13">
        <f>BY175*VLOOKUP('Données projet'!$B$12,Paramètres!$A$1:$I$89,3,0)*VLOOKUP('Données projet'!$B$12,Paramètres!$A$1:$I$89,5,0)</f>
        <v>-6.9167072069831198E-14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159.4660488566085</v>
      </c>
      <c r="CE175" s="59">
        <f t="shared" si="148"/>
        <v>135.33030558297088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1.6656439617368326</v>
      </c>
      <c r="CM175" s="21">
        <f>EXP(-LN(2)/2)*CM174+(1-EXP(-LN(2)/2))/(LN(2)/2)*CG175*CJ175*VLOOKUP('Données projet'!$B$12,Paramètres!$A$1:$I$89,3,0)*0.475*44/12</f>
        <v>1.1389177608739689E-11</v>
      </c>
      <c r="CN175" s="22">
        <f t="shared" si="172"/>
        <v>1.6656439617482217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353.37479213497227</v>
      </c>
      <c r="CZ175" s="59">
        <f t="shared" si="150"/>
        <v>345.4750813433123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8.4057191467144694</v>
      </c>
      <c r="DG175" s="21">
        <f>EXP(-LN(2)/25)*DG174+(1-EXP(-LN(2)/25))/(LN(2)/25)*Calculateur!DB175*Calculateur!DD175*VLOOKUP('Données projet'!$B$13,Paramètres!$A$1:$I$89,3,0)*0.475*44/12</f>
        <v>4.0043125668269335</v>
      </c>
      <c r="DH175" s="21">
        <f>EXP(-LN(2)/2)*DH174+(1-EXP(-LN(2)/2))/(LN(2)/2)*DB175*DE175*VLOOKUP('Données projet'!$B$13,Paramètres!$A$1:$I$89,3,0)*0.475*44/12</f>
        <v>8.8706032676670577E-13</v>
      </c>
      <c r="DI175" s="22">
        <f t="shared" si="175"/>
        <v>12.41003171354229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9.6220000000000034</v>
      </c>
      <c r="DO175" s="12">
        <f>IF('Données projet'!$A$166&gt;35,DO174+DN175-DW174,IF(A175&lt;'Données projet'!$A$166,$DL$205^A175,IF(A175='Données projet'!$A$166,'Données projet'!$B$166,DO174+DN175-DW174)))</f>
        <v>591.27600000000098</v>
      </c>
      <c r="DP175" s="17">
        <f>DO175*VLOOKUP('Données projet'!$B$14,Paramètres!$A$1:$I$89,3,0)*VLOOKUP('Données projet'!$B$14,Paramètres!$A$1:$I$89,5,0)</f>
        <v>534.98652480000089</v>
      </c>
      <c r="DQ175" s="13">
        <f t="shared" si="176"/>
        <v>118.66313040568902</v>
      </c>
      <c r="DR175" s="20">
        <f t="shared" si="177"/>
        <v>1138.4398161499098</v>
      </c>
      <c r="DS175" s="59">
        <f t="shared" si="125"/>
        <v>1431.7731494832431</v>
      </c>
      <c r="DT175" s="59">
        <f ca="1">AVERAGE(OFFSET($DS$3,0,0,'Données projet'!$E$14+1,1))-AVERAGE(OFFSET($H$3,0,0,'Données projet'!$E$14+1,1))</f>
        <v>635.71275911100679</v>
      </c>
      <c r="DU175" s="59">
        <f t="shared" si="152"/>
        <v>281.7776857269169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50.025032164230616</v>
      </c>
      <c r="EB175" s="21">
        <f>EXP(-LN(2)/25)*EB174+(1-EXP(-LN(2)/25))/(LN(2)/25)*Calculateur!DW175*Calculateur!DY175*VLOOKUP('Données projet'!$B$14,Paramètres!$A$1:$I$89,3,0)*0.475*44/12</f>
        <v>18.431074430333723</v>
      </c>
      <c r="EC175" s="21">
        <f>EXP(-LN(2)/2)*EC174+(1-EXP(-LN(2)/2))/(LN(2)/2)*DW175*DZ175*VLOOKUP('Données projet'!$B$14,Paramètres!$A$1:$I$89,3,0)*0.475*44/12</f>
        <v>3.0434014424828487E-7</v>
      </c>
      <c r="ED175" s="22">
        <f t="shared" si="178"/>
        <v>68.456106898904494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9.6220000000000034</v>
      </c>
      <c r="EJ175" s="12">
        <f>IF('Données projet'!$A$192&gt;35,EJ174+EI175-ER174,IF(A175&lt;'Données projet'!$A$192,$EG$205^A175,IF(A175='Données projet'!$A$192,'Données projet'!$B$192,EJ174+EI175-ER174)))</f>
        <v>591.27600000000098</v>
      </c>
      <c r="EK175" s="17">
        <f>EJ175*VLOOKUP('Données projet'!$B$15,Paramètres!$A$1:$I$89,3,0)*VLOOKUP('Données projet'!$B$15,Paramètres!$A$1:$I$89,5,0)</f>
        <v>396.62794080000066</v>
      </c>
      <c r="EL175" s="13">
        <f t="shared" si="179"/>
        <v>91.092695496744653</v>
      </c>
      <c r="EM175" s="20">
        <f t="shared" si="180"/>
        <v>849.44677488349805</v>
      </c>
      <c r="EN175" s="59">
        <f t="shared" si="128"/>
        <v>1142.7801082168314</v>
      </c>
      <c r="EO175" s="59">
        <f ca="1">AVERAGE(OFFSET($EN$3,0,0,'Données projet'!$E$15+1,1))-AVERAGE(OFFSET($H$3,0,0,'Données projet'!$E$15+1,1))</f>
        <v>482.99915419700773</v>
      </c>
      <c r="EP175" s="59">
        <f t="shared" si="154"/>
        <v>219.74157899604279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45.712529391452122</v>
      </c>
      <c r="EW175" s="21">
        <f>EXP(-LN(2)/25)*EW174+(1-EXP(-LN(2)/25))/(LN(2)/25)*Calculateur!ER175*Calculateur!ET175*VLOOKUP('Données projet'!$B$15,Paramètres!$A$1:$I$89,3,0)*0.475*44/12</f>
        <v>16.842188703580817</v>
      </c>
      <c r="EX175" s="21">
        <f>EXP(-LN(2)/2)*EX174+(1-EXP(-LN(2)/2))/(LN(2)/2)*ER175*EU175*VLOOKUP('Données projet'!$B$15,Paramètres!$A$1:$I$89,3,0)*0.475*44/12</f>
        <v>2.2563148625303927E-7</v>
      </c>
      <c r="EY175" s="22">
        <f t="shared" si="181"/>
        <v>62.554718320664428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9.6220000000000034</v>
      </c>
      <c r="FE175" s="12">
        <f>IF('Données projet'!$A$218&gt;35,FE174+FD175-FM174,IF(A175&lt;'Données projet'!$A$218,$FB$205^A175,IF(A175='Données projet'!$A$218,'Données projet'!$B$218,FE174+FD175-FM174)))</f>
        <v>591.27600000000098</v>
      </c>
      <c r="FF175" s="17">
        <f>FE175*VLOOKUP('Données projet'!$B$16,Paramètres!$A$1:$I$89,3,0)*VLOOKUP('Données projet'!$B$16,Paramètres!$A$1:$I$89,5,0)</f>
        <v>562.65824160000091</v>
      </c>
      <c r="FG175" s="13">
        <f t="shared" si="182"/>
        <v>124.07042451836233</v>
      </c>
      <c r="FH175" s="20">
        <f t="shared" si="183"/>
        <v>1196.052426822816</v>
      </c>
      <c r="FI175" s="59">
        <f t="shared" si="131"/>
        <v>1489.3857601561492</v>
      </c>
      <c r="FJ175" s="59">
        <f ca="1">AVERAGE(OFFSET($FI$3,0,0,'Données projet'!$E$16+1,1))-AVERAGE(OFFSET($H$3,0,0,'Données projet'!$E$16+1,1))</f>
        <v>666.1523645983184</v>
      </c>
      <c r="FK175" s="59">
        <f t="shared" si="156"/>
        <v>294.13851344047526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52.612533827897707</v>
      </c>
      <c r="FR175" s="21">
        <f>EXP(-LN(2)/25)*FR174+(1-EXP(-LN(2)/25))/(LN(2)/25)*Calculateur!FM175*Calculateur!FO175*VLOOKUP('Données projet'!$B$16,Paramètres!$A$1:$I$89,3,0)*0.475*44/12</f>
        <v>19.384405866385464</v>
      </c>
      <c r="FS175" s="21">
        <f>EXP(-LN(2)/2)*FS174+(1-EXP(-LN(2)/2))/(LN(2)/2)*FM175*FP175*VLOOKUP('Données projet'!$B$16,Paramètres!$A$1:$I$89,3,0)*0.475*44/12</f>
        <v>3.2008187584733504E-7</v>
      </c>
      <c r="FT175" s="22">
        <f t="shared" si="184"/>
        <v>71.996940014365052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328.55631138162721</v>
      </c>
      <c r="T176" s="59">
        <f t="shared" si="142"/>
        <v>321.81422611044985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6.161611133187372</v>
      </c>
      <c r="AA176" s="21">
        <f>EXP(-LN(2)/25)*AA175+(1-EXP(-LN(2)/25))/(LN(2)/25)*Calculateur!V176*Calculateur!X176*VLOOKUP('Données projet'!$B$9,Paramètres!$A$1:$I$89,3,0)*0.475*44/12</f>
        <v>2.9121050540991837</v>
      </c>
      <c r="AB176" s="21">
        <f>EXP(-LN(2)/2)*AB175+(1-EXP(-LN(2)/2))/(LN(2)/2)*V176*Y176*VLOOKUP('Données projet'!$B$9,Paramètres!$A$1:$I$89,3,0)*0.475*44/12</f>
        <v>5.7805057846626762E-13</v>
      </c>
      <c r="AC176" s="22">
        <f t="shared" si="163"/>
        <v>9.0737161872871326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353.37479213497227</v>
      </c>
      <c r="AO176" s="59">
        <f t="shared" si="144"/>
        <v>345.4750813433123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8.2408881212298315</v>
      </c>
      <c r="AV176" s="21">
        <f>EXP(-LN(2)/25)*AV175+(1-EXP(-LN(2)/25))/(LN(2)/25)*Calculateur!AQ176*Calculateur!AS176*VLOOKUP('Données projet'!$B$10,Paramètres!$A$1:$I$89,3,0)*0.475*44/12</f>
        <v>3.8948144291094051</v>
      </c>
      <c r="AW176" s="21">
        <f>EXP(-LN(2)/2)*AW175+(1-EXP(-LN(2)/2))/(LN(2)/2)*AQ176*AT176*VLOOKUP('Données projet'!$B$10,Paramètres!$A$1:$I$89,3,0)*0.475*44/12</f>
        <v>6.2724637237829235E-13</v>
      </c>
      <c r="AX176" s="21">
        <f t="shared" si="166"/>
        <v>12.135702550339863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359.57284550600366</v>
      </c>
      <c r="BJ176" s="59">
        <f t="shared" si="146"/>
        <v>351.38386928091433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8.402474162822573</v>
      </c>
      <c r="BQ176" s="21">
        <f>EXP(-LN(2)/25)*BQ175+(1-EXP(-LN(2)/25))/(LN(2)/25)*Calculateur!BL176*Calculateur!BN176*VLOOKUP('Données projet'!$B$11,Paramètres!$A$1:$I$89,3,0)*0.475*44/12</f>
        <v>3.9711833394840963</v>
      </c>
      <c r="BR176" s="21">
        <f>EXP(-LN(2)/2)*BR175+(1-EXP(-LN(2)/2))/(LN(2)/2)*BL176*BO176*VLOOKUP('Données projet'!$B$11,Paramètres!$A$1:$I$89,3,0)*0.475*44/12</f>
        <v>6.3954532085630008E-13</v>
      </c>
      <c r="BS176" s="22">
        <f t="shared" si="169"/>
        <v>12.373657502307308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-8.5265128291212022E-14</v>
      </c>
      <c r="BZ176" s="13">
        <f>BY176*VLOOKUP('Données projet'!$B$12,Paramètres!$A$1:$I$89,3,0)*VLOOKUP('Données projet'!$B$12,Paramètres!$A$1:$I$89,5,0)</f>
        <v>-6.9167072069831198E-14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159.4660488566085</v>
      </c>
      <c r="CE176" s="59">
        <f t="shared" si="148"/>
        <v>135.33030558297088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1.6200968400107298</v>
      </c>
      <c r="CM176" s="21">
        <f>EXP(-LN(2)/2)*CM175+(1-EXP(-LN(2)/2))/(LN(2)/2)*CG176*CJ176*VLOOKUP('Données projet'!$B$12,Paramètres!$A$1:$I$89,3,0)*0.475*44/12</f>
        <v>8.0533647192778216E-12</v>
      </c>
      <c r="CN176" s="22">
        <f t="shared" si="172"/>
        <v>1.6200968400187832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353.37479213497227</v>
      </c>
      <c r="CZ176" s="59">
        <f t="shared" si="150"/>
        <v>345.4750813433123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8.2408881212298315</v>
      </c>
      <c r="DG176" s="21">
        <f>EXP(-LN(2)/25)*DG175+(1-EXP(-LN(2)/25))/(LN(2)/25)*Calculateur!DB176*Calculateur!DD176*VLOOKUP('Données projet'!$B$13,Paramètres!$A$1:$I$89,3,0)*0.475*44/12</f>
        <v>3.8948144291094051</v>
      </c>
      <c r="DH176" s="21">
        <f>EXP(-LN(2)/2)*DH175+(1-EXP(-LN(2)/2))/(LN(2)/2)*DB176*DE176*VLOOKUP('Données projet'!$B$13,Paramètres!$A$1:$I$89,3,0)*0.475*44/12</f>
        <v>6.2724637237829235E-13</v>
      </c>
      <c r="DI176" s="22">
        <f t="shared" si="175"/>
        <v>12.135702550339863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9.6220000000000034</v>
      </c>
      <c r="DO176" s="12">
        <f>IF('Données projet'!$A$166&gt;35,DO175+DN176-DW175,IF(A176&lt;'Données projet'!$A$166,$DL$205^A176,IF(A176='Données projet'!$A$166,'Données projet'!$B$166,DO175+DN176-DW175)))</f>
        <v>600.89800000000093</v>
      </c>
      <c r="DP176" s="17">
        <f>DO176*VLOOKUP('Données projet'!$B$14,Paramètres!$A$1:$I$89,3,0)*VLOOKUP('Données projet'!$B$14,Paramètres!$A$1:$I$89,5,0)</f>
        <v>543.69251040000086</v>
      </c>
      <c r="DQ176" s="13">
        <f t="shared" si="176"/>
        <v>120.36778959614513</v>
      </c>
      <c r="DR176" s="20">
        <f t="shared" si="177"/>
        <v>1156.5716891599543</v>
      </c>
      <c r="DS176" s="59">
        <f t="shared" si="125"/>
        <v>1449.9050224932876</v>
      </c>
      <c r="DT176" s="59">
        <f ca="1">AVERAGE(OFFSET($DS$3,0,0,'Données projet'!$E$14+1,1))-AVERAGE(OFFSET($H$3,0,0,'Données projet'!$E$14+1,1))</f>
        <v>635.71275911100679</v>
      </c>
      <c r="DU176" s="59">
        <f t="shared" si="152"/>
        <v>281.7776857269169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49.044071795746838</v>
      </c>
      <c r="EB176" s="21">
        <f>EXP(-LN(2)/25)*EB175+(1-EXP(-LN(2)/25))/(LN(2)/25)*Calculateur!DW176*Calculateur!DY176*VLOOKUP('Données projet'!$B$14,Paramètres!$A$1:$I$89,3,0)*0.475*44/12</f>
        <v>17.927075730788168</v>
      </c>
      <c r="EC176" s="21">
        <f>EXP(-LN(2)/2)*EC175+(1-EXP(-LN(2)/2))/(LN(2)/2)*DW176*DZ176*VLOOKUP('Données projet'!$B$14,Paramètres!$A$1:$I$89,3,0)*0.475*44/12</f>
        <v>2.1520097978525428E-7</v>
      </c>
      <c r="ED176" s="22">
        <f t="shared" si="178"/>
        <v>66.97114774173599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9.6220000000000034</v>
      </c>
      <c r="EJ176" s="12">
        <f>IF('Données projet'!$A$192&gt;35,EJ175+EI176-ER175,IF(A176&lt;'Données projet'!$A$192,$EG$205^A176,IF(A176='Données projet'!$A$192,'Données projet'!$B$192,EJ175+EI176-ER175)))</f>
        <v>600.89800000000093</v>
      </c>
      <c r="EK176" s="17">
        <f>EJ176*VLOOKUP('Données projet'!$B$15,Paramètres!$A$1:$I$89,3,0)*VLOOKUP('Données projet'!$B$15,Paramètres!$A$1:$I$89,5,0)</f>
        <v>403.08237840000066</v>
      </c>
      <c r="EL176" s="13">
        <f t="shared" si="179"/>
        <v>92.401290677329072</v>
      </c>
      <c r="EM176" s="20">
        <f t="shared" si="180"/>
        <v>862.96739030968263</v>
      </c>
      <c r="EN176" s="59">
        <f t="shared" si="128"/>
        <v>1156.300723643016</v>
      </c>
      <c r="EO176" s="59">
        <f ca="1">AVERAGE(OFFSET($EN$3,0,0,'Données projet'!$E$15+1,1))-AVERAGE(OFFSET($H$3,0,0,'Données projet'!$E$15+1,1))</f>
        <v>482.99915419700773</v>
      </c>
      <c r="EP176" s="59">
        <f t="shared" si="154"/>
        <v>219.74157899604279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44.816134571975567</v>
      </c>
      <c r="EW176" s="21">
        <f>EXP(-LN(2)/25)*EW175+(1-EXP(-LN(2)/25))/(LN(2)/25)*Calculateur!ER176*Calculateur!ET176*VLOOKUP('Données projet'!$B$15,Paramètres!$A$1:$I$89,3,0)*0.475*44/12</f>
        <v>16.381638167789188</v>
      </c>
      <c r="EX176" s="21">
        <f>EXP(-LN(2)/2)*EX175+(1-EXP(-LN(2)/2))/(LN(2)/2)*ER176*EU176*VLOOKUP('Données projet'!$B$15,Paramètres!$A$1:$I$89,3,0)*0.475*44/12</f>
        <v>1.5954555397872334E-7</v>
      </c>
      <c r="EY176" s="22">
        <f t="shared" si="181"/>
        <v>61.197772899310316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9.6220000000000034</v>
      </c>
      <c r="FE176" s="12">
        <f>IF('Données projet'!$A$218&gt;35,FE175+FD176-FM175,IF(A176&lt;'Données projet'!$A$218,$FB$205^A176,IF(A176='Données projet'!$A$218,'Données projet'!$B$218,FE175+FD176-FM175)))</f>
        <v>600.89800000000093</v>
      </c>
      <c r="FF176" s="17">
        <f>FE176*VLOOKUP('Données projet'!$B$16,Paramètres!$A$1:$I$89,3,0)*VLOOKUP('Données projet'!$B$16,Paramètres!$A$1:$I$89,5,0)</f>
        <v>571.81453680000084</v>
      </c>
      <c r="FG176" s="13">
        <f t="shared" si="182"/>
        <v>125.85276237424009</v>
      </c>
      <c r="FH176" s="20">
        <f t="shared" si="183"/>
        <v>1215.1038793951363</v>
      </c>
      <c r="FI176" s="59">
        <f t="shared" si="131"/>
        <v>1508.4372127284696</v>
      </c>
      <c r="FJ176" s="59">
        <f ca="1">AVERAGE(OFFSET($FI$3,0,0,'Données projet'!$E$16+1,1))-AVERAGE(OFFSET($H$3,0,0,'Données projet'!$E$16+1,1))</f>
        <v>666.1523645983184</v>
      </c>
      <c r="FK176" s="59">
        <f t="shared" si="156"/>
        <v>294.13851344047526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51.580834130009599</v>
      </c>
      <c r="FR176" s="21">
        <f>EXP(-LN(2)/25)*FR175+(1-EXP(-LN(2)/25))/(LN(2)/25)*Calculateur!FM176*Calculateur!FO176*VLOOKUP('Données projet'!$B$16,Paramètres!$A$1:$I$89,3,0)*0.475*44/12</f>
        <v>18.854338268587554</v>
      </c>
      <c r="FS176" s="21">
        <f>EXP(-LN(2)/2)*FS175+(1-EXP(-LN(2)/2))/(LN(2)/2)*FM176*FP176*VLOOKUP('Données projet'!$B$16,Paramètres!$A$1:$I$89,3,0)*0.475*44/12</f>
        <v>2.2633206494656121E-7</v>
      </c>
      <c r="FT176" s="22">
        <f t="shared" si="184"/>
        <v>70.435172624929223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328.55631138162721</v>
      </c>
      <c r="T177" s="59">
        <f t="shared" si="142"/>
        <v>321.81422611044985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6.0407856970772666</v>
      </c>
      <c r="AA177" s="21">
        <f>EXP(-LN(2)/25)*AA176+(1-EXP(-LN(2)/25))/(LN(2)/25)*Calculateur!V177*Calculateur!X177*VLOOKUP('Données projet'!$B$9,Paramètres!$A$1:$I$89,3,0)*0.475*44/12</f>
        <v>2.8324733882538924</v>
      </c>
      <c r="AB177" s="21">
        <f>EXP(-LN(2)/2)*AB176+(1-EXP(-LN(2)/2))/(LN(2)/2)*V177*Y177*VLOOKUP('Données projet'!$B$9,Paramètres!$A$1:$I$89,3,0)*0.475*44/12</f>
        <v>4.0874348390230432E-13</v>
      </c>
      <c r="AC177" s="22">
        <f t="shared" si="163"/>
        <v>8.8732590853315685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353.37479213497227</v>
      </c>
      <c r="AO177" s="59">
        <f t="shared" si="144"/>
        <v>345.4750813433123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8.0792893316179484</v>
      </c>
      <c r="AV177" s="21">
        <f>EXP(-LN(2)/25)*AV176+(1-EXP(-LN(2)/25))/(LN(2)/25)*Calculateur!AQ177*Calculateur!AS177*VLOOKUP('Données projet'!$B$10,Paramètres!$A$1:$I$89,3,0)*0.475*44/12</f>
        <v>3.7883105237260195</v>
      </c>
      <c r="AW177" s="21">
        <f>EXP(-LN(2)/2)*AW176+(1-EXP(-LN(2)/2))/(LN(2)/2)*AQ177*AT177*VLOOKUP('Données projet'!$B$10,Paramètres!$A$1:$I$89,3,0)*0.475*44/12</f>
        <v>4.4353016338335288E-13</v>
      </c>
      <c r="AX177" s="21">
        <f t="shared" si="166"/>
        <v>11.867599855344412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359.57284550600366</v>
      </c>
      <c r="BJ177" s="59">
        <f t="shared" si="146"/>
        <v>351.38386928091433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8.2377067694928101</v>
      </c>
      <c r="BQ177" s="21">
        <f>EXP(-LN(2)/25)*BQ176+(1-EXP(-LN(2)/25))/(LN(2)/25)*Calculateur!BL177*Calculateur!BN177*VLOOKUP('Données projet'!$B$11,Paramètres!$A$1:$I$89,3,0)*0.475*44/12</f>
        <v>3.8625911222304481</v>
      </c>
      <c r="BR177" s="21">
        <f>EXP(-LN(2)/2)*BR176+(1-EXP(-LN(2)/2))/(LN(2)/2)*BL177*BO177*VLOOKUP('Données projet'!$B$11,Paramètres!$A$1:$I$89,3,0)*0.475*44/12</f>
        <v>4.5222683325361615E-13</v>
      </c>
      <c r="BS177" s="22">
        <f t="shared" si="169"/>
        <v>12.100297891723711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-8.5265128291212022E-14</v>
      </c>
      <c r="BZ177" s="13">
        <f>BY177*VLOOKUP('Données projet'!$B$12,Paramètres!$A$1:$I$89,3,0)*VLOOKUP('Données projet'!$B$12,Paramètres!$A$1:$I$89,5,0)</f>
        <v>-6.9167072069831198E-14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159.4660488566085</v>
      </c>
      <c r="CE177" s="59">
        <f t="shared" si="148"/>
        <v>135.33030558297088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1.5757952067234464</v>
      </c>
      <c r="CM177" s="21">
        <f>EXP(-LN(2)/2)*CM176+(1-EXP(-LN(2)/2))/(LN(2)/2)*CG177*CJ177*VLOOKUP('Données projet'!$B$12,Paramètres!$A$1:$I$89,3,0)*0.475*44/12</f>
        <v>5.6945888043698445E-12</v>
      </c>
      <c r="CN177" s="22">
        <f t="shared" si="172"/>
        <v>1.575795206729141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353.37479213497227</v>
      </c>
      <c r="CZ177" s="59">
        <f t="shared" si="150"/>
        <v>345.4750813433123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8.0792893316179484</v>
      </c>
      <c r="DG177" s="21">
        <f>EXP(-LN(2)/25)*DG176+(1-EXP(-LN(2)/25))/(LN(2)/25)*Calculateur!DB177*Calculateur!DD177*VLOOKUP('Données projet'!$B$13,Paramètres!$A$1:$I$89,3,0)*0.475*44/12</f>
        <v>3.7883105237260195</v>
      </c>
      <c r="DH177" s="21">
        <f>EXP(-LN(2)/2)*DH176+(1-EXP(-LN(2)/2))/(LN(2)/2)*DB177*DE177*VLOOKUP('Données projet'!$B$13,Paramètres!$A$1:$I$89,3,0)*0.475*44/12</f>
        <v>4.4353016338335288E-13</v>
      </c>
      <c r="DI177" s="22">
        <f t="shared" si="175"/>
        <v>11.867599855344412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>
        <f>VLOOKUP(A177,'Données projet'!$A$165:$I$185,2,0)</f>
        <v>610.52</v>
      </c>
      <c r="DM177" s="12">
        <f>VLOOKUP(A177,'Données projet'!$A$165:$I$185,9,0)</f>
        <v>9.6220000000000034</v>
      </c>
      <c r="DN177" s="12">
        <f t="array" ref="DN177">INDEX(DM:DM,MIN(IF(ISNUMBER(DM177:DM373),ROW(DM177:DM373),"")))</f>
        <v>9.6220000000000034</v>
      </c>
      <c r="DO177" s="12">
        <f>IF('Données projet'!$A$166&gt;35,DO176+DN177-DW176,IF(A177&lt;'Données projet'!$A$166,$DL$205^A177,IF(A177='Données projet'!$A$166,'Données projet'!$B$166,DO176+DN177-DW176)))</f>
        <v>610.52000000000089</v>
      </c>
      <c r="DP177" s="17">
        <f>DO177*VLOOKUP('Données projet'!$B$14,Paramètres!$A$1:$I$89,3,0)*VLOOKUP('Données projet'!$B$14,Paramètres!$A$1:$I$89,5,0)</f>
        <v>552.3984960000007</v>
      </c>
      <c r="DQ177" s="13">
        <f t="shared" si="176"/>
        <v>122.06927432492597</v>
      </c>
      <c r="DR177" s="20">
        <f t="shared" si="177"/>
        <v>1174.698033315914</v>
      </c>
      <c r="DS177" s="59">
        <f t="shared" si="125"/>
        <v>1468.0313666492473</v>
      </c>
      <c r="DT177" s="59">
        <f ca="1">AVERAGE(OFFSET($DS$3,0,0,'Données projet'!$E$14+1,1))-AVERAGE(OFFSET($H$3,0,0,'Données projet'!$E$14+1,1))</f>
        <v>635.71275911100679</v>
      </c>
      <c r="DU177" s="59">
        <f t="shared" si="152"/>
        <v>281.7776857269169</v>
      </c>
      <c r="DV177" s="15">
        <f>IF(ISNA(VLOOKUP(A177,'Données projet'!$A$165:$I$185,3,0)),0,VLOOKUP(A177,'Données projet'!$A$165:$I$185,3,0))</f>
        <v>15</v>
      </c>
      <c r="DW177" s="15">
        <f>IF(ISNA(VLOOKUP(A177,'Données projet'!$A$165:$I$185,4,0)),0,VLOOKUP(A177,'Données projet'!$A$165:$I$185,4,0))</f>
        <v>240</v>
      </c>
      <c r="DX177" s="16">
        <f>IF(ISNA(VLOOKUP(A177,'Données projet'!$A$165:$I$185,5,0)),0%,VLOOKUP(A177,'Données projet'!$A$165:$I$185,5,0)*VLOOKUP('Données projet'!$B$14,Paramètres!$A$1:$I$89,7,0))</f>
        <v>0.19350000000000001</v>
      </c>
      <c r="DY177" s="16">
        <f>IF(ISNA(VLOOKUP(A177,'Données projet'!$A$165:$I$185,6,0)),0%,VLOOKUP(A177,'Données projet'!$A$165:$I$185,6,0)*VLOOKUP('Données projet'!$B$14,Paramètres!$A$1:$I$89,7,0))</f>
        <v>2.1500000000000002E-2</v>
      </c>
      <c r="DZ177" s="16">
        <f>IF(ISNA(VLOOKUP(A177,'Données projet'!$A$165:$I$185,7,0)),0%,VLOOKUP(A177,'Données projet'!$A$165:$I$185,7,0))</f>
        <v>0.05</v>
      </c>
      <c r="EA177" s="21">
        <f>EXP(-LN(2)/35)*EA176+(1-EXP(-LN(2)/35))/(LN(2)/35)*DW177*DX177*VLOOKUP('Données projet'!$B$14,Paramètres!$A$1:$I$89,3,0)*0.475*44/12</f>
        <v>94.533010057963907</v>
      </c>
      <c r="EB177" s="21">
        <f>EXP(-LN(2)/25)*EB176+(1-EXP(-LN(2)/25))/(LN(2)/25)*Calculateur!DW177*Calculateur!DY177*VLOOKUP('Données projet'!$B$14,Paramètres!$A$1:$I$89,3,0)*0.475*44/12</f>
        <v>22.577722084238086</v>
      </c>
      <c r="EC177" s="21">
        <f>EXP(-LN(2)/2)*EC176+(1-EXP(-LN(2)/2))/(LN(2)/2)*DW177*DZ177*VLOOKUP('Données projet'!$B$14,Paramètres!$A$1:$I$89,3,0)*0.475*44/12</f>
        <v>10.244437980189536</v>
      </c>
      <c r="ED177" s="22">
        <f t="shared" si="178"/>
        <v>127.35517012239153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>
        <f>VLOOKUP(A177,'Données projet'!$A$191:$I$211,2,0)</f>
        <v>610.52</v>
      </c>
      <c r="EH177" s="12">
        <f>VLOOKUP(A177,'Données projet'!$A$191:$I$211,9,0)</f>
        <v>9.6220000000000034</v>
      </c>
      <c r="EI177" s="12">
        <f t="array" ref="EI177">INDEX(EH:EH,MIN(IF(ISNUMBER(EH177:EH373),ROW(EH177:EH373),"")))</f>
        <v>9.6220000000000034</v>
      </c>
      <c r="EJ177" s="12">
        <f>IF('Données projet'!$A$192&gt;35,EJ176+EI177-ER176,IF(A177&lt;'Données projet'!$A$192,$EG$205^A177,IF(A177='Données projet'!$A$192,'Données projet'!$B$192,EJ176+EI177-ER176)))</f>
        <v>610.52000000000089</v>
      </c>
      <c r="EK177" s="17">
        <f>EJ177*VLOOKUP('Données projet'!$B$15,Paramètres!$A$1:$I$89,3,0)*VLOOKUP('Données projet'!$B$15,Paramètres!$A$1:$I$89,5,0)</f>
        <v>409.53681600000061</v>
      </c>
      <c r="EL177" s="13">
        <f t="shared" si="179"/>
        <v>93.707448957169674</v>
      </c>
      <c r="EM177" s="20">
        <f t="shared" si="180"/>
        <v>876.48376146707153</v>
      </c>
      <c r="EN177" s="59">
        <f t="shared" si="128"/>
        <v>1169.8170948004049</v>
      </c>
      <c r="EO177" s="59">
        <f ca="1">AVERAGE(OFFSET($EN$3,0,0,'Données projet'!$E$15+1,1))-AVERAGE(OFFSET($H$3,0,0,'Données projet'!$E$15+1,1))</f>
        <v>482.99915419700773</v>
      </c>
      <c r="EP177" s="59">
        <f t="shared" si="154"/>
        <v>219.74157899604279</v>
      </c>
      <c r="EQ177" s="15">
        <f>IF(ISNA(VLOOKUP(A177,'Données projet'!$A$191:$I$211,3,0)),0,VLOOKUP(A177,'Données projet'!$A$191:$I$211,3,0))</f>
        <v>15</v>
      </c>
      <c r="ER177" s="15">
        <f>IF(ISNA(VLOOKUP(A177,'Données projet'!$A$191:$I$211,4,0)),0,VLOOKUP(A177,'Données projet'!$A$191:$I$211,4,0))</f>
        <v>240</v>
      </c>
      <c r="ES177" s="16">
        <f>IF(ISNA(VLOOKUP(A177,'Données projet'!$A$191:$I$211,5,0)),0%,VLOOKUP(A177,'Données projet'!$A$191:$I$211,5,0)*VLOOKUP('Données projet'!$B$15,Paramètres!$A$1:$I$89,7,0))</f>
        <v>0.23850000000000002</v>
      </c>
      <c r="ET177" s="16">
        <f>IF(ISNA(VLOOKUP(A177,'Données projet'!$A$191:$I$211,6,0)),0%,VLOOKUP(A177,'Données projet'!$A$191:$I$211,6,0)*VLOOKUP('Données projet'!$B$15,Paramètres!$A$1:$I$89,7,0))</f>
        <v>2.6500000000000003E-2</v>
      </c>
      <c r="EU177" s="16">
        <f>IF(ISNA(VLOOKUP(A177,'Données projet'!$A$191:$I$211,7,0)),0%,VLOOKUP(A177,'Données projet'!$A$191:$I$211,7,0))</f>
        <v>0.05</v>
      </c>
      <c r="EV177" s="21">
        <f>EXP(-LN(2)/35)*EV176+(1-EXP(-LN(2)/35))/(LN(2)/35)*ER177*ES177*VLOOKUP('Données projet'!$B$15,Paramètres!$A$1:$I$89,3,0)*0.475*44/12</f>
        <v>86.383612639173947</v>
      </c>
      <c r="EW177" s="21">
        <f>EXP(-LN(2)/25)*EW176+(1-EXP(-LN(2)/25))/(LN(2)/25)*Calculateur!ER177*Calculateur!ET177*VLOOKUP('Données projet'!$B$15,Paramètres!$A$1:$I$89,3,0)*0.475*44/12</f>
        <v>20.631366732148596</v>
      </c>
      <c r="EX177" s="21">
        <f>EXP(-LN(2)/2)*EX176+(1-EXP(-LN(2)/2))/(LN(2)/2)*ER177*EU177*VLOOKUP('Données projet'!$B$15,Paramètres!$A$1:$I$89,3,0)*0.475*44/12</f>
        <v>7.5950143646232773</v>
      </c>
      <c r="EY177" s="22">
        <f t="shared" si="181"/>
        <v>114.60999373594582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>
        <f>VLOOKUP(A177,'Données projet'!$A$217:$I$237,2,0)</f>
        <v>610.52</v>
      </c>
      <c r="FC177" s="12">
        <f>VLOOKUP(A177,'Données projet'!$A$217:$I$237,9,0)</f>
        <v>9.6220000000000034</v>
      </c>
      <c r="FD177" s="12">
        <f t="array" ref="FD177">INDEX(FC:FC,MIN(IF(ISNUMBER(FC177:FC373),ROW(FC177:FC373),"")))</f>
        <v>9.6220000000000034</v>
      </c>
      <c r="FE177" s="12">
        <f>IF('Données projet'!$A$218&gt;35,FE176+FD177-FM176,IF(A177&lt;'Données projet'!$A$218,$FB$205^A177,IF(A177='Données projet'!$A$218,'Données projet'!$B$218,FE176+FD177-FM176)))</f>
        <v>610.52000000000089</v>
      </c>
      <c r="FF177" s="17">
        <f>FE177*VLOOKUP('Données projet'!$B$16,Paramètres!$A$1:$I$89,3,0)*VLOOKUP('Données projet'!$B$16,Paramètres!$A$1:$I$89,5,0)</f>
        <v>580.97083200000088</v>
      </c>
      <c r="FG177" s="13">
        <f t="shared" si="182"/>
        <v>127.63178111316617</v>
      </c>
      <c r="FH177" s="20">
        <f t="shared" si="183"/>
        <v>1234.1495511720993</v>
      </c>
      <c r="FI177" s="59">
        <f t="shared" si="131"/>
        <v>1527.4828845054326</v>
      </c>
      <c r="FJ177" s="59">
        <f ca="1">AVERAGE(OFFSET($FI$3,0,0,'Données projet'!$E$16+1,1))-AVERAGE(OFFSET($H$3,0,0,'Données projet'!$E$16+1,1))</f>
        <v>666.1523645983184</v>
      </c>
      <c r="FK177" s="59">
        <f t="shared" si="156"/>
        <v>294.13851344047526</v>
      </c>
      <c r="FL177" s="15">
        <f>IF(ISNA(VLOOKUP(A177,'Données projet'!$A$217:$I$237,3,0)),0,VLOOKUP(A177,'Données projet'!$A$217:$I$237,3,0))</f>
        <v>15</v>
      </c>
      <c r="FM177" s="15">
        <f>IF(ISNA(VLOOKUP(A177,'Données projet'!$A$217:$I$237,4,0)),0,VLOOKUP(A177,'Données projet'!$A$217:$I$237,4,0))</f>
        <v>240</v>
      </c>
      <c r="FN177" s="16">
        <f>IF(ISNA(VLOOKUP(A177,'Données projet'!$A$217:$I$237,5,0)),0%,VLOOKUP(A177,'Données projet'!$A$217:$I$237,5,0)*VLOOKUP('Données projet'!$B$16,Paramètres!$A$1:$I$89,7,0))</f>
        <v>0.19350000000000001</v>
      </c>
      <c r="FO177" s="16">
        <f>IF(ISNA(VLOOKUP(A177,'Données projet'!$A$217:$I$237,6,0)),0%,VLOOKUP(A177,'Données projet'!$A$217:$I$237,6,0)*VLOOKUP('Données projet'!$B$16,Paramètres!$A$1:$I$89,7,0))</f>
        <v>2.1500000000000002E-2</v>
      </c>
      <c r="FP177" s="16">
        <f>IF(ISNA(VLOOKUP(A177,'Données projet'!$A$217:$I$237,7,0)),0%,VLOOKUP(A177,'Données projet'!$A$217:$I$237,7,0))</f>
        <v>0.05</v>
      </c>
      <c r="FQ177" s="21">
        <f>EXP(-LN(2)/35)*FQ176+(1-EXP(-LN(2)/35))/(LN(2)/35)*FM177*FN177*VLOOKUP('Données projet'!$B$16,Paramètres!$A$1:$I$89,3,0)*0.475*44/12</f>
        <v>99.422648509237902</v>
      </c>
      <c r="FR177" s="21">
        <f>EXP(-LN(2)/25)*FR176+(1-EXP(-LN(2)/25))/(LN(2)/25)*Calculateur!FM177*Calculateur!FO177*VLOOKUP('Données projet'!$B$16,Paramètres!$A$1:$I$89,3,0)*0.475*44/12</f>
        <v>23.745535295491777</v>
      </c>
      <c r="FS177" s="21">
        <f>EXP(-LN(2)/2)*FS176+(1-EXP(-LN(2)/2))/(LN(2)/2)*FM177*FP177*VLOOKUP('Données projet'!$B$16,Paramètres!$A$1:$I$89,3,0)*0.475*44/12</f>
        <v>10.77432270330279</v>
      </c>
      <c r="FT177" s="22">
        <f t="shared" si="184"/>
        <v>133.94250650803247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328.55631138162721</v>
      </c>
      <c r="T178" s="59">
        <f t="shared" si="142"/>
        <v>321.81422611044985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5.9223295740730411</v>
      </c>
      <c r="AA178" s="21">
        <f>EXP(-LN(2)/25)*AA177+(1-EXP(-LN(2)/25))/(LN(2)/25)*Calculateur!V178*Calculateur!X178*VLOOKUP('Données projet'!$B$9,Paramètres!$A$1:$I$89,3,0)*0.475*44/12</f>
        <v>2.7550192544987877</v>
      </c>
      <c r="AB178" s="21">
        <f>EXP(-LN(2)/2)*AB177+(1-EXP(-LN(2)/2))/(LN(2)/2)*V178*Y178*VLOOKUP('Données projet'!$B$9,Paramètres!$A$1:$I$89,3,0)*0.475*44/12</f>
        <v>2.8902528923313381E-13</v>
      </c>
      <c r="AC178" s="22">
        <f t="shared" si="163"/>
        <v>8.6773488285721179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353.37479213497227</v>
      </c>
      <c r="AO178" s="59">
        <f t="shared" si="144"/>
        <v>345.4750813433123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7.9208593957048246</v>
      </c>
      <c r="AV178" s="21">
        <f>EXP(-LN(2)/25)*AV177+(1-EXP(-LN(2)/25))/(LN(2)/25)*Calculateur!AQ178*Calculateur!AS178*VLOOKUP('Données projet'!$B$10,Paramètres!$A$1:$I$89,3,0)*0.475*44/12</f>
        <v>3.6847189732361394</v>
      </c>
      <c r="AW178" s="21">
        <f>EXP(-LN(2)/2)*AW177+(1-EXP(-LN(2)/2))/(LN(2)/2)*AQ178*AT178*VLOOKUP('Données projet'!$B$10,Paramètres!$A$1:$I$89,3,0)*0.475*44/12</f>
        <v>3.1362318618914618E-13</v>
      </c>
      <c r="AX178" s="21">
        <f t="shared" si="166"/>
        <v>11.605578368941279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359.57284550600366</v>
      </c>
      <c r="BJ178" s="59">
        <f t="shared" si="146"/>
        <v>351.38386928091433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8.0761703642480569</v>
      </c>
      <c r="BQ178" s="21">
        <f>EXP(-LN(2)/25)*BQ177+(1-EXP(-LN(2)/25))/(LN(2)/25)*Calculateur!BL178*Calculateur!BN178*VLOOKUP('Données projet'!$B$11,Paramètres!$A$1:$I$89,3,0)*0.475*44/12</f>
        <v>3.7569683648682175</v>
      </c>
      <c r="BR178" s="21">
        <f>EXP(-LN(2)/2)*BR177+(1-EXP(-LN(2)/2))/(LN(2)/2)*BL178*BO178*VLOOKUP('Données projet'!$B$11,Paramètres!$A$1:$I$89,3,0)*0.475*44/12</f>
        <v>3.1977266042815009E-13</v>
      </c>
      <c r="BS178" s="22">
        <f t="shared" si="169"/>
        <v>11.833138729116595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-8.5265128291212022E-14</v>
      </c>
      <c r="BZ178" s="13">
        <f>BY178*VLOOKUP('Données projet'!$B$12,Paramètres!$A$1:$I$89,3,0)*VLOOKUP('Données projet'!$B$12,Paramètres!$A$1:$I$89,5,0)</f>
        <v>-6.9167072069831198E-14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159.4660488566085</v>
      </c>
      <c r="CE178" s="59">
        <f t="shared" si="148"/>
        <v>135.33030558297088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1.5327050039281254</v>
      </c>
      <c r="CM178" s="21">
        <f>EXP(-LN(2)/2)*CM177+(1-EXP(-LN(2)/2))/(LN(2)/2)*CG178*CJ178*VLOOKUP('Données projet'!$B$12,Paramètres!$A$1:$I$89,3,0)*0.475*44/12</f>
        <v>4.0266823596389108E-12</v>
      </c>
      <c r="CN178" s="22">
        <f t="shared" si="172"/>
        <v>1.5327050039321521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353.37479213497227</v>
      </c>
      <c r="CZ178" s="59">
        <f t="shared" si="150"/>
        <v>345.4750813433123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7.9208593957048246</v>
      </c>
      <c r="DG178" s="21">
        <f>EXP(-LN(2)/25)*DG177+(1-EXP(-LN(2)/25))/(LN(2)/25)*Calculateur!DB178*Calculateur!DD178*VLOOKUP('Données projet'!$B$13,Paramètres!$A$1:$I$89,3,0)*0.475*44/12</f>
        <v>3.6847189732361394</v>
      </c>
      <c r="DH178" s="21">
        <f>EXP(-LN(2)/2)*DH177+(1-EXP(-LN(2)/2))/(LN(2)/2)*DB178*DE178*VLOOKUP('Données projet'!$B$13,Paramètres!$A$1:$I$89,3,0)*0.475*44/12</f>
        <v>3.1362318618914618E-13</v>
      </c>
      <c r="DI178" s="22">
        <f t="shared" si="175"/>
        <v>11.605578368941279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6.140000000000005</v>
      </c>
      <c r="DO178" s="12">
        <f>IF('Données projet'!$A$166&gt;35,DO177+DN178-DW177,IF(A178&lt;'Données projet'!$A$166,$DL$205^A178,IF(A178='Données projet'!$A$166,'Données projet'!$B$166,DO177+DN178-DW177)))</f>
        <v>376.66000000000088</v>
      </c>
      <c r="DP178" s="17">
        <f>DO178*VLOOKUP('Données projet'!$B$14,Paramètres!$A$1:$I$89,3,0)*VLOOKUP('Données projet'!$B$14,Paramètres!$A$1:$I$89,5,0)</f>
        <v>340.80196800000078</v>
      </c>
      <c r="DQ178" s="13">
        <f t="shared" si="176"/>
        <v>79.665615362245418</v>
      </c>
      <c r="DR178" s="20">
        <f t="shared" si="177"/>
        <v>732.31437435591215</v>
      </c>
      <c r="DS178" s="59">
        <f t="shared" si="125"/>
        <v>1025.6477076892454</v>
      </c>
      <c r="DT178" s="59">
        <f ca="1">AVERAGE(OFFSET($DS$3,0,0,'Données projet'!$E$14+1,1))-AVERAGE(OFFSET($H$3,0,0,'Données projet'!$E$14+1,1))</f>
        <v>635.71275911100679</v>
      </c>
      <c r="DU178" s="59">
        <f t="shared" si="152"/>
        <v>281.7776857269169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92.679275390169977</v>
      </c>
      <c r="EB178" s="21">
        <f>EXP(-LN(2)/25)*EB177+(1-EXP(-LN(2)/25))/(LN(2)/25)*Calculateur!DW178*Calculateur!DY178*VLOOKUP('Données projet'!$B$14,Paramètres!$A$1:$I$89,3,0)*0.475*44/12</f>
        <v>21.960333086533794</v>
      </c>
      <c r="EC178" s="21">
        <f>EXP(-LN(2)/2)*EC177+(1-EXP(-LN(2)/2))/(LN(2)/2)*DW178*DZ178*VLOOKUP('Données projet'!$B$14,Paramètres!$A$1:$I$89,3,0)*0.475*44/12</f>
        <v>7.2439115652370401</v>
      </c>
      <c r="ED178" s="22">
        <f t="shared" si="178"/>
        <v>121.88352004194081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6.140000000000005</v>
      </c>
      <c r="EJ178" s="12">
        <f>IF('Données projet'!$A$192&gt;35,EJ177+EI178-ER177,IF(A178&lt;'Données projet'!$A$192,$EG$205^A178,IF(A178='Données projet'!$A$192,'Données projet'!$B$192,EJ177+EI178-ER177)))</f>
        <v>376.66000000000088</v>
      </c>
      <c r="EK178" s="17">
        <f>EJ178*VLOOKUP('Données projet'!$B$15,Paramètres!$A$1:$I$89,3,0)*VLOOKUP('Données projet'!$B$15,Paramètres!$A$1:$I$89,5,0)</f>
        <v>252.66352800000058</v>
      </c>
      <c r="EL178" s="13">
        <f t="shared" si="179"/>
        <v>61.155943020747195</v>
      </c>
      <c r="EM178" s="20">
        <f t="shared" si="180"/>
        <v>546.5689120278023</v>
      </c>
      <c r="EN178" s="59">
        <f t="shared" si="128"/>
        <v>839.90224536113556</v>
      </c>
      <c r="EO178" s="59">
        <f ca="1">AVERAGE(OFFSET($EN$3,0,0,'Données projet'!$E$15+1,1))-AVERAGE(OFFSET($H$3,0,0,'Données projet'!$E$15+1,1))</f>
        <v>482.99915419700773</v>
      </c>
      <c r="EP178" s="59">
        <f t="shared" si="154"/>
        <v>219.74157899604279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84.689682684120868</v>
      </c>
      <c r="EW178" s="21">
        <f>EXP(-LN(2)/25)*EW177+(1-EXP(-LN(2)/25))/(LN(2)/25)*Calculateur!ER178*Calculateur!ET178*VLOOKUP('Données projet'!$B$15,Paramètres!$A$1:$I$89,3,0)*0.475*44/12</f>
        <v>20.06720092390157</v>
      </c>
      <c r="EX178" s="21">
        <f>EXP(-LN(2)/2)*EX177+(1-EXP(-LN(2)/2))/(LN(2)/2)*ER178*EU178*VLOOKUP('Données projet'!$B$15,Paramètres!$A$1:$I$89,3,0)*0.475*44/12</f>
        <v>5.370486160434357</v>
      </c>
      <c r="EY178" s="22">
        <f t="shared" si="181"/>
        <v>110.12736976845679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6.140000000000005</v>
      </c>
      <c r="FE178" s="12">
        <f>IF('Données projet'!$A$218&gt;35,FE177+FD178-FM177,IF(A178&lt;'Données projet'!$A$218,$FB$205^A178,IF(A178='Données projet'!$A$218,'Données projet'!$B$218,FE177+FD178-FM177)))</f>
        <v>376.66000000000088</v>
      </c>
      <c r="FF178" s="17">
        <f>FE178*VLOOKUP('Données projet'!$B$16,Paramètres!$A$1:$I$89,3,0)*VLOOKUP('Données projet'!$B$16,Paramètres!$A$1:$I$89,5,0)</f>
        <v>358.42965600000082</v>
      </c>
      <c r="FG178" s="13">
        <f t="shared" si="182"/>
        <v>83.295853427413832</v>
      </c>
      <c r="FH178" s="20">
        <f t="shared" si="183"/>
        <v>769.33859558608037</v>
      </c>
      <c r="FI178" s="59">
        <f t="shared" si="131"/>
        <v>1062.6719289194136</v>
      </c>
      <c r="FJ178" s="59">
        <f ca="1">AVERAGE(OFFSET($FI$3,0,0,'Données projet'!$E$16+1,1))-AVERAGE(OFFSET($H$3,0,0,'Données projet'!$E$16+1,1))</f>
        <v>666.1523645983184</v>
      </c>
      <c r="FK178" s="59">
        <f t="shared" si="156"/>
        <v>294.13851344047526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97.473031013799456</v>
      </c>
      <c r="FR178" s="21">
        <f>EXP(-LN(2)/25)*FR177+(1-EXP(-LN(2)/25))/(LN(2)/25)*Calculateur!FM178*Calculateur!FO178*VLOOKUP('Données projet'!$B$16,Paramètres!$A$1:$I$89,3,0)*0.475*44/12</f>
        <v>23.096212384113123</v>
      </c>
      <c r="FS178" s="21">
        <f>EXP(-LN(2)/2)*FS177+(1-EXP(-LN(2)/2))/(LN(2)/2)*FM178*FP178*VLOOKUP('Données projet'!$B$16,Paramètres!$A$1:$I$89,3,0)*0.475*44/12</f>
        <v>7.6185966461975774</v>
      </c>
      <c r="FT178" s="22">
        <f t="shared" si="184"/>
        <v>128.18784004411015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328.55631138162721</v>
      </c>
      <c r="T179" s="59">
        <f t="shared" si="142"/>
        <v>321.81422611044985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5.8061963033898278</v>
      </c>
      <c r="AA179" s="21">
        <f>EXP(-LN(2)/25)*AA178+(1-EXP(-LN(2)/25))/(LN(2)/25)*Calculateur!V179*Calculateur!X179*VLOOKUP('Données projet'!$B$9,Paramètres!$A$1:$I$89,3,0)*0.475*44/12</f>
        <v>2.6796831081043524</v>
      </c>
      <c r="AB179" s="21">
        <f>EXP(-LN(2)/2)*AB178+(1-EXP(-LN(2)/2))/(LN(2)/2)*V179*Y179*VLOOKUP('Données projet'!$B$9,Paramètres!$A$1:$I$89,3,0)*0.475*44/12</f>
        <v>2.0437174195115216E-13</v>
      </c>
      <c r="AC179" s="22">
        <f t="shared" si="163"/>
        <v>8.4858794114943841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353.37479213497227</v>
      </c>
      <c r="AO179" s="59">
        <f t="shared" si="144"/>
        <v>345.4750813433123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7.7655361742022384</v>
      </c>
      <c r="AV179" s="21">
        <f>EXP(-LN(2)/25)*AV178+(1-EXP(-LN(2)/25))/(LN(2)/25)*Calculateur!AQ179*Calculateur!AS179*VLOOKUP('Données projet'!$B$10,Paramètres!$A$1:$I$89,3,0)*0.475*44/12</f>
        <v>3.5839601391420479</v>
      </c>
      <c r="AW179" s="21">
        <f>EXP(-LN(2)/2)*AW178+(1-EXP(-LN(2)/2))/(LN(2)/2)*AQ179*AT179*VLOOKUP('Données projet'!$B$10,Paramètres!$A$1:$I$89,3,0)*0.475*44/12</f>
        <v>2.2176508169167644E-13</v>
      </c>
      <c r="AX179" s="21">
        <f t="shared" si="166"/>
        <v>11.349496313344508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359.57284550600366</v>
      </c>
      <c r="BJ179" s="59">
        <f t="shared" si="146"/>
        <v>351.38386928091433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7.917801589382675</v>
      </c>
      <c r="BQ179" s="21">
        <f>EXP(-LN(2)/25)*BQ178+(1-EXP(-LN(2)/25))/(LN(2)/25)*Calculateur!BL179*Calculateur!BN179*VLOOKUP('Données projet'!$B$11,Paramètres!$A$1:$I$89,3,0)*0.475*44/12</f>
        <v>3.6542338673605164</v>
      </c>
      <c r="BR179" s="21">
        <f>EXP(-LN(2)/2)*BR178+(1-EXP(-LN(2)/2))/(LN(2)/2)*BL179*BO179*VLOOKUP('Données projet'!$B$11,Paramètres!$A$1:$I$89,3,0)*0.475*44/12</f>
        <v>2.261134166268081E-13</v>
      </c>
      <c r="BS179" s="22">
        <f t="shared" si="169"/>
        <v>11.572035456743416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-8.5265128291212022E-14</v>
      </c>
      <c r="BZ179" s="13">
        <f>BY179*VLOOKUP('Données projet'!$B$12,Paramètres!$A$1:$I$89,3,0)*VLOOKUP('Données projet'!$B$12,Paramètres!$A$1:$I$89,5,0)</f>
        <v>-6.9167072069831198E-14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159.4660488566085</v>
      </c>
      <c r="CE179" s="59">
        <f t="shared" si="148"/>
        <v>135.33030558297088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1.4907931049942578</v>
      </c>
      <c r="CM179" s="21">
        <f>EXP(-LN(2)/2)*CM178+(1-EXP(-LN(2)/2))/(LN(2)/2)*CG179*CJ179*VLOOKUP('Données projet'!$B$12,Paramètres!$A$1:$I$89,3,0)*0.475*44/12</f>
        <v>2.8472944021849223E-12</v>
      </c>
      <c r="CN179" s="22">
        <f t="shared" si="172"/>
        <v>1.490793104997105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353.37479213497227</v>
      </c>
      <c r="CZ179" s="59">
        <f t="shared" si="150"/>
        <v>345.4750813433123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7.7655361742022384</v>
      </c>
      <c r="DG179" s="21">
        <f>EXP(-LN(2)/25)*DG178+(1-EXP(-LN(2)/25))/(LN(2)/25)*Calculateur!DB179*Calculateur!DD179*VLOOKUP('Données projet'!$B$13,Paramètres!$A$1:$I$89,3,0)*0.475*44/12</f>
        <v>3.5839601391420479</v>
      </c>
      <c r="DH179" s="21">
        <f>EXP(-LN(2)/2)*DH178+(1-EXP(-LN(2)/2))/(LN(2)/2)*DB179*DE179*VLOOKUP('Données projet'!$B$13,Paramètres!$A$1:$I$89,3,0)*0.475*44/12</f>
        <v>2.2176508169167644E-13</v>
      </c>
      <c r="DI179" s="22">
        <f t="shared" si="175"/>
        <v>11.349496313344508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6.140000000000005</v>
      </c>
      <c r="DO179" s="12">
        <f>IF('Données projet'!$A$166&gt;35,DO178+DN179-DW178,IF(A179&lt;'Données projet'!$A$166,$DL$205^A179,IF(A179='Données projet'!$A$166,'Données projet'!$B$166,DO178+DN179-DW178)))</f>
        <v>382.80000000000086</v>
      </c>
      <c r="DP179" s="17">
        <f>DO179*VLOOKUP('Données projet'!$B$14,Paramètres!$A$1:$I$89,3,0)*VLOOKUP('Données projet'!$B$14,Paramètres!$A$1:$I$89,5,0)</f>
        <v>346.35744000000079</v>
      </c>
      <c r="DQ179" s="13">
        <f t="shared" si="176"/>
        <v>80.812014230904367</v>
      </c>
      <c r="DR179" s="20">
        <f t="shared" si="177"/>
        <v>743.98679945215974</v>
      </c>
      <c r="DS179" s="59">
        <f t="shared" si="125"/>
        <v>1037.3201327854931</v>
      </c>
      <c r="DT179" s="59">
        <f ca="1">AVERAGE(OFFSET($DS$3,0,0,'Données projet'!$E$14+1,1))-AVERAGE(OFFSET($H$3,0,0,'Données projet'!$E$14+1,1))</f>
        <v>635.71275911100679</v>
      </c>
      <c r="DU179" s="59">
        <f t="shared" si="152"/>
        <v>281.7776857269169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90.861891328544985</v>
      </c>
      <c r="EB179" s="21">
        <f>EXP(-LN(2)/25)*EB178+(1-EXP(-LN(2)/25))/(LN(2)/25)*Calculateur!DW179*Calculateur!DY179*VLOOKUP('Données projet'!$B$14,Paramètres!$A$1:$I$89,3,0)*0.475*44/12</f>
        <v>21.359826623438803</v>
      </c>
      <c r="EC179" s="21">
        <f>EXP(-LN(2)/2)*EC178+(1-EXP(-LN(2)/2))/(LN(2)/2)*DW179*DZ179*VLOOKUP('Données projet'!$B$14,Paramètres!$A$1:$I$89,3,0)*0.475*44/12</f>
        <v>5.122218990094769</v>
      </c>
      <c r="ED179" s="22">
        <f t="shared" si="178"/>
        <v>117.34393694207856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6.140000000000005</v>
      </c>
      <c r="EJ179" s="12">
        <f>IF('Données projet'!$A$192&gt;35,EJ178+EI179-ER178,IF(A179&lt;'Données projet'!$A$192,$EG$205^A179,IF(A179='Données projet'!$A$192,'Données projet'!$B$192,EJ178+EI179-ER178)))</f>
        <v>382.80000000000086</v>
      </c>
      <c r="EK179" s="17">
        <f>EJ179*VLOOKUP('Données projet'!$B$15,Paramètres!$A$1:$I$89,3,0)*VLOOKUP('Données projet'!$B$15,Paramètres!$A$1:$I$89,5,0)</f>
        <v>256.78224000000063</v>
      </c>
      <c r="EL179" s="13">
        <f t="shared" si="179"/>
        <v>62.035985226810183</v>
      </c>
      <c r="EM179" s="20">
        <f t="shared" si="180"/>
        <v>555.2750756033621</v>
      </c>
      <c r="EN179" s="59">
        <f t="shared" si="128"/>
        <v>848.60840893669547</v>
      </c>
      <c r="EO179" s="59">
        <f ca="1">AVERAGE(OFFSET($EN$3,0,0,'Données projet'!$E$15+1,1))-AVERAGE(OFFSET($H$3,0,0,'Données projet'!$E$15+1,1))</f>
        <v>482.99915419700773</v>
      </c>
      <c r="EP179" s="59">
        <f t="shared" si="154"/>
        <v>219.74157899604279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83.028969662291132</v>
      </c>
      <c r="EW179" s="21">
        <f>EXP(-LN(2)/25)*EW178+(1-EXP(-LN(2)/25))/(LN(2)/25)*Calculateur!ER179*Calculateur!ET179*VLOOKUP('Données projet'!$B$15,Paramètres!$A$1:$I$89,3,0)*0.475*44/12</f>
        <v>19.518462259349249</v>
      </c>
      <c r="EX179" s="21">
        <f>EXP(-LN(2)/2)*EX178+(1-EXP(-LN(2)/2))/(LN(2)/2)*ER179*EU179*VLOOKUP('Données projet'!$B$15,Paramètres!$A$1:$I$89,3,0)*0.475*44/12</f>
        <v>3.7975071823116391</v>
      </c>
      <c r="EY179" s="22">
        <f t="shared" si="181"/>
        <v>106.34493910395202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6.140000000000005</v>
      </c>
      <c r="FE179" s="12">
        <f>IF('Données projet'!$A$218&gt;35,FE178+FD179-FM178,IF(A179&lt;'Données projet'!$A$218,$FB$205^A179,IF(A179='Données projet'!$A$218,'Données projet'!$B$218,FE178+FD179-FM178)))</f>
        <v>382.80000000000086</v>
      </c>
      <c r="FF179" s="17">
        <f>FE179*VLOOKUP('Données projet'!$B$16,Paramètres!$A$1:$I$89,3,0)*VLOOKUP('Données projet'!$B$16,Paramètres!$A$1:$I$89,5,0)</f>
        <v>364.27248000000083</v>
      </c>
      <c r="FG179" s="13">
        <f t="shared" si="182"/>
        <v>84.494491907753954</v>
      </c>
      <c r="FH179" s="20">
        <f t="shared" si="183"/>
        <v>781.60247607267286</v>
      </c>
      <c r="FI179" s="59">
        <f t="shared" si="131"/>
        <v>1074.9358094060062</v>
      </c>
      <c r="FJ179" s="59">
        <f ca="1">AVERAGE(OFFSET($FI$3,0,0,'Données projet'!$E$16+1,1))-AVERAGE(OFFSET($H$3,0,0,'Données projet'!$E$16+1,1))</f>
        <v>666.1523645983184</v>
      </c>
      <c r="FK179" s="59">
        <f t="shared" si="156"/>
        <v>294.13851344047526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95.561644328297305</v>
      </c>
      <c r="FR179" s="21">
        <f>EXP(-LN(2)/25)*FR178+(1-EXP(-LN(2)/25))/(LN(2)/25)*Calculateur!FM179*Calculateur!FO179*VLOOKUP('Données projet'!$B$16,Paramètres!$A$1:$I$89,3,0)*0.475*44/12</f>
        <v>22.464645241892526</v>
      </c>
      <c r="FS179" s="21">
        <f>EXP(-LN(2)/2)*FS178+(1-EXP(-LN(2)/2))/(LN(2)/2)*FM179*FP179*VLOOKUP('Données projet'!$B$16,Paramètres!$A$1:$I$89,3,0)*0.475*44/12</f>
        <v>5.3871613516513959</v>
      </c>
      <c r="FT179" s="22">
        <f t="shared" si="184"/>
        <v>123.41345092184123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328.55631138162721</v>
      </c>
      <c r="T180" s="59">
        <f t="shared" si="142"/>
        <v>321.81422611044985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5.6923403353104112</v>
      </c>
      <c r="AA180" s="21">
        <f>EXP(-LN(2)/25)*AA179+(1-EXP(-LN(2)/25))/(LN(2)/25)*Calculateur!V180*Calculateur!X180*VLOOKUP('Données projet'!$B$9,Paramètres!$A$1:$I$89,3,0)*0.475*44/12</f>
        <v>2.6064070325948285</v>
      </c>
      <c r="AB180" s="21">
        <f>EXP(-LN(2)/2)*AB179+(1-EXP(-LN(2)/2))/(LN(2)/2)*V180*Y180*VLOOKUP('Données projet'!$B$9,Paramètres!$A$1:$I$89,3,0)*0.475*44/12</f>
        <v>1.445126446165669E-13</v>
      </c>
      <c r="AC180" s="22">
        <f t="shared" si="163"/>
        <v>8.2987473679053831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353.37479213497227</v>
      </c>
      <c r="AO180" s="59">
        <f t="shared" si="144"/>
        <v>345.4750813433123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7.6132587463355073</v>
      </c>
      <c r="AV180" s="21">
        <f>EXP(-LN(2)/25)*AV179+(1-EXP(-LN(2)/25))/(LN(2)/25)*Calculateur!AQ180*Calculateur!AS180*VLOOKUP('Données projet'!$B$10,Paramètres!$A$1:$I$89,3,0)*0.475*44/12</f>
        <v>3.4859565606649361</v>
      </c>
      <c r="AW180" s="21">
        <f>EXP(-LN(2)/2)*AW179+(1-EXP(-LN(2)/2))/(LN(2)/2)*AQ180*AT180*VLOOKUP('Données projet'!$B$10,Paramètres!$A$1:$I$89,3,0)*0.475*44/12</f>
        <v>1.5681159309457309E-13</v>
      </c>
      <c r="AX180" s="21">
        <f t="shared" si="166"/>
        <v>11.0992153070006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359.57284550600366</v>
      </c>
      <c r="BJ180" s="59">
        <f t="shared" si="146"/>
        <v>351.38386928091433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7.7625383295969881</v>
      </c>
      <c r="BQ180" s="21">
        <f>EXP(-LN(2)/25)*BQ179+(1-EXP(-LN(2)/25))/(LN(2)/25)*Calculateur!BL180*Calculateur!BN180*VLOOKUP('Données projet'!$B$11,Paramètres!$A$1:$I$89,3,0)*0.475*44/12</f>
        <v>3.5543086500897356</v>
      </c>
      <c r="BR180" s="21">
        <f>EXP(-LN(2)/2)*BR179+(1-EXP(-LN(2)/2))/(LN(2)/2)*BL180*BO180*VLOOKUP('Données projet'!$B$11,Paramètres!$A$1:$I$89,3,0)*0.475*44/12</f>
        <v>1.5988633021407507E-13</v>
      </c>
      <c r="BS180" s="22">
        <f t="shared" si="169"/>
        <v>11.316846979686883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-8.5265128291212022E-14</v>
      </c>
      <c r="BZ180" s="13">
        <f>BY180*VLOOKUP('Données projet'!$B$12,Paramètres!$A$1:$I$89,3,0)*VLOOKUP('Données projet'!$B$12,Paramètres!$A$1:$I$89,5,0)</f>
        <v>-6.9167072069831198E-14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159.4660488566085</v>
      </c>
      <c r="CE180" s="59">
        <f t="shared" si="148"/>
        <v>135.33030558297088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1.4500272891407877</v>
      </c>
      <c r="CM180" s="21">
        <f>EXP(-LN(2)/2)*CM179+(1-EXP(-LN(2)/2))/(LN(2)/2)*CG180*CJ180*VLOOKUP('Données projet'!$B$12,Paramètres!$A$1:$I$89,3,0)*0.475*44/12</f>
        <v>2.0133411798194554E-12</v>
      </c>
      <c r="CN180" s="22">
        <f t="shared" si="172"/>
        <v>1.450027289142801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353.37479213497227</v>
      </c>
      <c r="CZ180" s="59">
        <f t="shared" si="150"/>
        <v>345.4750813433123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7.6132587463355073</v>
      </c>
      <c r="DG180" s="21">
        <f>EXP(-LN(2)/25)*DG179+(1-EXP(-LN(2)/25))/(LN(2)/25)*Calculateur!DB180*Calculateur!DD180*VLOOKUP('Données projet'!$B$13,Paramètres!$A$1:$I$89,3,0)*0.475*44/12</f>
        <v>3.4859565606649361</v>
      </c>
      <c r="DH180" s="21">
        <f>EXP(-LN(2)/2)*DH179+(1-EXP(-LN(2)/2))/(LN(2)/2)*DB180*DE180*VLOOKUP('Données projet'!$B$13,Paramètres!$A$1:$I$89,3,0)*0.475*44/12</f>
        <v>1.5681159309457309E-13</v>
      </c>
      <c r="DI180" s="22">
        <f t="shared" si="175"/>
        <v>11.0992153070006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>
        <f>VLOOKUP(A180,'Données projet'!$A$165:$I$185,2,0)</f>
        <v>388.94</v>
      </c>
      <c r="DM180" s="12">
        <f>VLOOKUP(A180,'Données projet'!$A$165:$I$185,9,0)</f>
        <v>6.140000000000005</v>
      </c>
      <c r="DN180" s="12">
        <f t="array" ref="DN180">INDEX(DM:DM,MIN(IF(ISNUMBER(DM180:DM376),ROW(DM180:DM376),"")))</f>
        <v>6.140000000000005</v>
      </c>
      <c r="DO180" s="12">
        <f>IF('Données projet'!$A$166&gt;35,DO179+DN180-DW179,IF(A180&lt;'Données projet'!$A$166,$DL$205^A180,IF(A180='Données projet'!$A$166,'Données projet'!$B$166,DO179+DN180-DW179)))</f>
        <v>388.94000000000085</v>
      </c>
      <c r="DP180" s="17">
        <f>DO180*VLOOKUP('Données projet'!$B$14,Paramètres!$A$1:$I$89,3,0)*VLOOKUP('Données projet'!$B$14,Paramètres!$A$1:$I$89,5,0)</f>
        <v>351.91291200000074</v>
      </c>
      <c r="DQ180" s="13">
        <f t="shared" si="176"/>
        <v>81.956274647572329</v>
      </c>
      <c r="DR180" s="20">
        <f t="shared" si="177"/>
        <v>755.65550007785635</v>
      </c>
      <c r="DS180" s="59">
        <f t="shared" si="125"/>
        <v>1048.9888334111897</v>
      </c>
      <c r="DT180" s="59">
        <f ca="1">AVERAGE(OFFSET($DS$3,0,0,'Données projet'!$E$14+1,1))-AVERAGE(OFFSET($H$3,0,0,'Données projet'!$E$14+1,1))</f>
        <v>635.71275911100679</v>
      </c>
      <c r="DU180" s="59">
        <f t="shared" si="152"/>
        <v>281.7776857269169</v>
      </c>
      <c r="DV180" s="15">
        <f>IF(ISNA(VLOOKUP(A180,'Données projet'!$A$165:$I$185,3,0)),0,VLOOKUP(A180,'Données projet'!$A$165:$I$185,3,0))</f>
        <v>16</v>
      </c>
      <c r="DW180" s="15">
        <f>IF(ISNA(VLOOKUP(A180,'Données projet'!$A$165:$I$185,4,0)),0,VLOOKUP(A180,'Données projet'!$A$165:$I$185,4,0))</f>
        <v>128.66000000000003</v>
      </c>
      <c r="DX180" s="16">
        <f>IF(ISNA(VLOOKUP(A180,'Données projet'!$A$165:$I$185,5,0)),0%,VLOOKUP(A180,'Données projet'!$A$165:$I$185,5,0)*VLOOKUP('Données projet'!$B$14,Paramètres!$A$1:$I$89,7,0))</f>
        <v>0.19350000000000001</v>
      </c>
      <c r="DY180" s="16">
        <f>IF(ISNA(VLOOKUP(A180,'Données projet'!$A$165:$I$185,6,0)),0%,VLOOKUP(A180,'Données projet'!$A$165:$I$185,6,0)*VLOOKUP('Données projet'!$B$14,Paramètres!$A$1:$I$89,7,0))</f>
        <v>2.1500000000000002E-2</v>
      </c>
      <c r="DZ180" s="16">
        <f>IF(ISNA(VLOOKUP(A180,'Données projet'!$A$165:$I$185,7,0)),0%,VLOOKUP(A180,'Données projet'!$A$165:$I$185,7,0))</f>
        <v>0.05</v>
      </c>
      <c r="EA180" s="21">
        <f>EXP(-LN(2)/35)*EA179+(1-EXP(-LN(2)/35))/(LN(2)/35)*DW180*DX180*VLOOKUP('Données projet'!$B$14,Paramètres!$A$1:$I$89,3,0)*0.475*44/12</f>
        <v>113.98157109998739</v>
      </c>
      <c r="EB180" s="21">
        <f>EXP(-LN(2)/25)*EB179+(1-EXP(-LN(2)/25))/(LN(2)/25)*Calculateur!DW180*Calculateur!DY180*VLOOKUP('Données projet'!$B$14,Paramètres!$A$1:$I$89,3,0)*0.475*44/12</f>
        <v>23.531672112001587</v>
      </c>
      <c r="EC180" s="21">
        <f>EXP(-LN(2)/2)*EC179+(1-EXP(-LN(2)/2))/(LN(2)/2)*DW180*DZ180*VLOOKUP('Données projet'!$B$14,Paramètres!$A$1:$I$89,3,0)*0.475*44/12</f>
        <v>9.1138281615892875</v>
      </c>
      <c r="ED180" s="22">
        <f t="shared" si="178"/>
        <v>146.62707137357827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>
        <f>VLOOKUP(A180,'Données projet'!$A$191:$I$211,2,0)</f>
        <v>388.94</v>
      </c>
      <c r="EH180" s="12">
        <f>VLOOKUP(A180,'Données projet'!$A$191:$I$211,9,0)</f>
        <v>6.140000000000005</v>
      </c>
      <c r="EI180" s="12">
        <f t="array" ref="EI180">INDEX(EH:EH,MIN(IF(ISNUMBER(EH180:EH376),ROW(EH180:EH376),"")))</f>
        <v>6.140000000000005</v>
      </c>
      <c r="EJ180" s="12">
        <f>IF('Données projet'!$A$192&gt;35,EJ179+EI180-ER179,IF(A180&lt;'Données projet'!$A$192,$EG$205^A180,IF(A180='Données projet'!$A$192,'Données projet'!$B$192,EJ179+EI180-ER179)))</f>
        <v>388.94000000000085</v>
      </c>
      <c r="EK180" s="17">
        <f>EJ180*VLOOKUP('Données projet'!$B$15,Paramètres!$A$1:$I$89,3,0)*VLOOKUP('Données projet'!$B$15,Paramètres!$A$1:$I$89,5,0)</f>
        <v>260.90095200000059</v>
      </c>
      <c r="EL180" s="13">
        <f t="shared" si="179"/>
        <v>62.914385833200292</v>
      </c>
      <c r="EM180" s="20">
        <f t="shared" si="180"/>
        <v>563.97838005949154</v>
      </c>
      <c r="EN180" s="59">
        <f t="shared" si="128"/>
        <v>857.31171339282491</v>
      </c>
      <c r="EO180" s="59">
        <f ca="1">AVERAGE(OFFSET($EN$3,0,0,'Données projet'!$E$15+1,1))-AVERAGE(OFFSET($H$3,0,0,'Données projet'!$E$15+1,1))</f>
        <v>482.99915419700773</v>
      </c>
      <c r="EP180" s="59">
        <f t="shared" si="154"/>
        <v>219.74157899604279</v>
      </c>
      <c r="EQ180" s="15">
        <f>IF(ISNA(VLOOKUP(A180,'Données projet'!$A$191:$I$211,3,0)),0,VLOOKUP(A180,'Données projet'!$A$191:$I$211,3,0))</f>
        <v>16</v>
      </c>
      <c r="ER180" s="15">
        <f>IF(ISNA(VLOOKUP(A180,'Données projet'!$A$191:$I$211,4,0)),0,VLOOKUP(A180,'Données projet'!$A$191:$I$211,4,0))</f>
        <v>128.66000000000003</v>
      </c>
      <c r="ES180" s="16">
        <f>IF(ISNA(VLOOKUP(A180,'Données projet'!$A$191:$I$211,5,0)),0%,VLOOKUP(A180,'Données projet'!$A$191:$I$211,5,0)*VLOOKUP('Données projet'!$B$15,Paramètres!$A$1:$I$89,7,0))</f>
        <v>0.23850000000000002</v>
      </c>
      <c r="ET180" s="16">
        <f>IF(ISNA(VLOOKUP(A180,'Données projet'!$A$191:$I$211,6,0)),0%,VLOOKUP(A180,'Données projet'!$A$191:$I$211,6,0)*VLOOKUP('Données projet'!$B$15,Paramètres!$A$1:$I$89,7,0))</f>
        <v>2.6500000000000003E-2</v>
      </c>
      <c r="EU180" s="16">
        <f>IF(ISNA(VLOOKUP(A180,'Données projet'!$A$191:$I$211,7,0)),0%,VLOOKUP(A180,'Données projet'!$A$191:$I$211,7,0))</f>
        <v>0.05</v>
      </c>
      <c r="EV180" s="21">
        <f>EXP(-LN(2)/35)*EV179+(1-EXP(-LN(2)/35))/(LN(2)/35)*ER180*ES180*VLOOKUP('Données projet'!$B$15,Paramètres!$A$1:$I$89,3,0)*0.475*44/12</f>
        <v>104.15557359136783</v>
      </c>
      <c r="EW180" s="21">
        <f>EXP(-LN(2)/25)*EW179+(1-EXP(-LN(2)/25))/(LN(2)/25)*Calculateur!ER180*Calculateur!ET180*VLOOKUP('Données projet'!$B$15,Paramètres!$A$1:$I$89,3,0)*0.475*44/12</f>
        <v>21.503079688553175</v>
      </c>
      <c r="EX180" s="21">
        <f>EXP(-LN(2)/2)*EX179+(1-EXP(-LN(2)/2))/(LN(2)/2)*ER180*EU180*VLOOKUP('Données projet'!$B$15,Paramètres!$A$1:$I$89,3,0)*0.475*44/12</f>
        <v>6.7568036370403348</v>
      </c>
      <c r="EY180" s="22">
        <f t="shared" si="181"/>
        <v>132.41545691696132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>
        <f>VLOOKUP(A180,'Données projet'!$A$217:$I$237,2,0)</f>
        <v>388.94</v>
      </c>
      <c r="FC180" s="12">
        <f>VLOOKUP(A180,'Données projet'!$A$217:$I$237,9,0)</f>
        <v>6.140000000000005</v>
      </c>
      <c r="FD180" s="12">
        <f t="array" ref="FD180">INDEX(FC:FC,MIN(IF(ISNUMBER(FC180:FC376),ROW(FC180:FC376),"")))</f>
        <v>6.140000000000005</v>
      </c>
      <c r="FE180" s="12">
        <f>IF('Données projet'!$A$218&gt;35,FE179+FD180-FM179,IF(A180&lt;'Données projet'!$A$218,$FB$205^A180,IF(A180='Données projet'!$A$218,'Données projet'!$B$218,FE179+FD180-FM179)))</f>
        <v>388.94000000000085</v>
      </c>
      <c r="FF180" s="17">
        <f>FE180*VLOOKUP('Données projet'!$B$16,Paramètres!$A$1:$I$89,3,0)*VLOOKUP('Données projet'!$B$16,Paramètres!$A$1:$I$89,5,0)</f>
        <v>370.11530400000083</v>
      </c>
      <c r="FG180" s="13">
        <f t="shared" si="182"/>
        <v>85.690894490175097</v>
      </c>
      <c r="FH180" s="20">
        <f t="shared" si="183"/>
        <v>793.86246237038984</v>
      </c>
      <c r="FI180" s="59">
        <f t="shared" si="131"/>
        <v>1087.1957957037232</v>
      </c>
      <c r="FJ180" s="59">
        <f ca="1">AVERAGE(OFFSET($FI$3,0,0,'Données projet'!$E$16+1,1))-AVERAGE(OFFSET($H$3,0,0,'Données projet'!$E$16+1,1))</f>
        <v>666.1523645983184</v>
      </c>
      <c r="FK180" s="59">
        <f t="shared" si="156"/>
        <v>294.13851344047526</v>
      </c>
      <c r="FL180" s="15">
        <f>IF(ISNA(VLOOKUP(A180,'Données projet'!$A$217:$I$237,3,0)),0,VLOOKUP(A180,'Données projet'!$A$217:$I$237,3,0))</f>
        <v>16</v>
      </c>
      <c r="FM180" s="15">
        <f>IF(ISNA(VLOOKUP(A180,'Données projet'!$A$217:$I$237,4,0)),0,VLOOKUP(A180,'Données projet'!$A$217:$I$237,4,0))</f>
        <v>128.66000000000003</v>
      </c>
      <c r="FN180" s="16">
        <f>IF(ISNA(VLOOKUP(A180,'Données projet'!$A$217:$I$237,5,0)),0%,VLOOKUP(A180,'Données projet'!$A$217:$I$237,5,0)*VLOOKUP('Données projet'!$B$16,Paramètres!$A$1:$I$89,7,0))</f>
        <v>0.19350000000000001</v>
      </c>
      <c r="FO180" s="16">
        <f>IF(ISNA(VLOOKUP(A180,'Données projet'!$A$217:$I$237,6,0)),0%,VLOOKUP(A180,'Données projet'!$A$217:$I$237,6,0)*VLOOKUP('Données projet'!$B$16,Paramètres!$A$1:$I$89,7,0))</f>
        <v>2.1500000000000002E-2</v>
      </c>
      <c r="FP180" s="16">
        <f>IF(ISNA(VLOOKUP(A180,'Données projet'!$A$217:$I$237,7,0)),0%,VLOOKUP(A180,'Données projet'!$A$217:$I$237,7,0))</f>
        <v>0.05</v>
      </c>
      <c r="FQ180" s="21">
        <f>EXP(-LN(2)/35)*FQ179+(1-EXP(-LN(2)/35))/(LN(2)/35)*FM180*FN180*VLOOKUP('Données projet'!$B$16,Paramètres!$A$1:$I$89,3,0)*0.475*44/12</f>
        <v>119.87716960515914</v>
      </c>
      <c r="FR180" s="21">
        <f>EXP(-LN(2)/25)*FR179+(1-EXP(-LN(2)/25))/(LN(2)/25)*Calculateur!FM180*Calculateur!FO180*VLOOKUP('Données projet'!$B$16,Paramètres!$A$1:$I$89,3,0)*0.475*44/12</f>
        <v>24.748827566070627</v>
      </c>
      <c r="FS180" s="21">
        <f>EXP(-LN(2)/2)*FS179+(1-EXP(-LN(2)/2))/(LN(2)/2)*FM180*FP180*VLOOKUP('Données projet'!$B$16,Paramètres!$A$1:$I$89,3,0)*0.475*44/12</f>
        <v>9.5852330664990806</v>
      </c>
      <c r="FT180" s="22">
        <f t="shared" si="184"/>
        <v>154.21123023772884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328.55631138162721</v>
      </c>
      <c r="T181" s="59">
        <f t="shared" si="142"/>
        <v>321.81422611044985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5.5807170133197488</v>
      </c>
      <c r="AA181" s="21">
        <f>EXP(-LN(2)/25)*AA180+(1-EXP(-LN(2)/25))/(LN(2)/25)*Calculateur!V181*Calculateur!X181*VLOOKUP('Données projet'!$B$9,Paramètres!$A$1:$I$89,3,0)*0.475*44/12</f>
        <v>2.5351346952235341</v>
      </c>
      <c r="AB181" s="21">
        <f>EXP(-LN(2)/2)*AB180+(1-EXP(-LN(2)/2))/(LN(2)/2)*V181*Y181*VLOOKUP('Données projet'!$B$9,Paramètres!$A$1:$I$89,3,0)*0.475*44/12</f>
        <v>1.0218587097557608E-13</v>
      </c>
      <c r="AC181" s="22">
        <f t="shared" si="163"/>
        <v>8.115851708543385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353.37479213497227</v>
      </c>
      <c r="AO181" s="59">
        <f t="shared" si="144"/>
        <v>345.4750813433123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7.4639673859491831</v>
      </c>
      <c r="AV181" s="21">
        <f>EXP(-LN(2)/25)*AV180+(1-EXP(-LN(2)/25))/(LN(2)/25)*Calculateur!AQ181*Calculateur!AS181*VLOOKUP('Données projet'!$B$10,Paramètres!$A$1:$I$89,3,0)*0.475*44/12</f>
        <v>3.3906328951950653</v>
      </c>
      <c r="AW181" s="21">
        <f>EXP(-LN(2)/2)*AW180+(1-EXP(-LN(2)/2))/(LN(2)/2)*AQ181*AT181*VLOOKUP('Données projet'!$B$10,Paramètres!$A$1:$I$89,3,0)*0.475*44/12</f>
        <v>1.1088254084583822E-13</v>
      </c>
      <c r="AX181" s="21">
        <f t="shared" si="166"/>
        <v>10.854600281144359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359.57284550600366</v>
      </c>
      <c r="BJ181" s="59">
        <f t="shared" si="146"/>
        <v>351.38386928091433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7.610319687634461</v>
      </c>
      <c r="BQ181" s="21">
        <f>EXP(-LN(2)/25)*BQ180+(1-EXP(-LN(2)/25))/(LN(2)/25)*Calculateur!BL181*Calculateur!BN181*VLOOKUP('Données projet'!$B$11,Paramètres!$A$1:$I$89,3,0)*0.475*44/12</f>
        <v>3.4571158931400632</v>
      </c>
      <c r="BR181" s="21">
        <f>EXP(-LN(2)/2)*BR180+(1-EXP(-LN(2)/2))/(LN(2)/2)*BL181*BO181*VLOOKUP('Données projet'!$B$11,Paramètres!$A$1:$I$89,3,0)*0.475*44/12</f>
        <v>1.1305670831340407E-13</v>
      </c>
      <c r="BS181" s="22">
        <f t="shared" si="169"/>
        <v>11.067435580774639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-8.5265128291212022E-14</v>
      </c>
      <c r="BZ181" s="13">
        <f>BY181*VLOOKUP('Données projet'!$B$12,Paramètres!$A$1:$I$89,3,0)*VLOOKUP('Données projet'!$B$12,Paramètres!$A$1:$I$89,5,0)</f>
        <v>-6.9167072069831198E-14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159.4660488566085</v>
      </c>
      <c r="CE181" s="59">
        <f t="shared" si="148"/>
        <v>135.33030558297088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1.4103762166656117</v>
      </c>
      <c r="CM181" s="21">
        <f>EXP(-LN(2)/2)*CM180+(1-EXP(-LN(2)/2))/(LN(2)/2)*CG181*CJ181*VLOOKUP('Données projet'!$B$12,Paramètres!$A$1:$I$89,3,0)*0.475*44/12</f>
        <v>1.4236472010924611E-12</v>
      </c>
      <c r="CN181" s="22">
        <f t="shared" si="172"/>
        <v>1.4103762166670355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353.37479213497227</v>
      </c>
      <c r="CZ181" s="59">
        <f t="shared" si="150"/>
        <v>345.4750813433123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7.4639673859491831</v>
      </c>
      <c r="DG181" s="21">
        <f>EXP(-LN(2)/25)*DG180+(1-EXP(-LN(2)/25))/(LN(2)/25)*Calculateur!DB181*Calculateur!DD181*VLOOKUP('Données projet'!$B$13,Paramètres!$A$1:$I$89,3,0)*0.475*44/12</f>
        <v>3.3906328951950653</v>
      </c>
      <c r="DH181" s="21">
        <f>EXP(-LN(2)/2)*DH180+(1-EXP(-LN(2)/2))/(LN(2)/2)*DB181*DE181*VLOOKUP('Données projet'!$B$13,Paramètres!$A$1:$I$89,3,0)*0.475*44/12</f>
        <v>1.1088254084583822E-13</v>
      </c>
      <c r="DI181" s="22">
        <f t="shared" si="175"/>
        <v>10.854600281144359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3.76000000000001</v>
      </c>
      <c r="DO181" s="12">
        <f>IF('Données projet'!$A$166&gt;35,DO180+DN181-DW180,IF(A181&lt;'Données projet'!$A$166,$DL$205^A181,IF(A181='Données projet'!$A$166,'Données projet'!$B$166,DO180+DN181-DW180)))</f>
        <v>264.04000000000082</v>
      </c>
      <c r="DP181" s="17">
        <f>DO181*VLOOKUP('Données projet'!$B$14,Paramètres!$A$1:$I$89,3,0)*VLOOKUP('Données projet'!$B$14,Paramètres!$A$1:$I$89,5,0)</f>
        <v>238.90339200000074</v>
      </c>
      <c r="DQ181" s="13">
        <f t="shared" si="176"/>
        <v>58.203527078995975</v>
      </c>
      <c r="DR181" s="20">
        <f t="shared" si="177"/>
        <v>517.46121739591933</v>
      </c>
      <c r="DS181" s="59">
        <f t="shared" si="125"/>
        <v>810.79455072925271</v>
      </c>
      <c r="DT181" s="59">
        <f ca="1">AVERAGE(OFFSET($DS$3,0,0,'Données projet'!$E$14+1,1))-AVERAGE(OFFSET($H$3,0,0,'Données projet'!$E$14+1,1))</f>
        <v>635.71275911100679</v>
      </c>
      <c r="DU181" s="59">
        <f t="shared" si="152"/>
        <v>281.7776857269169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111.74646201261029</v>
      </c>
      <c r="EB181" s="21">
        <f>EXP(-LN(2)/25)*EB180+(1-EXP(-LN(2)/25))/(LN(2)/25)*Calculateur!DW181*Calculateur!DY181*VLOOKUP('Données projet'!$B$14,Paramètres!$A$1:$I$89,3,0)*0.475*44/12</f>
        <v>22.88819730062205</v>
      </c>
      <c r="EC181" s="21">
        <f>EXP(-LN(2)/2)*EC180+(1-EXP(-LN(2)/2))/(LN(2)/2)*DW181*DZ181*VLOOKUP('Données projet'!$B$14,Paramètres!$A$1:$I$89,3,0)*0.475*44/12</f>
        <v>6.4444496956287116</v>
      </c>
      <c r="ED181" s="22">
        <f t="shared" si="178"/>
        <v>141.07910900886105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3.76000000000001</v>
      </c>
      <c r="EJ181" s="12">
        <f>IF('Données projet'!$A$192&gt;35,EJ180+EI181-ER180,IF(A181&lt;'Données projet'!$A$192,$EG$205^A181,IF(A181='Données projet'!$A$192,'Données projet'!$B$192,EJ180+EI181-ER180)))</f>
        <v>264.04000000000082</v>
      </c>
      <c r="EK181" s="17">
        <f>EJ181*VLOOKUP('Données projet'!$B$15,Paramètres!$A$1:$I$89,3,0)*VLOOKUP('Données projet'!$B$15,Paramètres!$A$1:$I$89,5,0)</f>
        <v>177.11803200000057</v>
      </c>
      <c r="EL181" s="13">
        <f t="shared" si="179"/>
        <v>44.680400314041684</v>
      </c>
      <c r="EM181" s="20">
        <f t="shared" si="180"/>
        <v>386.29893628029026</v>
      </c>
      <c r="EN181" s="59">
        <f t="shared" si="128"/>
        <v>679.63226961362352</v>
      </c>
      <c r="EO181" s="59">
        <f ca="1">AVERAGE(OFFSET($EN$3,0,0,'Données projet'!$E$15+1,1))-AVERAGE(OFFSET($H$3,0,0,'Données projet'!$E$15+1,1))</f>
        <v>482.99915419700773</v>
      </c>
      <c r="EP181" s="59">
        <f t="shared" si="154"/>
        <v>219.74157899604279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102.11314632186806</v>
      </c>
      <c r="EW181" s="21">
        <f>EXP(-LN(2)/25)*EW180+(1-EXP(-LN(2)/25))/(LN(2)/25)*Calculateur!ER181*Calculateur!ET181*VLOOKUP('Données projet'!$B$15,Paramètres!$A$1:$I$89,3,0)*0.475*44/12</f>
        <v>20.915076843671873</v>
      </c>
      <c r="EX181" s="21">
        <f>EXP(-LN(2)/2)*EX180+(1-EXP(-LN(2)/2))/(LN(2)/2)*ER181*EU181*VLOOKUP('Données projet'!$B$15,Paramètres!$A$1:$I$89,3,0)*0.475*44/12</f>
        <v>4.7777816708971486</v>
      </c>
      <c r="EY181" s="22">
        <f t="shared" si="181"/>
        <v>127.80600483643707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3.76000000000001</v>
      </c>
      <c r="FE181" s="12">
        <f>IF('Données projet'!$A$218&gt;35,FE180+FD181-FM180,IF(A181&lt;'Données projet'!$A$218,$FB$205^A181,IF(A181='Données projet'!$A$218,'Données projet'!$B$218,FE180+FD181-FM180)))</f>
        <v>264.04000000000082</v>
      </c>
      <c r="FF181" s="17">
        <f>FE181*VLOOKUP('Données projet'!$B$16,Paramètres!$A$1:$I$89,3,0)*VLOOKUP('Données projet'!$B$16,Paramètres!$A$1:$I$89,5,0)</f>
        <v>251.26046400000078</v>
      </c>
      <c r="FG181" s="13">
        <f t="shared" si="182"/>
        <v>60.855771194207591</v>
      </c>
      <c r="FH181" s="20">
        <f t="shared" si="183"/>
        <v>543.60244296324618</v>
      </c>
      <c r="FI181" s="59">
        <f t="shared" si="131"/>
        <v>836.93577629657943</v>
      </c>
      <c r="FJ181" s="59">
        <f ca="1">AVERAGE(OFFSET($FI$3,0,0,'Données projet'!$E$16+1,1))-AVERAGE(OFFSET($H$3,0,0,'Données projet'!$E$16+1,1))</f>
        <v>666.1523645983184</v>
      </c>
      <c r="FK181" s="59">
        <f t="shared" si="156"/>
        <v>294.13851344047526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117.52645142705563</v>
      </c>
      <c r="FR181" s="21">
        <f>EXP(-LN(2)/25)*FR180+(1-EXP(-LN(2)/25))/(LN(2)/25)*Calculateur!FM181*Calculateur!FO181*VLOOKUP('Données projet'!$B$16,Paramètres!$A$1:$I$89,3,0)*0.475*44/12</f>
        <v>24.072069574792149</v>
      </c>
      <c r="FS181" s="21">
        <f>EXP(-LN(2)/2)*FS180+(1-EXP(-LN(2)/2))/(LN(2)/2)*FM181*FP181*VLOOKUP('Données projet'!$B$16,Paramètres!$A$1:$I$89,3,0)*0.475*44/12</f>
        <v>6.7777833005750256</v>
      </c>
      <c r="FT181" s="22">
        <f t="shared" si="184"/>
        <v>148.37630430242282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328.55631138162721</v>
      </c>
      <c r="T182" s="59">
        <f t="shared" si="142"/>
        <v>321.81422611044985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5.4712825565898191</v>
      </c>
      <c r="AA182" s="21">
        <f>EXP(-LN(2)/25)*AA181+(1-EXP(-LN(2)/25))/(LN(2)/25)*Calculateur!V182*Calculateur!X182*VLOOKUP('Données projet'!$B$9,Paramètres!$A$1:$I$89,3,0)*0.475*44/12</f>
        <v>2.4658113036657072</v>
      </c>
      <c r="AB182" s="21">
        <f>EXP(-LN(2)/2)*AB181+(1-EXP(-LN(2)/2))/(LN(2)/2)*V182*Y182*VLOOKUP('Données projet'!$B$9,Paramètres!$A$1:$I$89,3,0)*0.475*44/12</f>
        <v>7.2256322308283452E-14</v>
      </c>
      <c r="AC182" s="22">
        <f t="shared" si="163"/>
        <v>7.9370938602555983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353.37479213497227</v>
      </c>
      <c r="AO182" s="59">
        <f t="shared" si="144"/>
        <v>345.4750813433123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7.317603538081296</v>
      </c>
      <c r="AV182" s="21">
        <f>EXP(-LN(2)/25)*AV181+(1-EXP(-LN(2)/25))/(LN(2)/25)*Calculateur!AQ182*Calculateur!AS182*VLOOKUP('Données projet'!$B$10,Paramètres!$A$1:$I$89,3,0)*0.475*44/12</f>
        <v>3.2979158603703218</v>
      </c>
      <c r="AW182" s="21">
        <f>EXP(-LN(2)/2)*AW181+(1-EXP(-LN(2)/2))/(LN(2)/2)*AQ182*AT182*VLOOKUP('Données projet'!$B$10,Paramètres!$A$1:$I$89,3,0)*0.475*44/12</f>
        <v>7.8405796547286544E-14</v>
      </c>
      <c r="AX182" s="21">
        <f t="shared" si="166"/>
        <v>10.615519398451696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359.57284550600366</v>
      </c>
      <c r="BJ182" s="59">
        <f t="shared" si="146"/>
        <v>351.38386928091433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7.4610859603966153</v>
      </c>
      <c r="BQ182" s="21">
        <f>EXP(-LN(2)/25)*BQ181+(1-EXP(-LN(2)/25))/(LN(2)/25)*Calculateur!BL182*Calculateur!BN182*VLOOKUP('Données projet'!$B$11,Paramètres!$A$1:$I$89,3,0)*0.475*44/12</f>
        <v>3.3625808772403247</v>
      </c>
      <c r="BR182" s="21">
        <f>EXP(-LN(2)/2)*BR181+(1-EXP(-LN(2)/2))/(LN(2)/2)*BL182*BO182*VLOOKUP('Données projet'!$B$11,Paramètres!$A$1:$I$89,3,0)*0.475*44/12</f>
        <v>7.9943165107037547E-14</v>
      </c>
      <c r="BS182" s="22">
        <f t="shared" si="169"/>
        <v>10.82366683763702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-8.5265128291212022E-14</v>
      </c>
      <c r="BZ182" s="13">
        <f>BY182*VLOOKUP('Données projet'!$B$12,Paramètres!$A$1:$I$89,3,0)*VLOOKUP('Données projet'!$B$12,Paramètres!$A$1:$I$89,5,0)</f>
        <v>-6.9167072069831198E-14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159.4660488566085</v>
      </c>
      <c r="CE182" s="59">
        <f t="shared" si="148"/>
        <v>135.33030558297088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1.3718094048524287</v>
      </c>
      <c r="CM182" s="21">
        <f>EXP(-LN(2)/2)*CM181+(1-EXP(-LN(2)/2))/(LN(2)/2)*CG182*CJ182*VLOOKUP('Données projet'!$B$12,Paramètres!$A$1:$I$89,3,0)*0.475*44/12</f>
        <v>1.0066705899097277E-12</v>
      </c>
      <c r="CN182" s="22">
        <f t="shared" si="172"/>
        <v>1.3718094048534355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353.37479213497227</v>
      </c>
      <c r="CZ182" s="59">
        <f t="shared" si="150"/>
        <v>345.4750813433123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7.317603538081296</v>
      </c>
      <c r="DG182" s="21">
        <f>EXP(-LN(2)/25)*DG181+(1-EXP(-LN(2)/25))/(LN(2)/25)*Calculateur!DB182*Calculateur!DD182*VLOOKUP('Données projet'!$B$13,Paramètres!$A$1:$I$89,3,0)*0.475*44/12</f>
        <v>3.2979158603703218</v>
      </c>
      <c r="DH182" s="21">
        <f>EXP(-LN(2)/2)*DH181+(1-EXP(-LN(2)/2))/(LN(2)/2)*DB182*DE182*VLOOKUP('Données projet'!$B$13,Paramètres!$A$1:$I$89,3,0)*0.475*44/12</f>
        <v>7.8405796547286544E-14</v>
      </c>
      <c r="DI182" s="22">
        <f t="shared" si="175"/>
        <v>10.615519398451696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3.76000000000001</v>
      </c>
      <c r="DO182" s="12">
        <f>IF('Données projet'!$A$166&gt;35,DO181+DN182-DW181,IF(A182&lt;'Données projet'!$A$166,$DL$205^A182,IF(A182='Données projet'!$A$166,'Données projet'!$B$166,DO181+DN182-DW181)))</f>
        <v>267.80000000000081</v>
      </c>
      <c r="DP182" s="17">
        <f>DO182*VLOOKUP('Données projet'!$B$14,Paramètres!$A$1:$I$89,3,0)*VLOOKUP('Données projet'!$B$14,Paramètres!$A$1:$I$89,5,0)</f>
        <v>242.30544000000074</v>
      </c>
      <c r="DQ182" s="13">
        <f t="shared" si="176"/>
        <v>58.935280802002858</v>
      </c>
      <c r="DR182" s="20">
        <f t="shared" si="177"/>
        <v>524.66092206348958</v>
      </c>
      <c r="DS182" s="59">
        <f t="shared" si="125"/>
        <v>817.99425539682284</v>
      </c>
      <c r="DT182" s="59">
        <f ca="1">AVERAGE(OFFSET($DS$3,0,0,'Données projet'!$E$14+1,1))-AVERAGE(OFFSET($H$3,0,0,'Données projet'!$E$14+1,1))</f>
        <v>635.71275911100679</v>
      </c>
      <c r="DU182" s="59">
        <f t="shared" si="152"/>
        <v>281.7776857269169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109.55518205115473</v>
      </c>
      <c r="EB182" s="21">
        <f>EXP(-LN(2)/25)*EB181+(1-EXP(-LN(2)/25))/(LN(2)/25)*Calculateur!DW182*Calculateur!DY182*VLOOKUP('Données projet'!$B$14,Paramètres!$A$1:$I$89,3,0)*0.475*44/12</f>
        <v>22.262318341798554</v>
      </c>
      <c r="EC182" s="21">
        <f>EXP(-LN(2)/2)*EC181+(1-EXP(-LN(2)/2))/(LN(2)/2)*DW182*DZ182*VLOOKUP('Données projet'!$B$14,Paramètres!$A$1:$I$89,3,0)*0.475*44/12</f>
        <v>4.5569140807946447</v>
      </c>
      <c r="ED182" s="22">
        <f t="shared" si="178"/>
        <v>136.37441447374795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3.76000000000001</v>
      </c>
      <c r="EJ182" s="12">
        <f>IF('Données projet'!$A$192&gt;35,EJ181+EI182-ER181,IF(A182&lt;'Données projet'!$A$192,$EG$205^A182,IF(A182='Données projet'!$A$192,'Données projet'!$B$192,EJ181+EI182-ER181)))</f>
        <v>267.80000000000081</v>
      </c>
      <c r="EK182" s="17">
        <f>EJ182*VLOOKUP('Données projet'!$B$15,Paramètres!$A$1:$I$89,3,0)*VLOOKUP('Données projet'!$B$15,Paramètres!$A$1:$I$89,5,0)</f>
        <v>179.64024000000055</v>
      </c>
      <c r="EL182" s="13">
        <f t="shared" si="179"/>
        <v>45.242136877375053</v>
      </c>
      <c r="EM182" s="20">
        <f t="shared" si="180"/>
        <v>391.67013972809582</v>
      </c>
      <c r="EN182" s="59">
        <f t="shared" si="128"/>
        <v>685.00347306142908</v>
      </c>
      <c r="EO182" s="59">
        <f ca="1">AVERAGE(OFFSET($EN$3,0,0,'Données projet'!$E$15+1,1))-AVERAGE(OFFSET($H$3,0,0,'Données projet'!$E$15+1,1))</f>
        <v>482.99915419700773</v>
      </c>
      <c r="EP182" s="59">
        <f t="shared" si="154"/>
        <v>219.74157899604279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100.11076980536556</v>
      </c>
      <c r="EW182" s="21">
        <f>EXP(-LN(2)/25)*EW181+(1-EXP(-LN(2)/25))/(LN(2)/25)*Calculateur!ER182*Calculateur!ET182*VLOOKUP('Données projet'!$B$15,Paramètres!$A$1:$I$89,3,0)*0.475*44/12</f>
        <v>20.343152967505578</v>
      </c>
      <c r="EX182" s="21">
        <f>EXP(-LN(2)/2)*EX181+(1-EXP(-LN(2)/2))/(LN(2)/2)*ER182*EU182*VLOOKUP('Données projet'!$B$15,Paramètres!$A$1:$I$89,3,0)*0.475*44/12</f>
        <v>3.3784018185201679</v>
      </c>
      <c r="EY182" s="22">
        <f t="shared" si="181"/>
        <v>123.83232459139131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3.76000000000001</v>
      </c>
      <c r="FE182" s="12">
        <f>IF('Données projet'!$A$218&gt;35,FE181+FD182-FM181,IF(A182&lt;'Données projet'!$A$218,$FB$205^A182,IF(A182='Données projet'!$A$218,'Données projet'!$B$218,FE181+FD182-FM181)))</f>
        <v>267.80000000000081</v>
      </c>
      <c r="FF182" s="17">
        <f>FE182*VLOOKUP('Données projet'!$B$16,Paramètres!$A$1:$I$89,3,0)*VLOOKUP('Données projet'!$B$16,Paramètres!$A$1:$I$89,5,0)</f>
        <v>254.83848000000077</v>
      </c>
      <c r="FG182" s="13">
        <f t="shared" si="182"/>
        <v>61.620869795145929</v>
      </c>
      <c r="FH182" s="20">
        <f t="shared" si="183"/>
        <v>551.16670089321383</v>
      </c>
      <c r="FI182" s="59">
        <f t="shared" si="131"/>
        <v>844.50003422654709</v>
      </c>
      <c r="FJ182" s="59">
        <f ca="1">AVERAGE(OFFSET($FI$3,0,0,'Données projet'!$E$16+1,1))-AVERAGE(OFFSET($H$3,0,0,'Données projet'!$E$16+1,1))</f>
        <v>666.1523645983184</v>
      </c>
      <c r="FK182" s="59">
        <f t="shared" si="156"/>
        <v>294.13851344047526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115.22182939862823</v>
      </c>
      <c r="FR182" s="21">
        <f>EXP(-LN(2)/25)*FR181+(1-EXP(-LN(2)/25))/(LN(2)/25)*Calculateur!FM182*Calculateur!FO182*VLOOKUP('Données projet'!$B$16,Paramètres!$A$1:$I$89,3,0)*0.475*44/12</f>
        <v>23.413817566374338</v>
      </c>
      <c r="FS182" s="21">
        <f>EXP(-LN(2)/2)*FS181+(1-EXP(-LN(2)/2))/(LN(2)/2)*FM182*FP182*VLOOKUP('Données projet'!$B$16,Paramètres!$A$1:$I$89,3,0)*0.475*44/12</f>
        <v>4.7926165332495412</v>
      </c>
      <c r="FT182" s="22">
        <f t="shared" si="184"/>
        <v>143.42826349825211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328.55631138162721</v>
      </c>
      <c r="T183" s="59">
        <f t="shared" si="142"/>
        <v>321.81422611044985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5.3639940428079358</v>
      </c>
      <c r="AA183" s="21">
        <f>EXP(-LN(2)/25)*AA182+(1-EXP(-LN(2)/25))/(LN(2)/25)*Calculateur!V183*Calculateur!X183*VLOOKUP('Données projet'!$B$9,Paramètres!$A$1:$I$89,3,0)*0.475*44/12</f>
        <v>2.3983835638955875</v>
      </c>
      <c r="AB183" s="21">
        <f>EXP(-LN(2)/2)*AB182+(1-EXP(-LN(2)/2))/(LN(2)/2)*V183*Y183*VLOOKUP('Données projet'!$B$9,Paramètres!$A$1:$I$89,3,0)*0.475*44/12</f>
        <v>5.109293548778804E-14</v>
      </c>
      <c r="AC183" s="22">
        <f t="shared" si="163"/>
        <v>7.7623776067035752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353.37479213497227</v>
      </c>
      <c r="AO183" s="59">
        <f t="shared" si="144"/>
        <v>345.4750813433123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7.1741097959969657</v>
      </c>
      <c r="AV183" s="21">
        <f>EXP(-LN(2)/25)*AV182+(1-EXP(-LN(2)/25))/(LN(2)/25)*Calculateur!AQ183*Calculateur!AS183*VLOOKUP('Données projet'!$B$10,Paramètres!$A$1:$I$89,3,0)*0.475*44/12</f>
        <v>3.2077341777386379</v>
      </c>
      <c r="AW183" s="21">
        <f>EXP(-LN(2)/2)*AW182+(1-EXP(-LN(2)/2))/(LN(2)/2)*AQ183*AT183*VLOOKUP('Données projet'!$B$10,Paramètres!$A$1:$I$89,3,0)*0.475*44/12</f>
        <v>5.544127042291911E-14</v>
      </c>
      <c r="AX183" s="21">
        <f t="shared" si="166"/>
        <v>10.381843973735659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359.57284550600366</v>
      </c>
      <c r="BJ183" s="59">
        <f t="shared" si="146"/>
        <v>351.38386928091433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7.3147786155263184</v>
      </c>
      <c r="BQ183" s="21">
        <f>EXP(-LN(2)/25)*BQ182+(1-EXP(-LN(2)/25))/(LN(2)/25)*Calculateur!BL183*Calculateur!BN183*VLOOKUP('Données projet'!$B$11,Paramètres!$A$1:$I$89,3,0)*0.475*44/12</f>
        <v>3.2706309263217448</v>
      </c>
      <c r="BR183" s="21">
        <f>EXP(-LN(2)/2)*BR182+(1-EXP(-LN(2)/2))/(LN(2)/2)*BL183*BO183*VLOOKUP('Données projet'!$B$11,Paramètres!$A$1:$I$89,3,0)*0.475*44/12</f>
        <v>5.6528354156702044E-14</v>
      </c>
      <c r="BS183" s="22">
        <f t="shared" si="169"/>
        <v>10.58540954184812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-8.5265128291212022E-14</v>
      </c>
      <c r="BZ183" s="13">
        <f>BY183*VLOOKUP('Données projet'!$B$12,Paramètres!$A$1:$I$89,3,0)*VLOOKUP('Données projet'!$B$12,Paramètres!$A$1:$I$89,5,0)</f>
        <v>-6.9167072069831198E-14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159.4660488566085</v>
      </c>
      <c r="CE183" s="59">
        <f t="shared" si="148"/>
        <v>135.33030558297088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1.3342972045364179</v>
      </c>
      <c r="CM183" s="21">
        <f>EXP(-LN(2)/2)*CM182+(1-EXP(-LN(2)/2))/(LN(2)/2)*CG183*CJ183*VLOOKUP('Données projet'!$B$12,Paramètres!$A$1:$I$89,3,0)*0.475*44/12</f>
        <v>7.1182360054623056E-13</v>
      </c>
      <c r="CN183" s="22">
        <f t="shared" si="172"/>
        <v>1.3342972045371297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353.37479213497227</v>
      </c>
      <c r="CZ183" s="59">
        <f t="shared" si="150"/>
        <v>345.4750813433123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7.1741097959969657</v>
      </c>
      <c r="DG183" s="21">
        <f>EXP(-LN(2)/25)*DG182+(1-EXP(-LN(2)/25))/(LN(2)/25)*Calculateur!DB183*Calculateur!DD183*VLOOKUP('Données projet'!$B$13,Paramètres!$A$1:$I$89,3,0)*0.475*44/12</f>
        <v>3.2077341777386379</v>
      </c>
      <c r="DH183" s="21">
        <f>EXP(-LN(2)/2)*DH182+(1-EXP(-LN(2)/2))/(LN(2)/2)*DB183*DE183*VLOOKUP('Données projet'!$B$13,Paramètres!$A$1:$I$89,3,0)*0.475*44/12</f>
        <v>5.544127042291911E-14</v>
      </c>
      <c r="DI183" s="22">
        <f t="shared" si="175"/>
        <v>10.381843973735659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>
        <f>VLOOKUP(A183,'Données projet'!$A$165:$I$185,2,0)</f>
        <v>271.56</v>
      </c>
      <c r="DM183" s="12">
        <f>VLOOKUP(A183,'Données projet'!$A$165:$I$185,9,0)</f>
        <v>3.76000000000001</v>
      </c>
      <c r="DN183" s="12">
        <f t="array" ref="DN183">INDEX(DM:DM,MIN(IF(ISNUMBER(DM183:DM379),ROW(DM183:DM379),"")))</f>
        <v>3.76000000000001</v>
      </c>
      <c r="DO183" s="12">
        <f>IF('Données projet'!$A$166&gt;35,DO182+DN183-DW182,IF(A183&lt;'Données projet'!$A$166,$DL$205^A183,IF(A183='Données projet'!$A$166,'Données projet'!$B$166,DO182+DN183-DW182)))</f>
        <v>271.5600000000008</v>
      </c>
      <c r="DP183" s="17">
        <f>DO183*VLOOKUP('Données projet'!$B$14,Paramètres!$A$1:$I$89,3,0)*VLOOKUP('Données projet'!$B$14,Paramètres!$A$1:$I$89,5,0)</f>
        <v>245.70748800000069</v>
      </c>
      <c r="DQ183" s="13">
        <f t="shared" si="176"/>
        <v>59.665839559289225</v>
      </c>
      <c r="DR183" s="20">
        <f t="shared" si="177"/>
        <v>531.85854549909652</v>
      </c>
      <c r="DS183" s="59">
        <f t="shared" si="125"/>
        <v>825.19187883242989</v>
      </c>
      <c r="DT183" s="59">
        <f ca="1">AVERAGE(OFFSET($DS$3,0,0,'Données projet'!$E$14+1,1))-AVERAGE(OFFSET($H$3,0,0,'Données projet'!$E$14+1,1))</f>
        <v>635.71275911100679</v>
      </c>
      <c r="DU183" s="59">
        <f t="shared" si="152"/>
        <v>281.7776857269169</v>
      </c>
      <c r="DV183" s="15">
        <f>IF(ISNA(VLOOKUP(A183,'Données projet'!$A$165:$I$185,3,0)),0,VLOOKUP(A183,'Données projet'!$A$165:$I$185,3,0))</f>
        <v>17</v>
      </c>
      <c r="DW183" s="15">
        <f>IF(ISNA(VLOOKUP(A183,'Données projet'!$A$165:$I$185,4,0)),0,VLOOKUP(A183,'Données projet'!$A$165:$I$185,4,0))</f>
        <v>86.97</v>
      </c>
      <c r="DX183" s="16">
        <f>IF(ISNA(VLOOKUP(A183,'Données projet'!$A$165:$I$185,5,0)),0%,VLOOKUP(A183,'Données projet'!$A$165:$I$185,5,0)*VLOOKUP('Données projet'!$B$14,Paramètres!$A$1:$I$89,7,0))</f>
        <v>0.19350000000000001</v>
      </c>
      <c r="DY183" s="16">
        <f>IF(ISNA(VLOOKUP(A183,'Données projet'!$A$165:$I$185,6,0)),0%,VLOOKUP(A183,'Données projet'!$A$165:$I$185,6,0)*VLOOKUP('Données projet'!$B$14,Paramètres!$A$1:$I$89,7,0))</f>
        <v>2.1500000000000002E-2</v>
      </c>
      <c r="DZ183" s="16">
        <f>IF(ISNA(VLOOKUP(A183,'Données projet'!$A$165:$I$185,7,0)),0%,VLOOKUP(A183,'Données projet'!$A$165:$I$185,7,0))</f>
        <v>0.05</v>
      </c>
      <c r="EA183" s="21">
        <f>EXP(-LN(2)/35)*EA182+(1-EXP(-LN(2)/35))/(LN(2)/35)*DW183*DX183*VLOOKUP('Données projet'!$B$14,Paramètres!$A$1:$I$89,3,0)*0.475*44/12</f>
        <v>124.23943061149308</v>
      </c>
      <c r="EB183" s="21">
        <f>EXP(-LN(2)/25)*EB182+(1-EXP(-LN(2)/25))/(LN(2)/25)*Calculateur!DW183*Calculateur!DY183*VLOOKUP('Données projet'!$B$14,Paramètres!$A$1:$I$89,3,0)*0.475*44/12</f>
        <v>23.516474371613818</v>
      </c>
      <c r="EC183" s="21">
        <f>EXP(-LN(2)/2)*EC182+(1-EXP(-LN(2)/2))/(LN(2)/2)*DW183*DZ183*VLOOKUP('Données projet'!$B$14,Paramètres!$A$1:$I$89,3,0)*0.475*44/12</f>
        <v>6.9345530057429094</v>
      </c>
      <c r="ED183" s="22">
        <f t="shared" si="178"/>
        <v>154.6904579888498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>
        <f>VLOOKUP(A183,'Données projet'!$A$191:$I$211,2,0)</f>
        <v>271.56</v>
      </c>
      <c r="EH183" s="12">
        <f>VLOOKUP(A183,'Données projet'!$A$191:$I$211,9,0)</f>
        <v>3.76000000000001</v>
      </c>
      <c r="EI183" s="12">
        <f t="array" ref="EI183">INDEX(EH:EH,MIN(IF(ISNUMBER(EH183:EH379),ROW(EH183:EH379),"")))</f>
        <v>3.76000000000001</v>
      </c>
      <c r="EJ183" s="12">
        <f>IF('Données projet'!$A$192&gt;35,EJ182+EI183-ER182,IF(A183&lt;'Données projet'!$A$192,$EG$205^A183,IF(A183='Données projet'!$A$192,'Données projet'!$B$192,EJ182+EI183-ER182)))</f>
        <v>271.5600000000008</v>
      </c>
      <c r="EK183" s="17">
        <f>EJ183*VLOOKUP('Données projet'!$B$15,Paramètres!$A$1:$I$89,3,0)*VLOOKUP('Données projet'!$B$15,Paramètres!$A$1:$I$89,5,0)</f>
        <v>182.16244800000052</v>
      </c>
      <c r="EL183" s="13">
        <f t="shared" si="179"/>
        <v>45.802956115772467</v>
      </c>
      <c r="EM183" s="20">
        <f t="shared" si="180"/>
        <v>397.03974550163798</v>
      </c>
      <c r="EN183" s="59">
        <f t="shared" si="128"/>
        <v>690.37307883497124</v>
      </c>
      <c r="EO183" s="59">
        <f ca="1">AVERAGE(OFFSET($EN$3,0,0,'Données projet'!$E$15+1,1))-AVERAGE(OFFSET($H$3,0,0,'Données projet'!$E$15+1,1))</f>
        <v>482.99915419700773</v>
      </c>
      <c r="EP183" s="59">
        <f t="shared" si="154"/>
        <v>219.74157899604279</v>
      </c>
      <c r="EQ183" s="15">
        <f>IF(ISNA(VLOOKUP(A183,'Données projet'!$A$191:$I$211,3,0)),0,VLOOKUP(A183,'Données projet'!$A$191:$I$211,3,0))</f>
        <v>17</v>
      </c>
      <c r="ER183" s="15">
        <f>IF(ISNA(VLOOKUP(A183,'Données projet'!$A$191:$I$211,4,0)),0,VLOOKUP(A183,'Données projet'!$A$191:$I$211,4,0))</f>
        <v>86.97</v>
      </c>
      <c r="ES183" s="16">
        <f>IF(ISNA(VLOOKUP(A183,'Données projet'!$A$191:$I$211,5,0)),0%,VLOOKUP(A183,'Données projet'!$A$191:$I$211,5,0)*VLOOKUP('Données projet'!$B$15,Paramètres!$A$1:$I$89,7,0))</f>
        <v>0.23850000000000002</v>
      </c>
      <c r="ET183" s="16">
        <f>IF(ISNA(VLOOKUP(A183,'Données projet'!$A$191:$I$211,6,0)),0%,VLOOKUP(A183,'Données projet'!$A$191:$I$211,6,0)*VLOOKUP('Données projet'!$B$15,Paramètres!$A$1:$I$89,7,0))</f>
        <v>2.6500000000000003E-2</v>
      </c>
      <c r="EU183" s="16">
        <f>IF(ISNA(VLOOKUP(A183,'Données projet'!$A$191:$I$211,7,0)),0%,VLOOKUP(A183,'Données projet'!$A$191:$I$211,7,0))</f>
        <v>0.05</v>
      </c>
      <c r="EV183" s="21">
        <f>EXP(-LN(2)/35)*EV182+(1-EXP(-LN(2)/35))/(LN(2)/35)*ER183*ES183*VLOOKUP('Données projet'!$B$15,Paramètres!$A$1:$I$89,3,0)*0.475*44/12</f>
        <v>113.52913486912301</v>
      </c>
      <c r="EW183" s="21">
        <f>EXP(-LN(2)/25)*EW182+(1-EXP(-LN(2)/25))/(LN(2)/25)*Calculateur!ER183*Calculateur!ET183*VLOOKUP('Données projet'!$B$15,Paramètres!$A$1:$I$89,3,0)*0.475*44/12</f>
        <v>21.489192098198838</v>
      </c>
      <c r="EX183" s="21">
        <f>EXP(-LN(2)/2)*EX182+(1-EXP(-LN(2)/2))/(LN(2)/2)*ER183*EU183*VLOOKUP('Données projet'!$B$15,Paramètres!$A$1:$I$89,3,0)*0.475*44/12</f>
        <v>5.1411341249473299</v>
      </c>
      <c r="EY183" s="22">
        <f t="shared" si="181"/>
        <v>140.1594610922692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>
        <f>VLOOKUP(A183,'Données projet'!$A$217:$I$237,2,0)</f>
        <v>271.56</v>
      </c>
      <c r="FC183" s="12">
        <f>VLOOKUP(A183,'Données projet'!$A$217:$I$237,9,0)</f>
        <v>3.76000000000001</v>
      </c>
      <c r="FD183" s="12">
        <f t="array" ref="FD183">INDEX(FC:FC,MIN(IF(ISNUMBER(FC183:FC379),ROW(FC183:FC379),"")))</f>
        <v>3.76000000000001</v>
      </c>
      <c r="FE183" s="12">
        <f>IF('Données projet'!$A$218&gt;35,FE182+FD183-FM182,IF(A183&lt;'Données projet'!$A$218,$FB$205^A183,IF(A183='Données projet'!$A$218,'Données projet'!$B$218,FE182+FD183-FM182)))</f>
        <v>271.5600000000008</v>
      </c>
      <c r="FF183" s="17">
        <f>FE183*VLOOKUP('Données projet'!$B$16,Paramètres!$A$1:$I$89,3,0)*VLOOKUP('Données projet'!$B$16,Paramètres!$A$1:$I$89,5,0)</f>
        <v>258.41649600000079</v>
      </c>
      <c r="FG183" s="13">
        <f t="shared" si="182"/>
        <v>62.384718977636233</v>
      </c>
      <c r="FH183" s="20">
        <f t="shared" si="183"/>
        <v>558.72878275271785</v>
      </c>
      <c r="FI183" s="59">
        <f t="shared" si="131"/>
        <v>852.06211608605122</v>
      </c>
      <c r="FJ183" s="59">
        <f ca="1">AVERAGE(OFFSET($FI$3,0,0,'Données projet'!$E$16+1,1))-AVERAGE(OFFSET($H$3,0,0,'Données projet'!$E$16+1,1))</f>
        <v>666.1523645983184</v>
      </c>
      <c r="FK183" s="59">
        <f t="shared" si="156"/>
        <v>294.13851344047526</v>
      </c>
      <c r="FL183" s="15">
        <f>IF(ISNA(VLOOKUP(A183,'Données projet'!$A$217:$I$237,3,0)),0,VLOOKUP(A183,'Données projet'!$A$217:$I$237,3,0))</f>
        <v>17</v>
      </c>
      <c r="FM183" s="15">
        <f>IF(ISNA(VLOOKUP(A183,'Données projet'!$A$217:$I$237,4,0)),0,VLOOKUP(A183,'Données projet'!$A$217:$I$237,4,0))</f>
        <v>86.97</v>
      </c>
      <c r="FN183" s="16">
        <f>IF(ISNA(VLOOKUP(A183,'Données projet'!$A$217:$I$237,5,0)),0%,VLOOKUP(A183,'Données projet'!$A$217:$I$237,5,0)*VLOOKUP('Données projet'!$B$16,Paramètres!$A$1:$I$89,7,0))</f>
        <v>0.19350000000000001</v>
      </c>
      <c r="FO183" s="16">
        <f>IF(ISNA(VLOOKUP(A183,'Données projet'!$A$217:$I$237,6,0)),0%,VLOOKUP(A183,'Données projet'!$A$217:$I$237,6,0)*VLOOKUP('Données projet'!$B$16,Paramètres!$A$1:$I$89,7,0))</f>
        <v>2.1500000000000002E-2</v>
      </c>
      <c r="FP183" s="16">
        <f>IF(ISNA(VLOOKUP(A183,'Données projet'!$A$217:$I$237,7,0)),0%,VLOOKUP(A183,'Données projet'!$A$217:$I$237,7,0))</f>
        <v>0.05</v>
      </c>
      <c r="FQ183" s="21">
        <f>EXP(-LN(2)/35)*FQ182+(1-EXP(-LN(2)/35))/(LN(2)/35)*FM183*FN183*VLOOKUP('Données projet'!$B$16,Paramètres!$A$1:$I$89,3,0)*0.475*44/12</f>
        <v>130.66560805691512</v>
      </c>
      <c r="FR183" s="21">
        <f>EXP(-LN(2)/25)*FR182+(1-EXP(-LN(2)/25))/(LN(2)/25)*Calculateur!FM183*Calculateur!FO183*VLOOKUP('Données projet'!$B$16,Paramètres!$A$1:$I$89,3,0)*0.475*44/12</f>
        <v>24.732843735662808</v>
      </c>
      <c r="FS183" s="21">
        <f>EXP(-LN(2)/2)*FS182+(1-EXP(-LN(2)/2))/(LN(2)/2)*FM183*FP183*VLOOKUP('Données projet'!$B$16,Paramètres!$A$1:$I$89,3,0)*0.475*44/12</f>
        <v>7.2932367819020261</v>
      </c>
      <c r="FT183" s="22">
        <f t="shared" si="184"/>
        <v>162.69168857447997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328.55631138162721</v>
      </c>
      <c r="T184" s="59">
        <f t="shared" si="142"/>
        <v>321.81422611044985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5.2588093913417833</v>
      </c>
      <c r="AA184" s="21">
        <f>EXP(-LN(2)/25)*AA183+(1-EXP(-LN(2)/25))/(LN(2)/25)*Calculateur!V184*Calculateur!X184*VLOOKUP('Données projet'!$B$9,Paramètres!$A$1:$I$89,3,0)*0.475*44/12</f>
        <v>2.3327996392153527</v>
      </c>
      <c r="AB184" s="21">
        <f>EXP(-LN(2)/2)*AB183+(1-EXP(-LN(2)/2))/(LN(2)/2)*V184*Y184*VLOOKUP('Données projet'!$B$9,Paramètres!$A$1:$I$89,3,0)*0.475*44/12</f>
        <v>3.6128161154141726E-14</v>
      </c>
      <c r="AC184" s="22">
        <f t="shared" si="163"/>
        <v>7.591609030557172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353.37479213497227</v>
      </c>
      <c r="AO184" s="59">
        <f t="shared" si="144"/>
        <v>345.4750813433123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7.0334298786723686</v>
      </c>
      <c r="AV184" s="21">
        <f>EXP(-LN(2)/25)*AV183+(1-EXP(-LN(2)/25))/(LN(2)/25)*Calculateur!AQ184*Calculateur!AS184*VLOOKUP('Données projet'!$B$10,Paramètres!$A$1:$I$89,3,0)*0.475*44/12</f>
        <v>3.1200185179609656</v>
      </c>
      <c r="AW184" s="21">
        <f>EXP(-LN(2)/2)*AW183+(1-EXP(-LN(2)/2))/(LN(2)/2)*AQ184*AT184*VLOOKUP('Données projet'!$B$10,Paramètres!$A$1:$I$89,3,0)*0.475*44/12</f>
        <v>3.9202898273643272E-14</v>
      </c>
      <c r="AX184" s="21">
        <f t="shared" si="166"/>
        <v>10.153448396633372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359.57284550600366</v>
      </c>
      <c r="BJ184" s="59">
        <f t="shared" si="146"/>
        <v>351.38386928091433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7.1713402684502592</v>
      </c>
      <c r="BQ184" s="21">
        <f>EXP(-LN(2)/25)*BQ183+(1-EXP(-LN(2)/25))/(LN(2)/25)*Calculateur!BL184*Calculateur!BN184*VLOOKUP('Données projet'!$B$11,Paramètres!$A$1:$I$89,3,0)*0.475*44/12</f>
        <v>3.1811953516464713</v>
      </c>
      <c r="BR184" s="21">
        <f>EXP(-LN(2)/2)*BR183+(1-EXP(-LN(2)/2))/(LN(2)/2)*BL184*BO184*VLOOKUP('Données projet'!$B$11,Paramètres!$A$1:$I$89,3,0)*0.475*44/12</f>
        <v>3.997158255351878E-14</v>
      </c>
      <c r="BS184" s="22">
        <f t="shared" si="169"/>
        <v>10.352535620096772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-8.5265128291212022E-14</v>
      </c>
      <c r="BZ184" s="13">
        <f>BY184*VLOOKUP('Données projet'!$B$12,Paramètres!$A$1:$I$89,3,0)*VLOOKUP('Données projet'!$B$12,Paramètres!$A$1:$I$89,5,0)</f>
        <v>-6.9167072069831198E-14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159.4660488566085</v>
      </c>
      <c r="CE184" s="59">
        <f t="shared" si="148"/>
        <v>135.33030558297088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1.297810777310729</v>
      </c>
      <c r="CM184" s="21">
        <f>EXP(-LN(2)/2)*CM183+(1-EXP(-LN(2)/2))/(LN(2)/2)*CG184*CJ184*VLOOKUP('Données projet'!$B$12,Paramètres!$A$1:$I$89,3,0)*0.475*44/12</f>
        <v>5.0333529495486385E-13</v>
      </c>
      <c r="CN184" s="22">
        <f t="shared" si="172"/>
        <v>1.2978107773112324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353.37479213497227</v>
      </c>
      <c r="CZ184" s="59">
        <f t="shared" si="150"/>
        <v>345.4750813433123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7.0334298786723686</v>
      </c>
      <c r="DG184" s="21">
        <f>EXP(-LN(2)/25)*DG183+(1-EXP(-LN(2)/25))/(LN(2)/25)*Calculateur!DB184*Calculateur!DD184*VLOOKUP('Données projet'!$B$13,Paramètres!$A$1:$I$89,3,0)*0.475*44/12</f>
        <v>3.1200185179609656</v>
      </c>
      <c r="DH184" s="21">
        <f>EXP(-LN(2)/2)*DH183+(1-EXP(-LN(2)/2))/(LN(2)/2)*DB184*DE184*VLOOKUP('Données projet'!$B$13,Paramètres!$A$1:$I$89,3,0)*0.475*44/12</f>
        <v>3.9202898273643272E-14</v>
      </c>
      <c r="DI184" s="22">
        <f t="shared" si="175"/>
        <v>10.153448396633372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2.2933333333333317</v>
      </c>
      <c r="DO184" s="12">
        <f>IF('Données projet'!$A$166&gt;35,DO183+DN184-DW183,IF(A184&lt;'Données projet'!$A$166,$DL$205^A184,IF(A184='Données projet'!$A$166,'Données projet'!$B$166,DO183+DN184-DW183)))</f>
        <v>186.88333333333415</v>
      </c>
      <c r="DP184" s="17">
        <f>DO184*VLOOKUP('Données projet'!$B$14,Paramètres!$A$1:$I$89,3,0)*VLOOKUP('Données projet'!$B$14,Paramètres!$A$1:$I$89,5,0)</f>
        <v>169.09204000000074</v>
      </c>
      <c r="DQ184" s="13">
        <f t="shared" si="176"/>
        <v>42.886607412438856</v>
      </c>
      <c r="DR184" s="20">
        <f t="shared" si="177"/>
        <v>369.1961442433323</v>
      </c>
      <c r="DS184" s="59">
        <f t="shared" si="125"/>
        <v>662.52947757666561</v>
      </c>
      <c r="DT184" s="59">
        <f ca="1">AVERAGE(OFFSET($DS$3,0,0,'Données projet'!$E$14+1,1))-AVERAGE(OFFSET($H$3,0,0,'Données projet'!$E$14+1,1))</f>
        <v>635.71275911100679</v>
      </c>
      <c r="DU184" s="59">
        <f t="shared" si="152"/>
        <v>281.7776857269169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121.80317115577186</v>
      </c>
      <c r="EB184" s="21">
        <f>EXP(-LN(2)/25)*EB183+(1-EXP(-LN(2)/25))/(LN(2)/25)*Calculateur!DW184*Calculateur!DY184*VLOOKUP('Données projet'!$B$14,Paramètres!$A$1:$I$89,3,0)*0.475*44/12</f>
        <v>22.873415143244397</v>
      </c>
      <c r="EC184" s="21">
        <f>EXP(-LN(2)/2)*EC183+(1-EXP(-LN(2)/2))/(LN(2)/2)*DW184*DZ184*VLOOKUP('Données projet'!$B$14,Paramètres!$A$1:$I$89,3,0)*0.475*44/12</f>
        <v>4.9034694548583673</v>
      </c>
      <c r="ED184" s="22">
        <f t="shared" si="178"/>
        <v>149.58005575387463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2.2933333333333317</v>
      </c>
      <c r="EJ184" s="12">
        <f>IF('Données projet'!$A$192&gt;35,EJ183+EI184-ER183,IF(A184&lt;'Données projet'!$A$192,$EG$205^A184,IF(A184='Données projet'!$A$192,'Données projet'!$B$192,EJ183+EI184-ER183)))</f>
        <v>186.88333333333415</v>
      </c>
      <c r="EK184" s="17">
        <f>EJ184*VLOOKUP('Données projet'!$B$15,Paramètres!$A$1:$I$89,3,0)*VLOOKUP('Données projet'!$B$15,Paramètres!$A$1:$I$89,5,0)</f>
        <v>125.36134000000055</v>
      </c>
      <c r="EL184" s="13">
        <f t="shared" si="179"/>
        <v>32.922245153600208</v>
      </c>
      <c r="EM184" s="20">
        <f t="shared" si="180"/>
        <v>275.67724414252132</v>
      </c>
      <c r="EN184" s="59">
        <f t="shared" si="128"/>
        <v>569.01057747585469</v>
      </c>
      <c r="EO184" s="59">
        <f ca="1">AVERAGE(OFFSET($EN$3,0,0,'Données projet'!$E$15+1,1))-AVERAGE(OFFSET($H$3,0,0,'Données projet'!$E$15+1,1))</f>
        <v>482.99915419700773</v>
      </c>
      <c r="EP184" s="59">
        <f t="shared" si="154"/>
        <v>219.74157899604279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111.30289778027431</v>
      </c>
      <c r="EW184" s="21">
        <f>EXP(-LN(2)/25)*EW183+(1-EXP(-LN(2)/25))/(LN(2)/25)*Calculateur!ER184*Calculateur!ET184*VLOOKUP('Données projet'!$B$15,Paramètres!$A$1:$I$89,3,0)*0.475*44/12</f>
        <v>20.901569010206092</v>
      </c>
      <c r="EX184" s="21">
        <f>EXP(-LN(2)/2)*EX183+(1-EXP(-LN(2)/2))/(LN(2)/2)*ER184*EU184*VLOOKUP('Données projet'!$B$15,Paramètres!$A$1:$I$89,3,0)*0.475*44/12</f>
        <v>3.6353308027398241</v>
      </c>
      <c r="EY184" s="22">
        <f t="shared" si="181"/>
        <v>135.83979759322023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2.2933333333333317</v>
      </c>
      <c r="FE184" s="12">
        <f>IF('Données projet'!$A$218&gt;35,FE183+FD184-FM183,IF(A184&lt;'Données projet'!$A$218,$FB$205^A184,IF(A184='Données projet'!$A$218,'Données projet'!$B$218,FE183+FD184-FM183)))</f>
        <v>186.88333333333415</v>
      </c>
      <c r="FF184" s="17">
        <f>FE184*VLOOKUP('Données projet'!$B$16,Paramètres!$A$1:$I$89,3,0)*VLOOKUP('Données projet'!$B$16,Paramètres!$A$1:$I$89,5,0)</f>
        <v>177.83818000000079</v>
      </c>
      <c r="FG184" s="13">
        <f t="shared" si="182"/>
        <v>44.840883344491083</v>
      </c>
      <c r="FH184" s="20">
        <f t="shared" si="183"/>
        <v>387.83270199165668</v>
      </c>
      <c r="FI184" s="59">
        <f t="shared" si="131"/>
        <v>681.16603532498993</v>
      </c>
      <c r="FJ184" s="59">
        <f ca="1">AVERAGE(OFFSET($FI$3,0,0,'Données projet'!$E$16+1,1))-AVERAGE(OFFSET($H$3,0,0,'Données projet'!$E$16+1,1))</f>
        <v>666.1523645983184</v>
      </c>
      <c r="FK184" s="59">
        <f t="shared" si="156"/>
        <v>294.13851344047526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128.10333518107038</v>
      </c>
      <c r="FR184" s="21">
        <f>EXP(-LN(2)/25)*FR183+(1-EXP(-LN(2)/25))/(LN(2)/25)*Calculateur!FM184*Calculateur!FO184*VLOOKUP('Données projet'!$B$16,Paramètres!$A$1:$I$89,3,0)*0.475*44/12</f>
        <v>24.056522823067382</v>
      </c>
      <c r="FS184" s="21">
        <f>EXP(-LN(2)/2)*FS183+(1-EXP(-LN(2)/2))/(LN(2)/2)*FM184*FP184*VLOOKUP('Données projet'!$B$16,Paramètres!$A$1:$I$89,3,0)*0.475*44/12</f>
        <v>5.1570971852820762</v>
      </c>
      <c r="FT184" s="22">
        <f t="shared" si="184"/>
        <v>157.31695518941984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328.55631138162721</v>
      </c>
      <c r="T185" s="59">
        <f t="shared" si="142"/>
        <v>321.81422611044985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5.1556873467345801</v>
      </c>
      <c r="AA185" s="21">
        <f>EXP(-LN(2)/25)*AA184+(1-EXP(-LN(2)/25))/(LN(2)/25)*Calculateur!V185*Calculateur!X185*VLOOKUP('Données projet'!$B$9,Paramètres!$A$1:$I$89,3,0)*0.475*44/12</f>
        <v>2.2690091104044074</v>
      </c>
      <c r="AB185" s="21">
        <f>EXP(-LN(2)/2)*AB184+(1-EXP(-LN(2)/2))/(LN(2)/2)*V185*Y185*VLOOKUP('Données projet'!$B$9,Paramètres!$A$1:$I$89,3,0)*0.475*44/12</f>
        <v>2.554646774389402E-14</v>
      </c>
      <c r="AC185" s="22">
        <f t="shared" si="163"/>
        <v>7.4246964571390128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353.37479213497227</v>
      </c>
      <c r="AO185" s="59">
        <f t="shared" si="144"/>
        <v>345.4750813433123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6.8955086087202302</v>
      </c>
      <c r="AV185" s="21">
        <f>EXP(-LN(2)/25)*AV184+(1-EXP(-LN(2)/25))/(LN(2)/25)*Calculateur!AQ185*Calculateur!AS185*VLOOKUP('Données projet'!$B$10,Paramètres!$A$1:$I$89,3,0)*0.475*44/12</f>
        <v>3.0347014475126799</v>
      </c>
      <c r="AW185" s="21">
        <f>EXP(-LN(2)/2)*AW184+(1-EXP(-LN(2)/2))/(LN(2)/2)*AQ185*AT185*VLOOKUP('Données projet'!$B$10,Paramètres!$A$1:$I$89,3,0)*0.475*44/12</f>
        <v>2.7720635211459555E-14</v>
      </c>
      <c r="AX185" s="21">
        <f t="shared" si="166"/>
        <v>9.930210056232939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359.57284550600366</v>
      </c>
      <c r="BJ185" s="59">
        <f t="shared" si="146"/>
        <v>351.38386928091433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7.0307146598716086</v>
      </c>
      <c r="BQ185" s="21">
        <f>EXP(-LN(2)/25)*BQ184+(1-EXP(-LN(2)/25))/(LN(2)/25)*Calculateur!BL185*Calculateur!BN185*VLOOKUP('Données projet'!$B$11,Paramètres!$A$1:$I$89,3,0)*0.475*44/12</f>
        <v>3.0942053974639059</v>
      </c>
      <c r="BR185" s="21">
        <f>EXP(-LN(2)/2)*BR184+(1-EXP(-LN(2)/2))/(LN(2)/2)*BL185*BO185*VLOOKUP('Données projet'!$B$11,Paramètres!$A$1:$I$89,3,0)*0.475*44/12</f>
        <v>2.8264177078351025E-14</v>
      </c>
      <c r="BS185" s="22">
        <f t="shared" si="169"/>
        <v>10.124920057335544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-8.5265128291212022E-14</v>
      </c>
      <c r="BZ185" s="13">
        <f>BY185*VLOOKUP('Données projet'!$B$12,Paramètres!$A$1:$I$89,3,0)*VLOOKUP('Données projet'!$B$12,Paramètres!$A$1:$I$89,5,0)</f>
        <v>-6.9167072069831198E-14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159.4660488566085</v>
      </c>
      <c r="CE185" s="59">
        <f t="shared" si="148"/>
        <v>135.33030558297088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1.2623220733562646</v>
      </c>
      <c r="CM185" s="21">
        <f>EXP(-LN(2)/2)*CM184+(1-EXP(-LN(2)/2))/(LN(2)/2)*CG185*CJ185*VLOOKUP('Données projet'!$B$12,Paramètres!$A$1:$I$89,3,0)*0.475*44/12</f>
        <v>3.5591180027311528E-13</v>
      </c>
      <c r="CN185" s="22">
        <f t="shared" si="172"/>
        <v>1.2623220733566205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353.37479213497227</v>
      </c>
      <c r="CZ185" s="59">
        <f t="shared" si="150"/>
        <v>345.4750813433123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6.8955086087202302</v>
      </c>
      <c r="DG185" s="21">
        <f>EXP(-LN(2)/25)*DG184+(1-EXP(-LN(2)/25))/(LN(2)/25)*Calculateur!DB185*Calculateur!DD185*VLOOKUP('Données projet'!$B$13,Paramètres!$A$1:$I$89,3,0)*0.475*44/12</f>
        <v>3.0347014475126799</v>
      </c>
      <c r="DH185" s="21">
        <f>EXP(-LN(2)/2)*DH184+(1-EXP(-LN(2)/2))/(LN(2)/2)*DB185*DE185*VLOOKUP('Données projet'!$B$13,Paramètres!$A$1:$I$89,3,0)*0.475*44/12</f>
        <v>2.7720635211459555E-14</v>
      </c>
      <c r="DI185" s="22">
        <f t="shared" si="175"/>
        <v>9.930210056232939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2.2933333333333317</v>
      </c>
      <c r="DO185" s="12">
        <f>IF('Données projet'!$A$166&gt;35,DO184+DN185-DW184,IF(A185&lt;'Données projet'!$A$166,$DL$205^A185,IF(A185='Données projet'!$A$166,'Données projet'!$B$166,DO184+DN185-DW184)))</f>
        <v>189.17666666666747</v>
      </c>
      <c r="DP185" s="17">
        <f>DO185*VLOOKUP('Données projet'!$B$14,Paramètres!$A$1:$I$89,3,0)*VLOOKUP('Données projet'!$B$14,Paramètres!$A$1:$I$89,5,0)</f>
        <v>171.16704800000073</v>
      </c>
      <c r="DQ185" s="13">
        <f t="shared" si="176"/>
        <v>43.351299348190551</v>
      </c>
      <c r="DR185" s="20">
        <f t="shared" si="177"/>
        <v>373.61945496476648</v>
      </c>
      <c r="DS185" s="59">
        <f t="shared" si="125"/>
        <v>666.95278829809979</v>
      </c>
      <c r="DT185" s="59">
        <f ca="1">AVERAGE(OFFSET($DS$3,0,0,'Données projet'!$E$14+1,1))-AVERAGE(OFFSET($H$3,0,0,'Données projet'!$E$14+1,1))</f>
        <v>635.71275911100679</v>
      </c>
      <c r="DU185" s="59">
        <f t="shared" si="152"/>
        <v>281.7776857269169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119.4146852620058</v>
      </c>
      <c r="EB185" s="21">
        <f>EXP(-LN(2)/25)*EB184+(1-EXP(-LN(2)/25))/(LN(2)/25)*Calculateur!DW185*Calculateur!DY185*VLOOKUP('Données projet'!$B$14,Paramètres!$A$1:$I$89,3,0)*0.475*44/12</f>
        <v>22.247940403291754</v>
      </c>
      <c r="EC185" s="21">
        <f>EXP(-LN(2)/2)*EC184+(1-EXP(-LN(2)/2))/(LN(2)/2)*DW185*DZ185*VLOOKUP('Données projet'!$B$14,Paramètres!$A$1:$I$89,3,0)*0.475*44/12</f>
        <v>3.4672765028714552</v>
      </c>
      <c r="ED185" s="22">
        <f t="shared" si="178"/>
        <v>145.129902168169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2.2933333333333317</v>
      </c>
      <c r="EJ185" s="12">
        <f>IF('Données projet'!$A$192&gt;35,EJ184+EI185-ER184,IF(A185&lt;'Données projet'!$A$192,$EG$205^A185,IF(A185='Données projet'!$A$192,'Données projet'!$B$192,EJ184+EI185-ER184)))</f>
        <v>189.17666666666747</v>
      </c>
      <c r="EK185" s="17">
        <f>EJ185*VLOOKUP('Données projet'!$B$15,Paramètres!$A$1:$I$89,3,0)*VLOOKUP('Données projet'!$B$15,Paramètres!$A$1:$I$89,5,0)</f>
        <v>126.89970800000054</v>
      </c>
      <c r="EL185" s="13">
        <f t="shared" si="179"/>
        <v>33.278969612650855</v>
      </c>
      <c r="EM185" s="20">
        <f t="shared" si="180"/>
        <v>278.97786350870115</v>
      </c>
      <c r="EN185" s="59">
        <f t="shared" si="128"/>
        <v>572.31119684203441</v>
      </c>
      <c r="EO185" s="59">
        <f ca="1">AVERAGE(OFFSET($EN$3,0,0,'Données projet'!$E$15+1,1))-AVERAGE(OFFSET($H$3,0,0,'Données projet'!$E$15+1,1))</f>
        <v>482.99915419700773</v>
      </c>
      <c r="EP185" s="59">
        <f t="shared" si="154"/>
        <v>219.74157899604279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109.12031584286738</v>
      </c>
      <c r="EW185" s="21">
        <f>EXP(-LN(2)/25)*EW184+(1-EXP(-LN(2)/25))/(LN(2)/25)*Calculateur!ER185*Calculateur!ET185*VLOOKUP('Données projet'!$B$15,Paramètres!$A$1:$I$89,3,0)*0.475*44/12</f>
        <v>20.330014506456262</v>
      </c>
      <c r="EX185" s="21">
        <f>EXP(-LN(2)/2)*EX184+(1-EXP(-LN(2)/2))/(LN(2)/2)*ER185*EU185*VLOOKUP('Données projet'!$B$15,Paramètres!$A$1:$I$89,3,0)*0.475*44/12</f>
        <v>2.570567062473665</v>
      </c>
      <c r="EY185" s="22">
        <f t="shared" si="181"/>
        <v>132.02089741179731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2.2933333333333317</v>
      </c>
      <c r="FE185" s="12">
        <f>IF('Données projet'!$A$218&gt;35,FE184+FD185-FM184,IF(A185&lt;'Données projet'!$A$218,$FB$205^A185,IF(A185='Données projet'!$A$218,'Données projet'!$B$218,FE184+FD185-FM184)))</f>
        <v>189.17666666666747</v>
      </c>
      <c r="FF185" s="17">
        <f>FE185*VLOOKUP('Données projet'!$B$16,Paramètres!$A$1:$I$89,3,0)*VLOOKUP('Données projet'!$B$16,Paramètres!$A$1:$I$89,5,0)</f>
        <v>180.02051600000075</v>
      </c>
      <c r="FG185" s="13">
        <f t="shared" si="182"/>
        <v>45.326750568302394</v>
      </c>
      <c r="FH185" s="20">
        <f t="shared" si="183"/>
        <v>392.47982260646131</v>
      </c>
      <c r="FI185" s="59">
        <f t="shared" si="131"/>
        <v>685.81315593979457</v>
      </c>
      <c r="FJ185" s="59">
        <f ca="1">AVERAGE(OFFSET($FI$3,0,0,'Données projet'!$E$16+1,1))-AVERAGE(OFFSET($H$3,0,0,'Données projet'!$E$16+1,1))</f>
        <v>666.1523645983184</v>
      </c>
      <c r="FK185" s="59">
        <f t="shared" si="156"/>
        <v>294.13851344047526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125.59130691348882</v>
      </c>
      <c r="FR185" s="21">
        <f>EXP(-LN(2)/25)*FR184+(1-EXP(-LN(2)/25))/(LN(2)/25)*Calculateur!FM185*Calculateur!FO185*VLOOKUP('Données projet'!$B$16,Paramètres!$A$1:$I$89,3,0)*0.475*44/12</f>
        <v>23.398695941393051</v>
      </c>
      <c r="FS185" s="21">
        <f>EXP(-LN(2)/2)*FS184+(1-EXP(-LN(2)/2))/(LN(2)/2)*FM185*FP185*VLOOKUP('Données projet'!$B$16,Paramètres!$A$1:$I$89,3,0)*0.475*44/12</f>
        <v>3.6466183909510135</v>
      </c>
      <c r="FT185" s="22">
        <f t="shared" si="184"/>
        <v>152.63662124583288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328.55631138162721</v>
      </c>
      <c r="T186" s="59">
        <f t="shared" si="142"/>
        <v>321.81422611044985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5.0545874625238874</v>
      </c>
      <c r="AA186" s="21">
        <f>EXP(-LN(2)/25)*AA185+(1-EXP(-LN(2)/25))/(LN(2)/25)*Calculateur!V186*Calculateur!X186*VLOOKUP('Données projet'!$B$9,Paramètres!$A$1:$I$89,3,0)*0.475*44/12</f>
        <v>2.2069629369583956</v>
      </c>
      <c r="AB186" s="21">
        <f>EXP(-LN(2)/2)*AB185+(1-EXP(-LN(2)/2))/(LN(2)/2)*V186*Y186*VLOOKUP('Données projet'!$B$9,Paramètres!$A$1:$I$89,3,0)*0.475*44/12</f>
        <v>1.8064080577070863E-14</v>
      </c>
      <c r="AC186" s="22">
        <f t="shared" si="163"/>
        <v>7.2615503994823012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353.37479213497227</v>
      </c>
      <c r="AO186" s="59">
        <f t="shared" si="144"/>
        <v>345.4750813433123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6.760291890748185</v>
      </c>
      <c r="AV186" s="21">
        <f>EXP(-LN(2)/25)*AV185+(1-EXP(-LN(2)/25))/(LN(2)/25)*Calculateur!AQ186*Calculateur!AS186*VLOOKUP('Données projet'!$B$10,Paramètres!$A$1:$I$89,3,0)*0.475*44/12</f>
        <v>2.9517173768424323</v>
      </c>
      <c r="AW186" s="21">
        <f>EXP(-LN(2)/2)*AW185+(1-EXP(-LN(2)/2))/(LN(2)/2)*AQ186*AT186*VLOOKUP('Données projet'!$B$10,Paramètres!$A$1:$I$89,3,0)*0.475*44/12</f>
        <v>1.9601449136821636E-14</v>
      </c>
      <c r="AX186" s="21">
        <f t="shared" si="166"/>
        <v>9.712009267590636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359.57284550600366</v>
      </c>
      <c r="BJ186" s="59">
        <f t="shared" si="146"/>
        <v>351.38386928091433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6.8928466337040328</v>
      </c>
      <c r="BQ186" s="21">
        <f>EXP(-LN(2)/25)*BQ185+(1-EXP(-LN(2)/25))/(LN(2)/25)*Calculateur!BL186*Calculateur!BN186*VLOOKUP('Données projet'!$B$11,Paramètres!$A$1:$I$89,3,0)*0.475*44/12</f>
        <v>3.0095941881530655</v>
      </c>
      <c r="BR186" s="21">
        <f>EXP(-LN(2)/2)*BR185+(1-EXP(-LN(2)/2))/(LN(2)/2)*BL186*BO186*VLOOKUP('Données projet'!$B$11,Paramètres!$A$1:$I$89,3,0)*0.475*44/12</f>
        <v>1.9985791276759393E-14</v>
      </c>
      <c r="BS186" s="22">
        <f t="shared" si="169"/>
        <v>9.9024408218571178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-8.5265128291212022E-14</v>
      </c>
      <c r="BZ186" s="13">
        <f>BY186*VLOOKUP('Données projet'!$B$12,Paramètres!$A$1:$I$89,3,0)*VLOOKUP('Données projet'!$B$12,Paramètres!$A$1:$I$89,5,0)</f>
        <v>-6.9167072069831198E-14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159.4660488566085</v>
      </c>
      <c r="CE186" s="59">
        <f t="shared" si="148"/>
        <v>135.33030558297088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1.2278038098777047</v>
      </c>
      <c r="CM186" s="21">
        <f>EXP(-LN(2)/2)*CM185+(1-EXP(-LN(2)/2))/(LN(2)/2)*CG186*CJ186*VLOOKUP('Données projet'!$B$12,Paramètres!$A$1:$I$89,3,0)*0.475*44/12</f>
        <v>2.5166764747743193E-13</v>
      </c>
      <c r="CN186" s="22">
        <f t="shared" si="172"/>
        <v>1.2278038098779562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353.37479213497227</v>
      </c>
      <c r="CZ186" s="59">
        <f t="shared" si="150"/>
        <v>345.4750813433123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6.760291890748185</v>
      </c>
      <c r="DG186" s="21">
        <f>EXP(-LN(2)/25)*DG185+(1-EXP(-LN(2)/25))/(LN(2)/25)*Calculateur!DB186*Calculateur!DD186*VLOOKUP('Données projet'!$B$13,Paramètres!$A$1:$I$89,3,0)*0.475*44/12</f>
        <v>2.9517173768424323</v>
      </c>
      <c r="DH186" s="21">
        <f>EXP(-LN(2)/2)*DH185+(1-EXP(-LN(2)/2))/(LN(2)/2)*DB186*DE186*VLOOKUP('Données projet'!$B$13,Paramètres!$A$1:$I$89,3,0)*0.475*44/12</f>
        <v>1.9601449136821636E-14</v>
      </c>
      <c r="DI186" s="22">
        <f t="shared" si="175"/>
        <v>9.712009267590636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>
        <f>VLOOKUP(A186,'Données projet'!$A$165:$I$185,2,0)</f>
        <v>191.47</v>
      </c>
      <c r="DM186" s="12">
        <f>VLOOKUP(A186,'Données projet'!$A$165:$I$185,9,0)</f>
        <v>2.2933333333333317</v>
      </c>
      <c r="DN186" s="12">
        <f t="array" ref="DN186">INDEX(DM:DM,MIN(IF(ISNUMBER(DM186:DM382),ROW(DM186:DM382),"")))</f>
        <v>2.2933333333333317</v>
      </c>
      <c r="DO186" s="12">
        <f>IF('Données projet'!$A$166&gt;35,DO185+DN186-DW185,IF(A186&lt;'Données projet'!$A$166,$DL$205^A186,IF(A186='Données projet'!$A$166,'Données projet'!$B$166,DO185+DN186-DW185)))</f>
        <v>191.47000000000079</v>
      </c>
      <c r="DP186" s="17">
        <f>DO186*VLOOKUP('Données projet'!$B$14,Paramètres!$A$1:$I$89,3,0)*VLOOKUP('Données projet'!$B$14,Paramètres!$A$1:$I$89,5,0)</f>
        <v>173.2420560000007</v>
      </c>
      <c r="DQ186" s="13">
        <f t="shared" si="176"/>
        <v>43.815336010445158</v>
      </c>
      <c r="DR186" s="20">
        <f t="shared" si="177"/>
        <v>378.04162441819318</v>
      </c>
      <c r="DS186" s="59">
        <f t="shared" si="125"/>
        <v>671.37495775152649</v>
      </c>
      <c r="DT186" s="59">
        <f ca="1">AVERAGE(OFFSET($DS$3,0,0,'Données projet'!$E$14+1,1))-AVERAGE(OFFSET($H$3,0,0,'Données projet'!$E$14+1,1))</f>
        <v>635.71275911100679</v>
      </c>
      <c r="DU186" s="59">
        <f t="shared" si="152"/>
        <v>281.7776857269169</v>
      </c>
      <c r="DV186" s="15">
        <f>IF(ISNA(VLOOKUP(A186,'Données projet'!$A$165:$I$185,3,0)),0,VLOOKUP(A186,'Données projet'!$A$165:$I$185,3,0))</f>
        <v>18</v>
      </c>
      <c r="DW186" s="15">
        <f>IF(ISNA(VLOOKUP(A186,'Données projet'!$A$165:$I$185,4,0)),0,VLOOKUP(A186,'Données projet'!$A$165:$I$185,4,0))</f>
        <v>191.47</v>
      </c>
      <c r="DX186" s="16">
        <f>IF(ISNA(VLOOKUP(A186,'Données projet'!$A$165:$I$185,5,0)),0%,VLOOKUP(A186,'Données projet'!$A$165:$I$185,5,0)*VLOOKUP('Données projet'!$B$14,Paramètres!$A$1:$I$89,7,0))</f>
        <v>0.19350000000000001</v>
      </c>
      <c r="DY186" s="16">
        <f>IF(ISNA(VLOOKUP(A186,'Données projet'!$A$165:$I$185,6,0)),0%,VLOOKUP(A186,'Données projet'!$A$165:$I$185,6,0)*VLOOKUP('Données projet'!$B$14,Paramètres!$A$1:$I$89,7,0))</f>
        <v>2.1500000000000002E-2</v>
      </c>
      <c r="DZ186" s="16">
        <f>IF(ISNA(VLOOKUP(A186,'Données projet'!$A$165:$I$185,7,0)),0%,VLOOKUP(A186,'Données projet'!$A$165:$I$185,7,0))</f>
        <v>0.05</v>
      </c>
      <c r="EA186" s="21">
        <f>EXP(-LN(2)/35)*EA185+(1-EXP(-LN(2)/35))/(LN(2)/35)*DW186*DX186*VLOOKUP('Données projet'!$B$14,Paramètres!$A$1:$I$89,3,0)*0.475*44/12</f>
        <v>154.13098765017864</v>
      </c>
      <c r="EB186" s="21">
        <f>EXP(-LN(2)/25)*EB185+(1-EXP(-LN(2)/25))/(LN(2)/25)*Calculateur!DW186*Calculateur!DY186*VLOOKUP('Données projet'!$B$14,Paramètres!$A$1:$I$89,3,0)*0.475*44/12</f>
        <v>25.740907109110182</v>
      </c>
      <c r="EC186" s="21">
        <f>EXP(-LN(2)/2)*EC185+(1-EXP(-LN(2)/2))/(LN(2)/2)*DW186*DZ186*VLOOKUP('Données projet'!$B$14,Paramètres!$A$1:$I$89,3,0)*0.475*44/12</f>
        <v>10.624661856307879</v>
      </c>
      <c r="ED186" s="22">
        <f t="shared" si="178"/>
        <v>190.49655661559669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>
        <f>VLOOKUP(A186,'Données projet'!$A$191:$I$211,2,0)</f>
        <v>191.47</v>
      </c>
      <c r="EH186" s="12">
        <f>VLOOKUP(A186,'Données projet'!$A$191:$I$211,9,0)</f>
        <v>2.2933333333333317</v>
      </c>
      <c r="EI186" s="12">
        <f t="array" ref="EI186">INDEX(EH:EH,MIN(IF(ISNUMBER(EH186:EH382),ROW(EH186:EH382),"")))</f>
        <v>2.2933333333333317</v>
      </c>
      <c r="EJ186" s="12">
        <f>IF('Données projet'!$A$192&gt;35,EJ185+EI186-ER185,IF(A186&lt;'Données projet'!$A$192,$EG$205^A186,IF(A186='Données projet'!$A$192,'Données projet'!$B$192,EJ185+EI186-ER185)))</f>
        <v>191.47000000000079</v>
      </c>
      <c r="EK186" s="17">
        <f>EJ186*VLOOKUP('Données projet'!$B$15,Paramètres!$A$1:$I$89,3,0)*VLOOKUP('Données projet'!$B$15,Paramètres!$A$1:$I$89,5,0)</f>
        <v>128.43807600000054</v>
      </c>
      <c r="EL186" s="13">
        <f t="shared" si="179"/>
        <v>33.635191045791593</v>
      </c>
      <c r="EM186" s="20">
        <f t="shared" si="180"/>
        <v>282.27760677142129</v>
      </c>
      <c r="EN186" s="59">
        <f t="shared" si="128"/>
        <v>575.6109401047546</v>
      </c>
      <c r="EO186" s="59">
        <f ca="1">AVERAGE(OFFSET($EN$3,0,0,'Données projet'!$E$15+1,1))-AVERAGE(OFFSET($H$3,0,0,'Données projet'!$E$15+1,1))</f>
        <v>482.99915419700773</v>
      </c>
      <c r="EP186" s="59">
        <f t="shared" si="154"/>
        <v>219.74157899604279</v>
      </c>
      <c r="EQ186" s="15">
        <f>IF(ISNA(VLOOKUP(A186,'Données projet'!$A$191:$I$211,3,0)),0,VLOOKUP(A186,'Données projet'!$A$191:$I$211,3,0))</f>
        <v>18</v>
      </c>
      <c r="ER186" s="15">
        <f>IF(ISNA(VLOOKUP(A186,'Données projet'!$A$191:$I$211,4,0)),0,VLOOKUP(A186,'Données projet'!$A$191:$I$211,4,0))</f>
        <v>191.47</v>
      </c>
      <c r="ES186" s="16">
        <f>IF(ISNA(VLOOKUP(A186,'Données projet'!$A$191:$I$211,5,0)),0%,VLOOKUP(A186,'Données projet'!$A$191:$I$211,5,0)*VLOOKUP('Données projet'!$B$15,Paramètres!$A$1:$I$89,7,0))</f>
        <v>0.23850000000000002</v>
      </c>
      <c r="ET186" s="16">
        <f>IF(ISNA(VLOOKUP(A186,'Données projet'!$A$191:$I$211,6,0)),0%,VLOOKUP(A186,'Données projet'!$A$191:$I$211,6,0)*VLOOKUP('Données projet'!$B$15,Paramètres!$A$1:$I$89,7,0))</f>
        <v>2.6500000000000003E-2</v>
      </c>
      <c r="EU186" s="16">
        <f>IF(ISNA(VLOOKUP(A186,'Données projet'!$A$191:$I$211,7,0)),0%,VLOOKUP(A186,'Données projet'!$A$191:$I$211,7,0))</f>
        <v>0.05</v>
      </c>
      <c r="EV186" s="21">
        <f>EXP(-LN(2)/35)*EV185+(1-EXP(-LN(2)/35))/(LN(2)/35)*ER186*ES186*VLOOKUP('Données projet'!$B$15,Paramètres!$A$1:$I$89,3,0)*0.475*44/12</f>
        <v>140.84383354240464</v>
      </c>
      <c r="EW186" s="21">
        <f>EXP(-LN(2)/25)*EW185+(1-EXP(-LN(2)/25))/(LN(2)/25)*Calculateur!ER186*Calculateur!ET186*VLOOKUP('Données projet'!$B$15,Paramètres!$A$1:$I$89,3,0)*0.475*44/12</f>
        <v>23.521863392807582</v>
      </c>
      <c r="EX186" s="21">
        <f>EXP(-LN(2)/2)*EX185+(1-EXP(-LN(2)/2))/(LN(2)/2)*ER186*EU186*VLOOKUP('Données projet'!$B$15,Paramètres!$A$1:$I$89,3,0)*0.475*44/12</f>
        <v>7.8769044796765302</v>
      </c>
      <c r="EY186" s="22">
        <f t="shared" si="181"/>
        <v>172.24260141488875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>
        <f>VLOOKUP(A186,'Données projet'!$A$217:$I$237,2,0)</f>
        <v>191.47</v>
      </c>
      <c r="FC186" s="12">
        <f>VLOOKUP(A186,'Données projet'!$A$217:$I$237,9,0)</f>
        <v>2.2933333333333317</v>
      </c>
      <c r="FD186" s="12">
        <f t="array" ref="FD186">INDEX(FC:FC,MIN(IF(ISNUMBER(FC186:FC382),ROW(FC186:FC382),"")))</f>
        <v>2.2933333333333317</v>
      </c>
      <c r="FE186" s="12">
        <f>IF('Données projet'!$A$218&gt;35,FE185+FD186-FM185,IF(A186&lt;'Données projet'!$A$218,$FB$205^A186,IF(A186='Données projet'!$A$218,'Données projet'!$B$218,FE185+FD186-FM185)))</f>
        <v>191.47000000000079</v>
      </c>
      <c r="FF186" s="17">
        <f>FE186*VLOOKUP('Données projet'!$B$16,Paramètres!$A$1:$I$89,3,0)*VLOOKUP('Données projet'!$B$16,Paramètres!$A$1:$I$89,5,0)</f>
        <v>182.20285200000077</v>
      </c>
      <c r="FG186" s="13">
        <f t="shared" si="182"/>
        <v>45.811932658823523</v>
      </c>
      <c r="FH186" s="20">
        <f t="shared" si="183"/>
        <v>397.12574994745228</v>
      </c>
      <c r="FI186" s="59">
        <f t="shared" si="131"/>
        <v>690.45908328078553</v>
      </c>
      <c r="FJ186" s="59">
        <f ca="1">AVERAGE(OFFSET($FI$3,0,0,'Données projet'!$E$16+1,1))-AVERAGE(OFFSET($H$3,0,0,'Données projet'!$E$16+1,1))</f>
        <v>666.1523645983184</v>
      </c>
      <c r="FK186" s="59">
        <f t="shared" si="156"/>
        <v>294.13851344047526</v>
      </c>
      <c r="FL186" s="15">
        <f>IF(ISNA(VLOOKUP(A186,'Données projet'!$A$217:$I$237,3,0)),0,VLOOKUP(A186,'Données projet'!$A$217:$I$237,3,0))</f>
        <v>18</v>
      </c>
      <c r="FM186" s="15">
        <f>IF(ISNA(VLOOKUP(A186,'Données projet'!$A$217:$I$237,4,0)),0,VLOOKUP(A186,'Données projet'!$A$217:$I$237,4,0))</f>
        <v>191.47</v>
      </c>
      <c r="FN186" s="16">
        <f>IF(ISNA(VLOOKUP(A186,'Données projet'!$A$217:$I$237,5,0)),0%,VLOOKUP(A186,'Données projet'!$A$217:$I$237,5,0)*VLOOKUP('Données projet'!$B$16,Paramètres!$A$1:$I$89,7,0))</f>
        <v>0.19350000000000001</v>
      </c>
      <c r="FO186" s="16">
        <f>IF(ISNA(VLOOKUP(A186,'Données projet'!$A$217:$I$237,6,0)),0%,VLOOKUP(A186,'Données projet'!$A$217:$I$237,6,0)*VLOOKUP('Données projet'!$B$16,Paramètres!$A$1:$I$89,7,0))</f>
        <v>2.1500000000000002E-2</v>
      </c>
      <c r="FP186" s="16">
        <f>IF(ISNA(VLOOKUP(A186,'Données projet'!$A$217:$I$237,7,0)),0%,VLOOKUP(A186,'Données projet'!$A$217:$I$237,7,0))</f>
        <v>0.05</v>
      </c>
      <c r="FQ186" s="21">
        <f>EXP(-LN(2)/35)*FQ185+(1-EXP(-LN(2)/35))/(LN(2)/35)*FM186*FN186*VLOOKUP('Données projet'!$B$16,Paramètres!$A$1:$I$89,3,0)*0.475*44/12</f>
        <v>162.10328011484302</v>
      </c>
      <c r="FR186" s="21">
        <f>EXP(-LN(2)/25)*FR185+(1-EXP(-LN(2)/25))/(LN(2)/25)*Calculateur!FM186*Calculateur!FO186*VLOOKUP('Données projet'!$B$16,Paramètres!$A$1:$I$89,3,0)*0.475*44/12</f>
        <v>27.072333338891738</v>
      </c>
      <c r="FS186" s="21">
        <f>EXP(-LN(2)/2)*FS185+(1-EXP(-LN(2)/2))/(LN(2)/2)*FM186*FP186*VLOOKUP('Données projet'!$B$16,Paramètres!$A$1:$I$89,3,0)*0.475*44/12</f>
        <v>11.174213331634148</v>
      </c>
      <c r="FT186" s="22">
        <f t="shared" si="184"/>
        <v>200.34982678536889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328.55631138162721</v>
      </c>
      <c r="T187" s="59">
        <f t="shared" si="142"/>
        <v>321.81422611044985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4.9554700853777254</v>
      </c>
      <c r="AA187" s="21">
        <f>EXP(-LN(2)/25)*AA186+(1-EXP(-LN(2)/25))/(LN(2)/25)*Calculateur!V187*Calculateur!X187*VLOOKUP('Données projet'!$B$9,Paramètres!$A$1:$I$89,3,0)*0.475*44/12</f>
        <v>2.1466134193881317</v>
      </c>
      <c r="AB187" s="21">
        <f>EXP(-LN(2)/2)*AB186+(1-EXP(-LN(2)/2))/(LN(2)/2)*V187*Y187*VLOOKUP('Données projet'!$B$9,Paramètres!$A$1:$I$89,3,0)*0.475*44/12</f>
        <v>1.277323387194701E-14</v>
      </c>
      <c r="AC187" s="22">
        <f t="shared" si="163"/>
        <v>7.1020835047658695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353.37479213497227</v>
      </c>
      <c r="AO187" s="59">
        <f t="shared" si="144"/>
        <v>345.4750813433123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6.6277266901415173</v>
      </c>
      <c r="AV187" s="21">
        <f>EXP(-LN(2)/25)*AV186+(1-EXP(-LN(2)/25))/(LN(2)/25)*Calculateur!AQ187*Calculateur!AS187*VLOOKUP('Données projet'!$B$10,Paramètres!$A$1:$I$89,3,0)*0.475*44/12</f>
        <v>2.8710025099486054</v>
      </c>
      <c r="AW187" s="21">
        <f>EXP(-LN(2)/2)*AW186+(1-EXP(-LN(2)/2))/(LN(2)/2)*AQ187*AT187*VLOOKUP('Données projet'!$B$10,Paramètres!$A$1:$I$89,3,0)*0.475*44/12</f>
        <v>1.3860317605729778E-14</v>
      </c>
      <c r="AX187" s="21">
        <f t="shared" si="166"/>
        <v>9.4987292000901373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359.57284550600366</v>
      </c>
      <c r="BJ187" s="59">
        <f t="shared" si="146"/>
        <v>351.38386928091433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6.7576821154384108</v>
      </c>
      <c r="BQ187" s="21">
        <f>EXP(-LN(2)/25)*BQ186+(1-EXP(-LN(2)/25))/(LN(2)/25)*Calculateur!BL187*Calculateur!BN187*VLOOKUP('Données projet'!$B$11,Paramètres!$A$1:$I$89,3,0)*0.475*44/12</f>
        <v>2.9272966768103399</v>
      </c>
      <c r="BR187" s="21">
        <f>EXP(-LN(2)/2)*BR186+(1-EXP(-LN(2)/2))/(LN(2)/2)*BL187*BO187*VLOOKUP('Données projet'!$B$11,Paramètres!$A$1:$I$89,3,0)*0.475*44/12</f>
        <v>1.4132088539175516E-14</v>
      </c>
      <c r="BS187" s="22">
        <f t="shared" si="169"/>
        <v>9.6849787922487653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-8.5265128291212022E-14</v>
      </c>
      <c r="BZ187" s="13">
        <f>BY187*VLOOKUP('Données projet'!$B$12,Paramètres!$A$1:$I$89,3,0)*VLOOKUP('Données projet'!$B$12,Paramètres!$A$1:$I$89,5,0)</f>
        <v>-6.9167072069831198E-14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159.4660488566085</v>
      </c>
      <c r="CE187" s="59">
        <f t="shared" si="148"/>
        <v>135.33030558297088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1.1942294501292026</v>
      </c>
      <c r="CM187" s="21">
        <f>EXP(-LN(2)/2)*CM186+(1-EXP(-LN(2)/2))/(LN(2)/2)*CG187*CJ187*VLOOKUP('Données projet'!$B$12,Paramètres!$A$1:$I$89,3,0)*0.475*44/12</f>
        <v>1.7795590013655764E-13</v>
      </c>
      <c r="CN187" s="22">
        <f t="shared" si="172"/>
        <v>1.1942294501293804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353.37479213497227</v>
      </c>
      <c r="CZ187" s="59">
        <f t="shared" si="150"/>
        <v>345.4750813433123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6.6277266901415173</v>
      </c>
      <c r="DG187" s="21">
        <f>EXP(-LN(2)/25)*DG186+(1-EXP(-LN(2)/25))/(LN(2)/25)*Calculateur!DB187*Calculateur!DD187*VLOOKUP('Données projet'!$B$13,Paramètres!$A$1:$I$89,3,0)*0.475*44/12</f>
        <v>2.8710025099486054</v>
      </c>
      <c r="DH187" s="21">
        <f>EXP(-LN(2)/2)*DH186+(1-EXP(-LN(2)/2))/(LN(2)/2)*DB187*DE187*VLOOKUP('Données projet'!$B$13,Paramètres!$A$1:$I$89,3,0)*0.475*44/12</f>
        <v>1.3860317605729778E-14</v>
      </c>
      <c r="DI187" s="22">
        <f t="shared" si="175"/>
        <v>9.4987292000901373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7.9580786405131221E-13</v>
      </c>
      <c r="DP187" s="17">
        <f>DO187*VLOOKUP('Données projet'!$B$14,Paramètres!$A$1:$I$89,3,0)*VLOOKUP('Données projet'!$B$14,Paramètres!$A$1:$I$89,5,0)</f>
        <v>7.2004695539362725E-13</v>
      </c>
      <c r="DQ187" s="13">
        <f t="shared" si="176"/>
        <v>8.5963894794935589E-12</v>
      </c>
      <c r="DR187" s="20">
        <f t="shared" si="177"/>
        <v>1.6226126790761848E-11</v>
      </c>
      <c r="DS187" s="59">
        <f t="shared" si="125"/>
        <v>293.33333333334951</v>
      </c>
      <c r="DT187" s="59">
        <f ca="1">AVERAGE(OFFSET($DS$3,0,0,'Données projet'!$E$14+1,1))-AVERAGE(OFFSET($H$3,0,0,'Données projet'!$E$14+1,1))</f>
        <v>635.71275911100679</v>
      </c>
      <c r="DU187" s="59">
        <f t="shared" si="152"/>
        <v>281.7776857269169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151.10857299297834</v>
      </c>
      <c r="EB187" s="21">
        <f>EXP(-LN(2)/25)*EB186+(1-EXP(-LN(2)/25))/(LN(2)/25)*Calculateur!DW187*Calculateur!DY187*VLOOKUP('Données projet'!$B$14,Paramètres!$A$1:$I$89,3,0)*0.475*44/12</f>
        <v>25.037020650556091</v>
      </c>
      <c r="EC187" s="21">
        <f>EXP(-LN(2)/2)*EC186+(1-EXP(-LN(2)/2))/(LN(2)/2)*DW187*DZ187*VLOOKUP('Données projet'!$B$14,Paramètres!$A$1:$I$89,3,0)*0.475*44/12</f>
        <v>7.5127704464093537</v>
      </c>
      <c r="ED187" s="22">
        <f t="shared" si="178"/>
        <v>183.65836408994377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7.9580786405131221E-13</v>
      </c>
      <c r="EK187" s="17">
        <f>EJ187*VLOOKUP('Données projet'!$B$15,Paramètres!$A$1:$I$89,3,0)*VLOOKUP('Données projet'!$B$15,Paramètres!$A$1:$I$89,5,0)</f>
        <v>5.338279152056202E-13</v>
      </c>
      <c r="EL187" s="13">
        <f t="shared" si="179"/>
        <v>6.5990867302231702E-12</v>
      </c>
      <c r="EM187" s="20">
        <f t="shared" si="180"/>
        <v>1.242315967412181E-11</v>
      </c>
      <c r="EN187" s="59">
        <f t="shared" si="128"/>
        <v>293.33333333334576</v>
      </c>
      <c r="EO187" s="59">
        <f ca="1">AVERAGE(OFFSET($EN$3,0,0,'Données projet'!$E$15+1,1))-AVERAGE(OFFSET($H$3,0,0,'Données projet'!$E$15+1,1))</f>
        <v>482.99915419700773</v>
      </c>
      <c r="EP187" s="59">
        <f t="shared" si="154"/>
        <v>219.74157899604279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138.081971872894</v>
      </c>
      <c r="EW187" s="21">
        <f>EXP(-LN(2)/25)*EW186+(1-EXP(-LN(2)/25))/(LN(2)/25)*Calculateur!ER187*Calculateur!ET187*VLOOKUP('Données projet'!$B$15,Paramètres!$A$1:$I$89,3,0)*0.475*44/12</f>
        <v>22.878656801370223</v>
      </c>
      <c r="EX187" s="21">
        <f>EXP(-LN(2)/2)*EX186+(1-EXP(-LN(2)/2))/(LN(2)/2)*ER187*EU187*VLOOKUP('Données projet'!$B$15,Paramètres!$A$1:$I$89,3,0)*0.475*44/12</f>
        <v>5.5698125723379688</v>
      </c>
      <c r="EY187" s="22">
        <f t="shared" si="181"/>
        <v>166.53044124660221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7.9580786405131221E-13</v>
      </c>
      <c r="FF187" s="17">
        <f>FE187*VLOOKUP('Données projet'!$B$16,Paramètres!$A$1:$I$89,3,0)*VLOOKUP('Données projet'!$B$16,Paramètres!$A$1:$I$89,5,0)</f>
        <v>7.572907634312286E-13</v>
      </c>
      <c r="FG187" s="13">
        <f t="shared" si="182"/>
        <v>8.9881135648416407E-12</v>
      </c>
      <c r="FH187" s="20">
        <f t="shared" si="183"/>
        <v>1.6973245871741914E-11</v>
      </c>
      <c r="FI187" s="59">
        <f t="shared" si="131"/>
        <v>293.33333333335031</v>
      </c>
      <c r="FJ187" s="59">
        <f ca="1">AVERAGE(OFFSET($FI$3,0,0,'Données projet'!$E$16+1,1))-AVERAGE(OFFSET($H$3,0,0,'Données projet'!$E$16+1,1))</f>
        <v>666.1523645983184</v>
      </c>
      <c r="FK187" s="59">
        <f t="shared" si="156"/>
        <v>294.13851344047526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158.92453366502889</v>
      </c>
      <c r="FR187" s="21">
        <f>EXP(-LN(2)/25)*FR186+(1-EXP(-LN(2)/25))/(LN(2)/25)*Calculateur!FM187*Calculateur!FO187*VLOOKUP('Données projet'!$B$16,Paramètres!$A$1:$I$89,3,0)*0.475*44/12</f>
        <v>26.332038960067607</v>
      </c>
      <c r="FS187" s="21">
        <f>EXP(-LN(2)/2)*FS186+(1-EXP(-LN(2)/2))/(LN(2)/2)*FM187*FP187*VLOOKUP('Données projet'!$B$16,Paramètres!$A$1:$I$89,3,0)*0.475*44/12</f>
        <v>7.9013620212236297</v>
      </c>
      <c r="FT187" s="22">
        <f t="shared" si="184"/>
        <v>193.15793464632014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328.55631138162721</v>
      </c>
      <c r="T188" s="59">
        <f t="shared" si="142"/>
        <v>321.81422611044985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4.8582963395417691</v>
      </c>
      <c r="AA188" s="21">
        <f>EXP(-LN(2)/25)*AA187+(1-EXP(-LN(2)/25))/(LN(2)/25)*Calculateur!V188*Calculateur!X188*VLOOKUP('Données projet'!$B$9,Paramètres!$A$1:$I$89,3,0)*0.475*44/12</f>
        <v>2.0879141625494695</v>
      </c>
      <c r="AB188" s="21">
        <f>EXP(-LN(2)/2)*AB187+(1-EXP(-LN(2)/2))/(LN(2)/2)*V188*Y188*VLOOKUP('Données projet'!$B$9,Paramètres!$A$1:$I$89,3,0)*0.475*44/12</f>
        <v>9.0320402885354315E-15</v>
      </c>
      <c r="AC188" s="22">
        <f t="shared" si="163"/>
        <v>6.9462105020912475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353.37479213497227</v>
      </c>
      <c r="AO188" s="59">
        <f t="shared" si="144"/>
        <v>345.4750813433123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6.4977610122619582</v>
      </c>
      <c r="AV188" s="21">
        <f>EXP(-LN(2)/25)*AV187+(1-EXP(-LN(2)/25))/(LN(2)/25)*Calculateur!AQ188*Calculateur!AS188*VLOOKUP('Données projet'!$B$10,Paramètres!$A$1:$I$89,3,0)*0.475*44/12</f>
        <v>2.7924947953346004</v>
      </c>
      <c r="AW188" s="21">
        <f>EXP(-LN(2)/2)*AW187+(1-EXP(-LN(2)/2))/(LN(2)/2)*AQ188*AT188*VLOOKUP('Données projet'!$B$10,Paramètres!$A$1:$I$89,3,0)*0.475*44/12</f>
        <v>9.800724568410818E-15</v>
      </c>
      <c r="AX188" s="21">
        <f t="shared" si="166"/>
        <v>9.2902558075965693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359.57284550600366</v>
      </c>
      <c r="BJ188" s="59">
        <f t="shared" si="146"/>
        <v>351.38386928091433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6.6251680909337622</v>
      </c>
      <c r="BQ188" s="21">
        <f>EXP(-LN(2)/25)*BQ187+(1-EXP(-LN(2)/25))/(LN(2)/25)*Calculateur!BL188*Calculateur!BN188*VLOOKUP('Données projet'!$B$11,Paramètres!$A$1:$I$89,3,0)*0.475*44/12</f>
        <v>2.8472495952431194</v>
      </c>
      <c r="BR188" s="21">
        <f>EXP(-LN(2)/2)*BR187+(1-EXP(-LN(2)/2))/(LN(2)/2)*BL188*BO188*VLOOKUP('Données projet'!$B$11,Paramètres!$A$1:$I$89,3,0)*0.475*44/12</f>
        <v>9.9928956383796982E-15</v>
      </c>
      <c r="BS188" s="22">
        <f t="shared" si="169"/>
        <v>9.4724176861768932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-8.5265128291212022E-14</v>
      </c>
      <c r="BZ188" s="13">
        <f>BY188*VLOOKUP('Données projet'!$B$12,Paramètres!$A$1:$I$89,3,0)*VLOOKUP('Données projet'!$B$12,Paramètres!$A$1:$I$89,5,0)</f>
        <v>-6.9167072069831198E-14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159.4660488566085</v>
      </c>
      <c r="CE188" s="59">
        <f t="shared" si="148"/>
        <v>135.33030558297088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1.1615731830136222</v>
      </c>
      <c r="CM188" s="21">
        <f>EXP(-LN(2)/2)*CM187+(1-EXP(-LN(2)/2))/(LN(2)/2)*CG188*CJ188*VLOOKUP('Données projet'!$B$12,Paramètres!$A$1:$I$89,3,0)*0.475*44/12</f>
        <v>1.2583382373871596E-13</v>
      </c>
      <c r="CN188" s="22">
        <f t="shared" si="172"/>
        <v>1.1615731830137481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353.37479213497227</v>
      </c>
      <c r="CZ188" s="59">
        <f t="shared" si="150"/>
        <v>345.4750813433123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6.4977610122619582</v>
      </c>
      <c r="DG188" s="21">
        <f>EXP(-LN(2)/25)*DG187+(1-EXP(-LN(2)/25))/(LN(2)/25)*Calculateur!DB188*Calculateur!DD188*VLOOKUP('Données projet'!$B$13,Paramètres!$A$1:$I$89,3,0)*0.475*44/12</f>
        <v>2.7924947953346004</v>
      </c>
      <c r="DH188" s="21">
        <f>EXP(-LN(2)/2)*DH187+(1-EXP(-LN(2)/2))/(LN(2)/2)*DB188*DE188*VLOOKUP('Données projet'!$B$13,Paramètres!$A$1:$I$89,3,0)*0.475*44/12</f>
        <v>9.800724568410818E-15</v>
      </c>
      <c r="DI188" s="22">
        <f t="shared" si="175"/>
        <v>9.2902558075965693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7.9580786405131221E-13</v>
      </c>
      <c r="DP188" s="17">
        <f>DO188*VLOOKUP('Données projet'!$B$14,Paramètres!$A$1:$I$89,3,0)*VLOOKUP('Données projet'!$B$14,Paramètres!$A$1:$I$89,5,0)</f>
        <v>7.2004695539362725E-13</v>
      </c>
      <c r="DQ188" s="13">
        <f t="shared" si="176"/>
        <v>8.5963894794935589E-12</v>
      </c>
      <c r="DR188" s="20">
        <f t="shared" si="177"/>
        <v>1.6226126790761848E-11</v>
      </c>
      <c r="DS188" s="59">
        <f t="shared" si="125"/>
        <v>293.33333333334951</v>
      </c>
      <c r="DT188" s="59">
        <f ca="1">AVERAGE(OFFSET($DS$3,0,0,'Données projet'!$E$14+1,1))-AVERAGE(OFFSET($H$3,0,0,'Données projet'!$E$14+1,1))</f>
        <v>635.71275911100679</v>
      </c>
      <c r="DU188" s="59">
        <f t="shared" si="152"/>
        <v>281.7776857269169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148.14542604371482</v>
      </c>
      <c r="EB188" s="21">
        <f>EXP(-LN(2)/25)*EB187+(1-EXP(-LN(2)/25))/(LN(2)/25)*Calculateur!DW188*Calculateur!DY188*VLOOKUP('Données projet'!$B$14,Paramètres!$A$1:$I$89,3,0)*0.475*44/12</f>
        <v>24.352382004226943</v>
      </c>
      <c r="EC188" s="21">
        <f>EXP(-LN(2)/2)*EC187+(1-EXP(-LN(2)/2))/(LN(2)/2)*DW188*DZ188*VLOOKUP('Données projet'!$B$14,Paramètres!$A$1:$I$89,3,0)*0.475*44/12</f>
        <v>5.3123309281539406</v>
      </c>
      <c r="ED188" s="22">
        <f t="shared" si="178"/>
        <v>177.81013897609569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7.9580786405131221E-13</v>
      </c>
      <c r="EK188" s="17">
        <f>EJ188*VLOOKUP('Données projet'!$B$15,Paramètres!$A$1:$I$89,3,0)*VLOOKUP('Données projet'!$B$15,Paramètres!$A$1:$I$89,5,0)</f>
        <v>5.338279152056202E-13</v>
      </c>
      <c r="EL188" s="13">
        <f t="shared" si="179"/>
        <v>6.5990867302231702E-12</v>
      </c>
      <c r="EM188" s="20">
        <f t="shared" si="180"/>
        <v>1.242315967412181E-11</v>
      </c>
      <c r="EN188" s="59">
        <f t="shared" si="128"/>
        <v>293.33333333334576</v>
      </c>
      <c r="EO188" s="59">
        <f ca="1">AVERAGE(OFFSET($EN$3,0,0,'Données projet'!$E$15+1,1))-AVERAGE(OFFSET($H$3,0,0,'Données projet'!$E$15+1,1))</f>
        <v>482.99915419700773</v>
      </c>
      <c r="EP188" s="59">
        <f t="shared" si="154"/>
        <v>219.74157899604279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135.3742686261532</v>
      </c>
      <c r="EW188" s="21">
        <f>EXP(-LN(2)/25)*EW187+(1-EXP(-LN(2)/25))/(LN(2)/25)*Calculateur!ER188*Calculateur!ET188*VLOOKUP('Données projet'!$B$15,Paramètres!$A$1:$I$89,3,0)*0.475*44/12</f>
        <v>22.253038728000483</v>
      </c>
      <c r="EX188" s="21">
        <f>EXP(-LN(2)/2)*EX187+(1-EXP(-LN(2)/2))/(LN(2)/2)*ER188*EU188*VLOOKUP('Données projet'!$B$15,Paramètres!$A$1:$I$89,3,0)*0.475*44/12</f>
        <v>3.938452239838266</v>
      </c>
      <c r="EY188" s="22">
        <f t="shared" si="181"/>
        <v>161.56575959399194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7.9580786405131221E-13</v>
      </c>
      <c r="FF188" s="17">
        <f>FE188*VLOOKUP('Données projet'!$B$16,Paramètres!$A$1:$I$89,3,0)*VLOOKUP('Données projet'!$B$16,Paramètres!$A$1:$I$89,5,0)</f>
        <v>7.572907634312286E-13</v>
      </c>
      <c r="FG188" s="13">
        <f t="shared" si="182"/>
        <v>8.9881135648416407E-12</v>
      </c>
      <c r="FH188" s="20">
        <f t="shared" si="183"/>
        <v>1.6973245871741914E-11</v>
      </c>
      <c r="FI188" s="59">
        <f t="shared" si="131"/>
        <v>293.33333333335031</v>
      </c>
      <c r="FJ188" s="59">
        <f ca="1">AVERAGE(OFFSET($FI$3,0,0,'Données projet'!$E$16+1,1))-AVERAGE(OFFSET($H$3,0,0,'Données projet'!$E$16+1,1))</f>
        <v>666.1523645983184</v>
      </c>
      <c r="FK188" s="59">
        <f t="shared" si="156"/>
        <v>294.13851344047526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155.80812049425174</v>
      </c>
      <c r="FR188" s="21">
        <f>EXP(-LN(2)/25)*FR187+(1-EXP(-LN(2)/25))/(LN(2)/25)*Calculateur!FM188*Calculateur!FO188*VLOOKUP('Données projet'!$B$16,Paramètres!$A$1:$I$89,3,0)*0.475*44/12</f>
        <v>25.611987969962811</v>
      </c>
      <c r="FS188" s="21">
        <f>EXP(-LN(2)/2)*FS187+(1-EXP(-LN(2)/2))/(LN(2)/2)*FM188*FP188*VLOOKUP('Données projet'!$B$16,Paramètres!$A$1:$I$89,3,0)*0.475*44/12</f>
        <v>5.5871066658170747</v>
      </c>
      <c r="FT188" s="22">
        <f t="shared" si="184"/>
        <v>187.00721513003162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328.55631138162721</v>
      </c>
      <c r="T189" s="59">
        <f t="shared" si="142"/>
        <v>321.81422611044985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4.7630281115915238</v>
      </c>
      <c r="AA189" s="21">
        <f>EXP(-LN(2)/25)*AA188+(1-EXP(-LN(2)/25))/(LN(2)/25)*Calculateur!V189*Calculateur!X189*VLOOKUP('Données projet'!$B$9,Paramètres!$A$1:$I$89,3,0)*0.475*44/12</f>
        <v>2.0308200399759206</v>
      </c>
      <c r="AB189" s="21">
        <f>EXP(-LN(2)/2)*AB188+(1-EXP(-LN(2)/2))/(LN(2)/2)*V189*Y189*VLOOKUP('Données projet'!$B$9,Paramètres!$A$1:$I$89,3,0)*0.475*44/12</f>
        <v>6.386616935973505E-15</v>
      </c>
      <c r="AC189" s="22">
        <f t="shared" si="163"/>
        <v>6.7938481515674507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353.37479213497227</v>
      </c>
      <c r="AO189" s="59">
        <f t="shared" si="144"/>
        <v>345.4750813433123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6.3703438820543807</v>
      </c>
      <c r="AV189" s="21">
        <f>EXP(-LN(2)/25)*AV188+(1-EXP(-LN(2)/25))/(LN(2)/25)*Calculateur!AQ189*Calculateur!AS189*VLOOKUP('Données projet'!$B$10,Paramètres!$A$1:$I$89,3,0)*0.475*44/12</f>
        <v>2.7161338783052567</v>
      </c>
      <c r="AW189" s="21">
        <f>EXP(-LN(2)/2)*AW188+(1-EXP(-LN(2)/2))/(LN(2)/2)*AQ189*AT189*VLOOKUP('Données projet'!$B$10,Paramètres!$A$1:$I$89,3,0)*0.475*44/12</f>
        <v>6.9301588028648888E-15</v>
      </c>
      <c r="AX189" s="21">
        <f t="shared" si="166"/>
        <v>9.0864777603596441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359.57284550600366</v>
      </c>
      <c r="BJ189" s="59">
        <f t="shared" si="146"/>
        <v>351.38386928091433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6.4952525856240753</v>
      </c>
      <c r="BQ189" s="21">
        <f>EXP(-LN(2)/25)*BQ188+(1-EXP(-LN(2)/25))/(LN(2)/25)*Calculateur!BL189*Calculateur!BN189*VLOOKUP('Données projet'!$B$11,Paramètres!$A$1:$I$89,3,0)*0.475*44/12</f>
        <v>2.7693914053308477</v>
      </c>
      <c r="BR189" s="21">
        <f>EXP(-LN(2)/2)*BR188+(1-EXP(-LN(2)/2))/(LN(2)/2)*BL189*BO189*VLOOKUP('Données projet'!$B$11,Paramètres!$A$1:$I$89,3,0)*0.475*44/12</f>
        <v>7.0660442695877586E-15</v>
      </c>
      <c r="BS189" s="22">
        <f t="shared" si="169"/>
        <v>9.2646439909549301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-8.5265128291212022E-14</v>
      </c>
      <c r="BZ189" s="13">
        <f>BY189*VLOOKUP('Données projet'!$B$12,Paramètres!$A$1:$I$89,3,0)*VLOOKUP('Données projet'!$B$12,Paramètres!$A$1:$I$89,5,0)</f>
        <v>-6.9167072069831198E-14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159.4660488566085</v>
      </c>
      <c r="CE189" s="59">
        <f t="shared" si="148"/>
        <v>135.33030558297088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1.1298099032396358</v>
      </c>
      <c r="CM189" s="21">
        <f>EXP(-LN(2)/2)*CM188+(1-EXP(-LN(2)/2))/(LN(2)/2)*CG189*CJ189*VLOOKUP('Données projet'!$B$12,Paramètres!$A$1:$I$89,3,0)*0.475*44/12</f>
        <v>8.897795006827882E-14</v>
      </c>
      <c r="CN189" s="22">
        <f t="shared" si="172"/>
        <v>1.1298099032397249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353.37479213497227</v>
      </c>
      <c r="CZ189" s="59">
        <f t="shared" si="150"/>
        <v>345.4750813433123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6.3703438820543807</v>
      </c>
      <c r="DG189" s="21">
        <f>EXP(-LN(2)/25)*DG188+(1-EXP(-LN(2)/25))/(LN(2)/25)*Calculateur!DB189*Calculateur!DD189*VLOOKUP('Données projet'!$B$13,Paramètres!$A$1:$I$89,3,0)*0.475*44/12</f>
        <v>2.7161338783052567</v>
      </c>
      <c r="DH189" s="21">
        <f>EXP(-LN(2)/2)*DH188+(1-EXP(-LN(2)/2))/(LN(2)/2)*DB189*DE189*VLOOKUP('Données projet'!$B$13,Paramètres!$A$1:$I$89,3,0)*0.475*44/12</f>
        <v>6.9301588028648888E-15</v>
      </c>
      <c r="DI189" s="22">
        <f t="shared" si="175"/>
        <v>9.0864777603596441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7.9580786405131221E-13</v>
      </c>
      <c r="DP189" s="17">
        <f>DO189*VLOOKUP('Données projet'!$B$14,Paramètres!$A$1:$I$89,3,0)*VLOOKUP('Données projet'!$B$14,Paramètres!$A$1:$I$89,5,0)</f>
        <v>7.2004695539362725E-13</v>
      </c>
      <c r="DQ189" s="13">
        <f t="shared" si="176"/>
        <v>8.5963894794935589E-12</v>
      </c>
      <c r="DR189" s="20">
        <f t="shared" si="177"/>
        <v>1.6226126790761848E-11</v>
      </c>
      <c r="DS189" s="59">
        <f t="shared" si="125"/>
        <v>293.33333333334951</v>
      </c>
      <c r="DT189" s="59">
        <f ca="1">AVERAGE(OFFSET($DS$3,0,0,'Données projet'!$E$14+1,1))-AVERAGE(OFFSET($H$3,0,0,'Données projet'!$E$14+1,1))</f>
        <v>635.71275911100679</v>
      </c>
      <c r="DU189" s="59">
        <f t="shared" si="152"/>
        <v>281.7776857269169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145.24038459878517</v>
      </c>
      <c r="EB189" s="21">
        <f>EXP(-LN(2)/25)*EB188+(1-EXP(-LN(2)/25))/(LN(2)/25)*Calculateur!DW189*Calculateur!DY189*VLOOKUP('Données projet'!$B$14,Paramètres!$A$1:$I$89,3,0)*0.475*44/12</f>
        <v>23.686464837685246</v>
      </c>
      <c r="EC189" s="21">
        <f>EXP(-LN(2)/2)*EC188+(1-EXP(-LN(2)/2))/(LN(2)/2)*DW189*DZ189*VLOOKUP('Données projet'!$B$14,Paramètres!$A$1:$I$89,3,0)*0.475*44/12</f>
        <v>3.7563852232046777</v>
      </c>
      <c r="ED189" s="22">
        <f t="shared" si="178"/>
        <v>172.68323465967509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7.9580786405131221E-13</v>
      </c>
      <c r="EK189" s="17">
        <f>EJ189*VLOOKUP('Données projet'!$B$15,Paramètres!$A$1:$I$89,3,0)*VLOOKUP('Données projet'!$B$15,Paramètres!$A$1:$I$89,5,0)</f>
        <v>5.338279152056202E-13</v>
      </c>
      <c r="EL189" s="13">
        <f t="shared" si="179"/>
        <v>6.5990867302231702E-12</v>
      </c>
      <c r="EM189" s="20">
        <f t="shared" si="180"/>
        <v>1.242315967412181E-11</v>
      </c>
      <c r="EN189" s="59">
        <f t="shared" si="128"/>
        <v>293.33333333334576</v>
      </c>
      <c r="EO189" s="59">
        <f ca="1">AVERAGE(OFFSET($EN$3,0,0,'Données projet'!$E$15+1,1))-AVERAGE(OFFSET($H$3,0,0,'Données projet'!$E$15+1,1))</f>
        <v>482.99915419700773</v>
      </c>
      <c r="EP189" s="59">
        <f t="shared" si="154"/>
        <v>219.74157899604279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132.71966178854507</v>
      </c>
      <c r="EW189" s="21">
        <f>EXP(-LN(2)/25)*EW188+(1-EXP(-LN(2)/25))/(LN(2)/25)*Calculateur!ER189*Calculateur!ET189*VLOOKUP('Données projet'!$B$15,Paramètres!$A$1:$I$89,3,0)*0.475*44/12</f>
        <v>21.644528213746863</v>
      </c>
      <c r="EX189" s="21">
        <f>EXP(-LN(2)/2)*EX188+(1-EXP(-LN(2)/2))/(LN(2)/2)*ER189*EU189*VLOOKUP('Données projet'!$B$15,Paramètres!$A$1:$I$89,3,0)*0.475*44/12</f>
        <v>2.7849062861689848</v>
      </c>
      <c r="EY189" s="22">
        <f t="shared" si="181"/>
        <v>157.14909628846092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7.9580786405131221E-13</v>
      </c>
      <c r="FF189" s="17">
        <f>FE189*VLOOKUP('Données projet'!$B$16,Paramètres!$A$1:$I$89,3,0)*VLOOKUP('Données projet'!$B$16,Paramètres!$A$1:$I$89,5,0)</f>
        <v>7.572907634312286E-13</v>
      </c>
      <c r="FG189" s="13">
        <f t="shared" si="182"/>
        <v>8.9881135648416407E-12</v>
      </c>
      <c r="FH189" s="20">
        <f t="shared" si="183"/>
        <v>1.6973245871741914E-11</v>
      </c>
      <c r="FI189" s="59">
        <f t="shared" si="131"/>
        <v>293.33333333335031</v>
      </c>
      <c r="FJ189" s="59">
        <f ca="1">AVERAGE(OFFSET($FI$3,0,0,'Données projet'!$E$16+1,1))-AVERAGE(OFFSET($H$3,0,0,'Données projet'!$E$16+1,1))</f>
        <v>666.1523645983184</v>
      </c>
      <c r="FK189" s="59">
        <f t="shared" si="156"/>
        <v>294.13851344047526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152.75281828492919</v>
      </c>
      <c r="FR189" s="21">
        <f>EXP(-LN(2)/25)*FR188+(1-EXP(-LN(2)/25))/(LN(2)/25)*Calculateur!FM189*Calculateur!FO189*VLOOKUP('Données projet'!$B$16,Paramètres!$A$1:$I$89,3,0)*0.475*44/12</f>
        <v>24.911626812048269</v>
      </c>
      <c r="FS189" s="21">
        <f>EXP(-LN(2)/2)*FS188+(1-EXP(-LN(2)/2))/(LN(2)/2)*FM189*FP189*VLOOKUP('Données projet'!$B$16,Paramètres!$A$1:$I$89,3,0)*0.475*44/12</f>
        <v>3.9506810106118158</v>
      </c>
      <c r="FT189" s="22">
        <f t="shared" si="184"/>
        <v>181.61512610758928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328.55631138162721</v>
      </c>
      <c r="T190" s="59">
        <f t="shared" si="142"/>
        <v>321.81422611044985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4.6696280354835018</v>
      </c>
      <c r="AA190" s="21">
        <f>EXP(-LN(2)/25)*AA189+(1-EXP(-LN(2)/25))/(LN(2)/25)*Calculateur!V190*Calculateur!X190*VLOOKUP('Données projet'!$B$9,Paramètres!$A$1:$I$89,3,0)*0.475*44/12</f>
        <v>1.9752871591865946</v>
      </c>
      <c r="AB190" s="21">
        <f>EXP(-LN(2)/2)*AB189+(1-EXP(-LN(2)/2))/(LN(2)/2)*V190*Y190*VLOOKUP('Données projet'!$B$9,Paramètres!$A$1:$I$89,3,0)*0.475*44/12</f>
        <v>4.5160201442677157E-15</v>
      </c>
      <c r="AC190" s="22">
        <f t="shared" si="163"/>
        <v>6.6449151946701006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353.37479213497227</v>
      </c>
      <c r="AO190" s="59">
        <f t="shared" si="144"/>
        <v>345.4750813433123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6.2454253240533983</v>
      </c>
      <c r="AV190" s="21">
        <f>EXP(-LN(2)/25)*AV189+(1-EXP(-LN(2)/25))/(LN(2)/25)*Calculateur!AQ190*Calculateur!AS190*VLOOKUP('Données projet'!$B$10,Paramètres!$A$1:$I$89,3,0)*0.475*44/12</f>
        <v>2.6418610545677264</v>
      </c>
      <c r="AW190" s="21">
        <f>EXP(-LN(2)/2)*AW189+(1-EXP(-LN(2)/2))/(LN(2)/2)*AQ190*AT190*VLOOKUP('Données projet'!$B$10,Paramètres!$A$1:$I$89,3,0)*0.475*44/12</f>
        <v>4.900362284205409E-15</v>
      </c>
      <c r="AX190" s="21">
        <f t="shared" si="166"/>
        <v>8.8872863786211305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359.57284550600366</v>
      </c>
      <c r="BJ190" s="59">
        <f t="shared" si="146"/>
        <v>351.38386928091433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6.3678846441328778</v>
      </c>
      <c r="BQ190" s="21">
        <f>EXP(-LN(2)/25)*BQ189+(1-EXP(-LN(2)/25))/(LN(2)/25)*Calculateur!BL190*Calculateur!BN190*VLOOKUP('Données projet'!$B$11,Paramètres!$A$1:$I$89,3,0)*0.475*44/12</f>
        <v>2.6936622517161113</v>
      </c>
      <c r="BR190" s="21">
        <f>EXP(-LN(2)/2)*BR189+(1-EXP(-LN(2)/2))/(LN(2)/2)*BL190*BO190*VLOOKUP('Données projet'!$B$11,Paramètres!$A$1:$I$89,3,0)*0.475*44/12</f>
        <v>4.9964478191898499E-15</v>
      </c>
      <c r="BS190" s="22">
        <f t="shared" si="169"/>
        <v>9.0615468958489949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-8.5265128291212022E-14</v>
      </c>
      <c r="BZ190" s="13">
        <f>BY190*VLOOKUP('Données projet'!$B$12,Paramètres!$A$1:$I$89,3,0)*VLOOKUP('Données projet'!$B$12,Paramètres!$A$1:$I$89,5,0)</f>
        <v>-6.9167072069831198E-14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159.4660488566085</v>
      </c>
      <c r="CE190" s="59">
        <f t="shared" si="148"/>
        <v>135.33030558297088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1.0989151920214273</v>
      </c>
      <c r="CM190" s="21">
        <f>EXP(-LN(2)/2)*CM189+(1-EXP(-LN(2)/2))/(LN(2)/2)*CG190*CJ190*VLOOKUP('Données projet'!$B$12,Paramètres!$A$1:$I$89,3,0)*0.475*44/12</f>
        <v>6.2916911869357981E-14</v>
      </c>
      <c r="CN190" s="22">
        <f t="shared" si="172"/>
        <v>1.0989151920214901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353.37479213497227</v>
      </c>
      <c r="CZ190" s="59">
        <f t="shared" si="150"/>
        <v>345.4750813433123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6.2454253240533983</v>
      </c>
      <c r="DG190" s="21">
        <f>EXP(-LN(2)/25)*DG189+(1-EXP(-LN(2)/25))/(LN(2)/25)*Calculateur!DB190*Calculateur!DD190*VLOOKUP('Données projet'!$B$13,Paramètres!$A$1:$I$89,3,0)*0.475*44/12</f>
        <v>2.6418610545677264</v>
      </c>
      <c r="DH190" s="21">
        <f>EXP(-LN(2)/2)*DH189+(1-EXP(-LN(2)/2))/(LN(2)/2)*DB190*DE190*VLOOKUP('Données projet'!$B$13,Paramètres!$A$1:$I$89,3,0)*0.475*44/12</f>
        <v>4.900362284205409E-15</v>
      </c>
      <c r="DI190" s="22">
        <f t="shared" si="175"/>
        <v>8.8872863786211305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7.9580786405131221E-13</v>
      </c>
      <c r="DP190" s="17">
        <f>DO190*VLOOKUP('Données projet'!$B$14,Paramètres!$A$1:$I$89,3,0)*VLOOKUP('Données projet'!$B$14,Paramètres!$A$1:$I$89,5,0)</f>
        <v>7.2004695539362725E-13</v>
      </c>
      <c r="DQ190" s="13">
        <f t="shared" si="176"/>
        <v>8.5963894794935589E-12</v>
      </c>
      <c r="DR190" s="20">
        <f t="shared" si="177"/>
        <v>1.6226126790761848E-11</v>
      </c>
      <c r="DS190" s="59">
        <f t="shared" si="125"/>
        <v>293.33333333334951</v>
      </c>
      <c r="DT190" s="59">
        <f ca="1">AVERAGE(OFFSET($DS$3,0,0,'Données projet'!$E$14+1,1))-AVERAGE(OFFSET($H$3,0,0,'Données projet'!$E$14+1,1))</f>
        <v>635.71275911100679</v>
      </c>
      <c r="DU190" s="59">
        <f t="shared" si="152"/>
        <v>281.7776857269169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142.39230924469027</v>
      </c>
      <c r="EB190" s="21">
        <f>EXP(-LN(2)/25)*EB189+(1-EXP(-LN(2)/25))/(LN(2)/25)*Calculateur!DW190*Calculateur!DY190*VLOOKUP('Données projet'!$B$14,Paramètres!$A$1:$I$89,3,0)*0.475*44/12</f>
        <v>23.038757211081695</v>
      </c>
      <c r="EC190" s="21">
        <f>EXP(-LN(2)/2)*EC189+(1-EXP(-LN(2)/2))/(LN(2)/2)*DW190*DZ190*VLOOKUP('Données projet'!$B$14,Paramètres!$A$1:$I$89,3,0)*0.475*44/12</f>
        <v>2.6561654640769707</v>
      </c>
      <c r="ED190" s="22">
        <f t="shared" si="178"/>
        <v>168.08723191984893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7.9580786405131221E-13</v>
      </c>
      <c r="EK190" s="17">
        <f>EJ190*VLOOKUP('Données projet'!$B$15,Paramètres!$A$1:$I$89,3,0)*VLOOKUP('Données projet'!$B$15,Paramètres!$A$1:$I$89,5,0)</f>
        <v>5.338279152056202E-13</v>
      </c>
      <c r="EL190" s="13">
        <f t="shared" si="179"/>
        <v>6.5990867302231702E-12</v>
      </c>
      <c r="EM190" s="20">
        <f t="shared" si="180"/>
        <v>1.242315967412181E-11</v>
      </c>
      <c r="EN190" s="59">
        <f t="shared" si="128"/>
        <v>293.33333333334576</v>
      </c>
      <c r="EO190" s="59">
        <f ca="1">AVERAGE(OFFSET($EN$3,0,0,'Données projet'!$E$15+1,1))-AVERAGE(OFFSET($H$3,0,0,'Données projet'!$E$15+1,1))</f>
        <v>482.99915419700773</v>
      </c>
      <c r="EP190" s="59">
        <f t="shared" si="154"/>
        <v>219.74157899604279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130.11711017187216</v>
      </c>
      <c r="EW190" s="21">
        <f>EXP(-LN(2)/25)*EW189+(1-EXP(-LN(2)/25))/(LN(2)/25)*Calculateur!ER190*Calculateur!ET190*VLOOKUP('Données projet'!$B$15,Paramètres!$A$1:$I$89,3,0)*0.475*44/12</f>
        <v>21.052657451505684</v>
      </c>
      <c r="EX190" s="21">
        <f>EXP(-LN(2)/2)*EX189+(1-EXP(-LN(2)/2))/(LN(2)/2)*ER190*EU190*VLOOKUP('Données projet'!$B$15,Paramètres!$A$1:$I$89,3,0)*0.475*44/12</f>
        <v>1.9692261199191332</v>
      </c>
      <c r="EY190" s="22">
        <f t="shared" si="181"/>
        <v>153.13899374329699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7.9580786405131221E-13</v>
      </c>
      <c r="FF190" s="17">
        <f>FE190*VLOOKUP('Données projet'!$B$16,Paramètres!$A$1:$I$89,3,0)*VLOOKUP('Données projet'!$B$16,Paramètres!$A$1:$I$89,5,0)</f>
        <v>7.572907634312286E-13</v>
      </c>
      <c r="FG190" s="13">
        <f t="shared" si="182"/>
        <v>8.9881135648416407E-12</v>
      </c>
      <c r="FH190" s="20">
        <f t="shared" si="183"/>
        <v>1.6973245871741914E-11</v>
      </c>
      <c r="FI190" s="59">
        <f t="shared" si="131"/>
        <v>293.33333333335031</v>
      </c>
      <c r="FJ190" s="59">
        <f ca="1">AVERAGE(OFFSET($FI$3,0,0,'Données projet'!$E$16+1,1))-AVERAGE(OFFSET($H$3,0,0,'Données projet'!$E$16+1,1))</f>
        <v>666.1523645983184</v>
      </c>
      <c r="FK190" s="59">
        <f t="shared" si="156"/>
        <v>294.13851344047526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149.75742868838111</v>
      </c>
      <c r="FR190" s="21">
        <f>EXP(-LN(2)/25)*FR189+(1-EXP(-LN(2)/25))/(LN(2)/25)*Calculateur!FM190*Calculateur!FO190*VLOOKUP('Données projet'!$B$16,Paramètres!$A$1:$I$89,3,0)*0.475*44/12</f>
        <v>24.23041706682729</v>
      </c>
      <c r="FS190" s="21">
        <f>EXP(-LN(2)/2)*FS189+(1-EXP(-LN(2)/2))/(LN(2)/2)*FM190*FP190*VLOOKUP('Données projet'!$B$16,Paramètres!$A$1:$I$89,3,0)*0.475*44/12</f>
        <v>2.7935533329085378</v>
      </c>
      <c r="FT190" s="22">
        <f t="shared" si="184"/>
        <v>176.78139908811696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328.55631138162721</v>
      </c>
      <c r="T191" s="59">
        <f t="shared" si="142"/>
        <v>321.81422611044985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4.5780594778995365</v>
      </c>
      <c r="AA191" s="21">
        <f>EXP(-LN(2)/25)*AA190+(1-EXP(-LN(2)/25))/(LN(2)/25)*Calculateur!V191*Calculateur!X191*VLOOKUP('Données projet'!$B$9,Paramètres!$A$1:$I$89,3,0)*0.475*44/12</f>
        <v>1.9212728279428</v>
      </c>
      <c r="AB191" s="21">
        <f>EXP(-LN(2)/2)*AB190+(1-EXP(-LN(2)/2))/(LN(2)/2)*V191*Y191*VLOOKUP('Données projet'!$B$9,Paramètres!$A$1:$I$89,3,0)*0.475*44/12</f>
        <v>3.1933084679867525E-15</v>
      </c>
      <c r="AC191" s="22">
        <f t="shared" si="163"/>
        <v>6.4993323058423398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353.37479213497227</v>
      </c>
      <c r="AO191" s="59">
        <f t="shared" si="144"/>
        <v>345.4750813433123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6.1229563427820182</v>
      </c>
      <c r="AV191" s="21">
        <f>EXP(-LN(2)/25)*AV190+(1-EXP(-LN(2)/25))/(LN(2)/25)*Calculateur!AQ191*Calculateur!AS191*VLOOKUP('Données projet'!$B$10,Paramètres!$A$1:$I$89,3,0)*0.475*44/12</f>
        <v>2.5696192251011372</v>
      </c>
      <c r="AW191" s="21">
        <f>EXP(-LN(2)/2)*AW190+(1-EXP(-LN(2)/2))/(LN(2)/2)*AQ191*AT191*VLOOKUP('Données projet'!$B$10,Paramètres!$A$1:$I$89,3,0)*0.475*44/12</f>
        <v>3.4650794014324444E-15</v>
      </c>
      <c r="AX191" s="21">
        <f t="shared" si="166"/>
        <v>8.6925755678831589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359.57284550600366</v>
      </c>
      <c r="BJ191" s="59">
        <f t="shared" si="146"/>
        <v>351.38386928091433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6.2430143102875491</v>
      </c>
      <c r="BQ191" s="21">
        <f>EXP(-LN(2)/25)*BQ190+(1-EXP(-LN(2)/25))/(LN(2)/25)*Calculateur!BL191*Calculateur!BN191*VLOOKUP('Données projet'!$B$11,Paramètres!$A$1:$I$89,3,0)*0.475*44/12</f>
        <v>2.6200039157893928</v>
      </c>
      <c r="BR191" s="21">
        <f>EXP(-LN(2)/2)*BR190+(1-EXP(-LN(2)/2))/(LN(2)/2)*BL191*BO191*VLOOKUP('Données projet'!$B$11,Paramètres!$A$1:$I$89,3,0)*0.475*44/12</f>
        <v>3.5330221347938801E-15</v>
      </c>
      <c r="BS191" s="22">
        <f t="shared" si="169"/>
        <v>8.8630182260769459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-8.5265128291212022E-14</v>
      </c>
      <c r="BZ191" s="13">
        <f>BY191*VLOOKUP('Données projet'!$B$12,Paramètres!$A$1:$I$89,3,0)*VLOOKUP('Données projet'!$B$12,Paramètres!$A$1:$I$89,5,0)</f>
        <v>-6.9167072069831198E-14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159.4660488566085</v>
      </c>
      <c r="CE191" s="59">
        <f t="shared" si="148"/>
        <v>135.33030558297088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1.0688652983061631</v>
      </c>
      <c r="CM191" s="21">
        <f>EXP(-LN(2)/2)*CM190+(1-EXP(-LN(2)/2))/(LN(2)/2)*CG191*CJ191*VLOOKUP('Données projet'!$B$12,Paramètres!$A$1:$I$89,3,0)*0.475*44/12</f>
        <v>4.448897503413941E-14</v>
      </c>
      <c r="CN191" s="22">
        <f t="shared" si="172"/>
        <v>1.0688652983062075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353.37479213497227</v>
      </c>
      <c r="CZ191" s="59">
        <f t="shared" si="150"/>
        <v>345.4750813433123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6.1229563427820182</v>
      </c>
      <c r="DG191" s="21">
        <f>EXP(-LN(2)/25)*DG190+(1-EXP(-LN(2)/25))/(LN(2)/25)*Calculateur!DB191*Calculateur!DD191*VLOOKUP('Données projet'!$B$13,Paramètres!$A$1:$I$89,3,0)*0.475*44/12</f>
        <v>2.5696192251011372</v>
      </c>
      <c r="DH191" s="21">
        <f>EXP(-LN(2)/2)*DH190+(1-EXP(-LN(2)/2))/(LN(2)/2)*DB191*DE191*VLOOKUP('Données projet'!$B$13,Paramètres!$A$1:$I$89,3,0)*0.475*44/12</f>
        <v>3.4650794014324444E-15</v>
      </c>
      <c r="DI191" s="22">
        <f t="shared" si="175"/>
        <v>8.6925755678831589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7.9580786405131221E-13</v>
      </c>
      <c r="DP191" s="17">
        <f>DO191*VLOOKUP('Données projet'!$B$14,Paramètres!$A$1:$I$89,3,0)*VLOOKUP('Données projet'!$B$14,Paramètres!$A$1:$I$89,5,0)</f>
        <v>7.2004695539362725E-13</v>
      </c>
      <c r="DQ191" s="13">
        <f t="shared" si="176"/>
        <v>8.5963894794935589E-12</v>
      </c>
      <c r="DR191" s="20">
        <f t="shared" si="177"/>
        <v>1.6226126790761848E-11</v>
      </c>
      <c r="DS191" s="59">
        <f t="shared" si="125"/>
        <v>293.33333333334951</v>
      </c>
      <c r="DT191" s="59">
        <f ca="1">AVERAGE(OFFSET($DS$3,0,0,'Données projet'!$E$14+1,1))-AVERAGE(OFFSET($H$3,0,0,'Données projet'!$E$14+1,1))</f>
        <v>635.71275911100679</v>
      </c>
      <c r="DU191" s="59">
        <f t="shared" si="152"/>
        <v>281.7776857269169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139.60008291113473</v>
      </c>
      <c r="EB191" s="21">
        <f>EXP(-LN(2)/25)*EB190+(1-EXP(-LN(2)/25))/(LN(2)/25)*Calculateur!DW191*Calculateur!DY191*VLOOKUP('Données projet'!$B$14,Paramètres!$A$1:$I$89,3,0)*0.475*44/12</f>
        <v>22.408761183589078</v>
      </c>
      <c r="EC191" s="21">
        <f>EXP(-LN(2)/2)*EC190+(1-EXP(-LN(2)/2))/(LN(2)/2)*DW191*DZ191*VLOOKUP('Données projet'!$B$14,Paramètres!$A$1:$I$89,3,0)*0.475*44/12</f>
        <v>1.8781926116023391</v>
      </c>
      <c r="ED191" s="22">
        <f t="shared" si="178"/>
        <v>163.88703670632617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7.9580786405131221E-13</v>
      </c>
      <c r="EK191" s="17">
        <f>EJ191*VLOOKUP('Données projet'!$B$15,Paramètres!$A$1:$I$89,3,0)*VLOOKUP('Données projet'!$B$15,Paramètres!$A$1:$I$89,5,0)</f>
        <v>5.338279152056202E-13</v>
      </c>
      <c r="EL191" s="13">
        <f t="shared" si="179"/>
        <v>6.5990867302231702E-12</v>
      </c>
      <c r="EM191" s="20">
        <f t="shared" si="180"/>
        <v>1.242315967412181E-11</v>
      </c>
      <c r="EN191" s="59">
        <f t="shared" si="128"/>
        <v>293.33333333334576</v>
      </c>
      <c r="EO191" s="59">
        <f ca="1">AVERAGE(OFFSET($EN$3,0,0,'Données projet'!$E$15+1,1))-AVERAGE(OFFSET($H$3,0,0,'Données projet'!$E$15+1,1))</f>
        <v>482.99915419700773</v>
      </c>
      <c r="EP191" s="59">
        <f t="shared" si="154"/>
        <v>219.74157899604279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127.56559300500244</v>
      </c>
      <c r="EW191" s="21">
        <f>EXP(-LN(2)/25)*EW190+(1-EXP(-LN(2)/25))/(LN(2)/25)*Calculateur!ER191*Calculateur!ET191*VLOOKUP('Données projet'!$B$15,Paramètres!$A$1:$I$89,3,0)*0.475*44/12</f>
        <v>20.476971426383123</v>
      </c>
      <c r="EX191" s="21">
        <f>EXP(-LN(2)/2)*EX190+(1-EXP(-LN(2)/2))/(LN(2)/2)*ER191*EU191*VLOOKUP('Données projet'!$B$15,Paramètres!$A$1:$I$89,3,0)*0.475*44/12</f>
        <v>1.3924531430844926</v>
      </c>
      <c r="EY191" s="22">
        <f t="shared" si="181"/>
        <v>149.43501757447004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7.9580786405131221E-13</v>
      </c>
      <c r="FF191" s="17">
        <f>FE191*VLOOKUP('Données projet'!$B$16,Paramètres!$A$1:$I$89,3,0)*VLOOKUP('Données projet'!$B$16,Paramètres!$A$1:$I$89,5,0)</f>
        <v>7.572907634312286E-13</v>
      </c>
      <c r="FG191" s="13">
        <f t="shared" si="182"/>
        <v>8.9881135648416407E-12</v>
      </c>
      <c r="FH191" s="20">
        <f t="shared" si="183"/>
        <v>1.6973245871741914E-11</v>
      </c>
      <c r="FI191" s="59">
        <f t="shared" si="131"/>
        <v>293.33333333335031</v>
      </c>
      <c r="FJ191" s="59">
        <f ca="1">AVERAGE(OFFSET($FI$3,0,0,'Données projet'!$E$16+1,1))-AVERAGE(OFFSET($H$3,0,0,'Données projet'!$E$16+1,1))</f>
        <v>666.1523645983184</v>
      </c>
      <c r="FK191" s="59">
        <f t="shared" si="156"/>
        <v>294.13851344047526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146.82077685481408</v>
      </c>
      <c r="FR191" s="21">
        <f>EXP(-LN(2)/25)*FR190+(1-EXP(-LN(2)/25))/(LN(2)/25)*Calculateur!FM191*Calculateur!FO191*VLOOKUP('Données projet'!$B$16,Paramètres!$A$1:$I$89,3,0)*0.475*44/12</f>
        <v>23.567835037912644</v>
      </c>
      <c r="FS191" s="21">
        <f>EXP(-LN(2)/2)*FS190+(1-EXP(-LN(2)/2))/(LN(2)/2)*FM191*FP191*VLOOKUP('Données projet'!$B$16,Paramètres!$A$1:$I$89,3,0)*0.475*44/12</f>
        <v>1.9753405053059081</v>
      </c>
      <c r="FT191" s="22">
        <f t="shared" si="184"/>
        <v>172.36395239803261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328.55631138162721</v>
      </c>
      <c r="T192" s="59">
        <f t="shared" si="142"/>
        <v>321.81422611044985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4.4882865238784877</v>
      </c>
      <c r="AA192" s="21">
        <f>EXP(-LN(2)/25)*AA191+(1-EXP(-LN(2)/25))/(LN(2)/25)*Calculateur!V192*Calculateur!X192*VLOOKUP('Données projet'!$B$9,Paramètres!$A$1:$I$89,3,0)*0.475*44/12</f>
        <v>1.8687355214273571</v>
      </c>
      <c r="AB192" s="21">
        <f>EXP(-LN(2)/2)*AB191+(1-EXP(-LN(2)/2))/(LN(2)/2)*V192*Y192*VLOOKUP('Données projet'!$B$9,Paramètres!$A$1:$I$89,3,0)*0.475*44/12</f>
        <v>2.2580100721338579E-15</v>
      </c>
      <c r="AC192" s="22">
        <f t="shared" si="163"/>
        <v>6.3570220453058477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353.37479213497227</v>
      </c>
      <c r="AO192" s="59">
        <f t="shared" si="144"/>
        <v>345.4750813433123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6.0028889035346671</v>
      </c>
      <c r="AV192" s="21">
        <f>EXP(-LN(2)/25)*AV191+(1-EXP(-LN(2)/25))/(LN(2)/25)*Calculateur!AQ192*Calculateur!AS192*VLOOKUP('Données projet'!$B$10,Paramètres!$A$1:$I$89,3,0)*0.475*44/12</f>
        <v>2.4993528522603445</v>
      </c>
      <c r="AW192" s="21">
        <f>EXP(-LN(2)/2)*AW191+(1-EXP(-LN(2)/2))/(LN(2)/2)*AQ192*AT192*VLOOKUP('Données projet'!$B$10,Paramètres!$A$1:$I$89,3,0)*0.475*44/12</f>
        <v>2.4501811421027045E-15</v>
      </c>
      <c r="AX192" s="21">
        <f t="shared" si="166"/>
        <v>8.5022417557950138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359.57284550600366</v>
      </c>
      <c r="BJ192" s="59">
        <f t="shared" si="146"/>
        <v>351.38386928091433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6.1205926075255439</v>
      </c>
      <c r="BQ192" s="21">
        <f>EXP(-LN(2)/25)*BQ191+(1-EXP(-LN(2)/25))/(LN(2)/25)*Calculateur!BL192*Calculateur!BN192*VLOOKUP('Données projet'!$B$11,Paramètres!$A$1:$I$89,3,0)*0.475*44/12</f>
        <v>2.5483597709321142</v>
      </c>
      <c r="BR192" s="21">
        <f>EXP(-LN(2)/2)*BR191+(1-EXP(-LN(2)/2))/(LN(2)/2)*BL192*BO192*VLOOKUP('Données projet'!$B$11,Paramètres!$A$1:$I$89,3,0)*0.475*44/12</f>
        <v>2.4982239095949253E-15</v>
      </c>
      <c r="BS192" s="22">
        <f t="shared" si="169"/>
        <v>8.668952378457659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-8.5265128291212022E-14</v>
      </c>
      <c r="BZ192" s="13">
        <f>BY192*VLOOKUP('Données projet'!$B$12,Paramètres!$A$1:$I$89,3,0)*VLOOKUP('Données projet'!$B$12,Paramètres!$A$1:$I$89,5,0)</f>
        <v>-6.9167072069831198E-14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159.4660488566085</v>
      </c>
      <c r="CE192" s="59">
        <f t="shared" si="148"/>
        <v>135.33030558297088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1.0396371205147978</v>
      </c>
      <c r="CM192" s="21">
        <f>EXP(-LN(2)/2)*CM191+(1-EXP(-LN(2)/2))/(LN(2)/2)*CG192*CJ192*VLOOKUP('Données projet'!$B$12,Paramètres!$A$1:$I$89,3,0)*0.475*44/12</f>
        <v>3.1458455934678991E-14</v>
      </c>
      <c r="CN192" s="22">
        <f t="shared" si="172"/>
        <v>1.0396371205148294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353.37479213497227</v>
      </c>
      <c r="CZ192" s="59">
        <f t="shared" si="150"/>
        <v>345.4750813433123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6.0028889035346671</v>
      </c>
      <c r="DG192" s="21">
        <f>EXP(-LN(2)/25)*DG191+(1-EXP(-LN(2)/25))/(LN(2)/25)*Calculateur!DB192*Calculateur!DD192*VLOOKUP('Données projet'!$B$13,Paramètres!$A$1:$I$89,3,0)*0.475*44/12</f>
        <v>2.4993528522603445</v>
      </c>
      <c r="DH192" s="21">
        <f>EXP(-LN(2)/2)*DH191+(1-EXP(-LN(2)/2))/(LN(2)/2)*DB192*DE192*VLOOKUP('Données projet'!$B$13,Paramètres!$A$1:$I$89,3,0)*0.475*44/12</f>
        <v>2.4501811421027045E-15</v>
      </c>
      <c r="DI192" s="22">
        <f t="shared" si="175"/>
        <v>8.5022417557950138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7.9580786405131221E-13</v>
      </c>
      <c r="DP192" s="17">
        <f>DO192*VLOOKUP('Données projet'!$B$14,Paramètres!$A$1:$I$89,3,0)*VLOOKUP('Données projet'!$B$14,Paramètres!$A$1:$I$89,5,0)</f>
        <v>7.2004695539362725E-13</v>
      </c>
      <c r="DQ192" s="13">
        <f t="shared" si="176"/>
        <v>8.5963894794935589E-12</v>
      </c>
      <c r="DR192" s="20">
        <f t="shared" si="177"/>
        <v>1.6226126790761848E-11</v>
      </c>
      <c r="DS192" s="59">
        <f t="shared" si="125"/>
        <v>293.33333333334951</v>
      </c>
      <c r="DT192" s="59">
        <f ca="1">AVERAGE(OFFSET($DS$3,0,0,'Données projet'!$E$14+1,1))-AVERAGE(OFFSET($H$3,0,0,'Données projet'!$E$14+1,1))</f>
        <v>635.71275911100679</v>
      </c>
      <c r="DU192" s="59">
        <f t="shared" si="152"/>
        <v>281.7776857269169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136.86261043289034</v>
      </c>
      <c r="EB192" s="21">
        <f>EXP(-LN(2)/25)*EB191+(1-EXP(-LN(2)/25))/(LN(2)/25)*Calculateur!DW192*Calculateur!DY192*VLOOKUP('Données projet'!$B$14,Paramètres!$A$1:$I$89,3,0)*0.475*44/12</f>
        <v>21.7959924305983</v>
      </c>
      <c r="EC192" s="21">
        <f>EXP(-LN(2)/2)*EC191+(1-EXP(-LN(2)/2))/(LN(2)/2)*DW192*DZ192*VLOOKUP('Données projet'!$B$14,Paramètres!$A$1:$I$89,3,0)*0.475*44/12</f>
        <v>1.3280827320384856</v>
      </c>
      <c r="ED192" s="22">
        <f t="shared" si="178"/>
        <v>159.98668559552712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7.9580786405131221E-13</v>
      </c>
      <c r="EK192" s="17">
        <f>EJ192*VLOOKUP('Données projet'!$B$15,Paramètres!$A$1:$I$89,3,0)*VLOOKUP('Données projet'!$B$15,Paramètres!$A$1:$I$89,5,0)</f>
        <v>5.338279152056202E-13</v>
      </c>
      <c r="EL192" s="13">
        <f t="shared" si="179"/>
        <v>6.5990867302231702E-12</v>
      </c>
      <c r="EM192" s="20">
        <f t="shared" si="180"/>
        <v>1.242315967412181E-11</v>
      </c>
      <c r="EN192" s="59">
        <f t="shared" si="128"/>
        <v>293.33333333334576</v>
      </c>
      <c r="EO192" s="59">
        <f ca="1">AVERAGE(OFFSET($EN$3,0,0,'Données projet'!$E$15+1,1))-AVERAGE(OFFSET($H$3,0,0,'Données projet'!$E$15+1,1))</f>
        <v>482.99915419700773</v>
      </c>
      <c r="EP192" s="59">
        <f t="shared" si="154"/>
        <v>219.74157899604279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125.06410953350324</v>
      </c>
      <c r="EW192" s="21">
        <f>EXP(-LN(2)/25)*EW191+(1-EXP(-LN(2)/25))/(LN(2)/25)*Calculateur!ER192*Calculateur!ET192*VLOOKUP('Données projet'!$B$15,Paramètres!$A$1:$I$89,3,0)*0.475*44/12</f>
        <v>19.917027565891551</v>
      </c>
      <c r="EX192" s="21">
        <f>EXP(-LN(2)/2)*EX191+(1-EXP(-LN(2)/2))/(LN(2)/2)*ER192*EU192*VLOOKUP('Données projet'!$B$15,Paramètres!$A$1:$I$89,3,0)*0.475*44/12</f>
        <v>0.98461305995956672</v>
      </c>
      <c r="EY192" s="22">
        <f t="shared" si="181"/>
        <v>145.96575015935437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7.9580786405131221E-13</v>
      </c>
      <c r="FF192" s="17">
        <f>FE192*VLOOKUP('Données projet'!$B$16,Paramètres!$A$1:$I$89,3,0)*VLOOKUP('Données projet'!$B$16,Paramètres!$A$1:$I$89,5,0)</f>
        <v>7.572907634312286E-13</v>
      </c>
      <c r="FG192" s="13">
        <f t="shared" si="182"/>
        <v>8.9881135648416407E-12</v>
      </c>
      <c r="FH192" s="20">
        <f t="shared" si="183"/>
        <v>1.6973245871741914E-11</v>
      </c>
      <c r="FI192" s="59">
        <f t="shared" si="131"/>
        <v>293.33333333335031</v>
      </c>
      <c r="FJ192" s="59">
        <f ca="1">AVERAGE(OFFSET($FI$3,0,0,'Données projet'!$E$16+1,1))-AVERAGE(OFFSET($H$3,0,0,'Données projet'!$E$16+1,1))</f>
        <v>666.1523645983184</v>
      </c>
      <c r="FK192" s="59">
        <f t="shared" si="156"/>
        <v>294.13851344047526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143.94171097252254</v>
      </c>
      <c r="FR192" s="21">
        <f>EXP(-LN(2)/25)*FR191+(1-EXP(-LN(2)/25))/(LN(2)/25)*Calculateur!FM192*Calculateur!FO192*VLOOKUP('Données projet'!$B$16,Paramètres!$A$1:$I$89,3,0)*0.475*44/12</f>
        <v>22.923371349422343</v>
      </c>
      <c r="FS192" s="21">
        <f>EXP(-LN(2)/2)*FS191+(1-EXP(-LN(2)/2))/(LN(2)/2)*FM192*FP192*VLOOKUP('Données projet'!$B$16,Paramètres!$A$1:$I$89,3,0)*0.475*44/12</f>
        <v>1.3967766664542691</v>
      </c>
      <c r="FT192" s="22">
        <f t="shared" si="184"/>
        <v>168.26185898839915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328.55631138162721</v>
      </c>
      <c r="T193" s="59">
        <f t="shared" si="142"/>
        <v>321.81422611044985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4.4002739627296963</v>
      </c>
      <c r="AA193" s="21">
        <f>EXP(-LN(2)/25)*AA192+(1-EXP(-LN(2)/25))/(LN(2)/25)*Calculateur!V193*Calculateur!X193*VLOOKUP('Données projet'!$B$9,Paramètres!$A$1:$I$89,3,0)*0.475*44/12</f>
        <v>1.8176348503213959</v>
      </c>
      <c r="AB193" s="21">
        <f>EXP(-LN(2)/2)*AB192+(1-EXP(-LN(2)/2))/(LN(2)/2)*V193*Y193*VLOOKUP('Données projet'!$B$9,Paramètres!$A$1:$I$89,3,0)*0.475*44/12</f>
        <v>1.5966542339933763E-15</v>
      </c>
      <c r="AC193" s="22">
        <f t="shared" si="163"/>
        <v>6.2179088130510944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353.37479213497227</v>
      </c>
      <c r="AO193" s="59">
        <f t="shared" si="144"/>
        <v>345.4750813433123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5.8851759135370498</v>
      </c>
      <c r="AV193" s="21">
        <f>EXP(-LN(2)/25)*AV192+(1-EXP(-LN(2)/25))/(LN(2)/25)*Calculateur!AQ193*Calculateur!AS193*VLOOKUP('Données projet'!$B$10,Paramètres!$A$1:$I$89,3,0)*0.475*44/12</f>
        <v>2.4310079170800312</v>
      </c>
      <c r="AW193" s="21">
        <f>EXP(-LN(2)/2)*AW192+(1-EXP(-LN(2)/2))/(LN(2)/2)*AQ193*AT193*VLOOKUP('Données projet'!$B$10,Paramètres!$A$1:$I$89,3,0)*0.475*44/12</f>
        <v>1.7325397007162222E-15</v>
      </c>
      <c r="AX193" s="21">
        <f t="shared" si="166"/>
        <v>8.3161838306170832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359.57284550600366</v>
      </c>
      <c r="BJ193" s="59">
        <f t="shared" si="146"/>
        <v>351.38386928091433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6.0005715196848364</v>
      </c>
      <c r="BQ193" s="21">
        <f>EXP(-LN(2)/25)*BQ192+(1-EXP(-LN(2)/25))/(LN(2)/25)*Calculateur!BL193*Calculateur!BN193*VLOOKUP('Données projet'!$B$11,Paramètres!$A$1:$I$89,3,0)*0.475*44/12</f>
        <v>2.4786747389835595</v>
      </c>
      <c r="BR193" s="21">
        <f>EXP(-LN(2)/2)*BR192+(1-EXP(-LN(2)/2))/(LN(2)/2)*BL193*BO193*VLOOKUP('Données projet'!$B$11,Paramètres!$A$1:$I$89,3,0)*0.475*44/12</f>
        <v>1.7665110673969402E-15</v>
      </c>
      <c r="BS193" s="22">
        <f t="shared" si="169"/>
        <v>8.4792462586683985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-8.5265128291212022E-14</v>
      </c>
      <c r="BZ193" s="13">
        <f>BY193*VLOOKUP('Données projet'!$B$12,Paramètres!$A$1:$I$89,3,0)*VLOOKUP('Données projet'!$B$12,Paramètres!$A$1:$I$89,5,0)</f>
        <v>-6.9167072069831198E-14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159.4660488566085</v>
      </c>
      <c r="CE193" s="59">
        <f t="shared" si="148"/>
        <v>135.33030558297088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1.0112081887821807</v>
      </c>
      <c r="CM193" s="21">
        <f>EXP(-LN(2)/2)*CM192+(1-EXP(-LN(2)/2))/(LN(2)/2)*CG193*CJ193*VLOOKUP('Données projet'!$B$12,Paramètres!$A$1:$I$89,3,0)*0.475*44/12</f>
        <v>2.2244487517069705E-14</v>
      </c>
      <c r="CN193" s="22">
        <f t="shared" si="172"/>
        <v>1.0112081887822029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353.37479213497227</v>
      </c>
      <c r="CZ193" s="59">
        <f t="shared" si="150"/>
        <v>345.4750813433123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5.8851759135370498</v>
      </c>
      <c r="DG193" s="21">
        <f>EXP(-LN(2)/25)*DG192+(1-EXP(-LN(2)/25))/(LN(2)/25)*Calculateur!DB193*Calculateur!DD193*VLOOKUP('Données projet'!$B$13,Paramètres!$A$1:$I$89,3,0)*0.475*44/12</f>
        <v>2.4310079170800312</v>
      </c>
      <c r="DH193" s="21">
        <f>EXP(-LN(2)/2)*DH192+(1-EXP(-LN(2)/2))/(LN(2)/2)*DB193*DE193*VLOOKUP('Données projet'!$B$13,Paramètres!$A$1:$I$89,3,0)*0.475*44/12</f>
        <v>1.7325397007162222E-15</v>
      </c>
      <c r="DI193" s="22">
        <f t="shared" si="175"/>
        <v>8.3161838306170832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7.9580786405131221E-13</v>
      </c>
      <c r="DP193" s="17">
        <f>DO193*VLOOKUP('Données projet'!$B$14,Paramètres!$A$1:$I$89,3,0)*VLOOKUP('Données projet'!$B$14,Paramètres!$A$1:$I$89,5,0)</f>
        <v>7.2004695539362725E-13</v>
      </c>
      <c r="DQ193" s="13">
        <f t="shared" si="176"/>
        <v>8.5963894794935589E-12</v>
      </c>
      <c r="DR193" s="20">
        <f t="shared" si="177"/>
        <v>1.6226126790761848E-11</v>
      </c>
      <c r="DS193" s="59">
        <f t="shared" si="125"/>
        <v>293.33333333334951</v>
      </c>
      <c r="DT193" s="59">
        <f ca="1">AVERAGE(OFFSET($DS$3,0,0,'Données projet'!$E$14+1,1))-AVERAGE(OFFSET($H$3,0,0,'Données projet'!$E$14+1,1))</f>
        <v>635.71275911100679</v>
      </c>
      <c r="DU193" s="59">
        <f t="shared" si="152"/>
        <v>281.7776857269169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134.17881812025095</v>
      </c>
      <c r="EB193" s="21">
        <f>EXP(-LN(2)/25)*EB192+(1-EXP(-LN(2)/25))/(LN(2)/25)*Calculateur!DW193*Calculateur!DY193*VLOOKUP('Données projet'!$B$14,Paramètres!$A$1:$I$89,3,0)*0.475*44/12</f>
        <v>21.199979871382162</v>
      </c>
      <c r="EC193" s="21">
        <f>EXP(-LN(2)/2)*EC192+(1-EXP(-LN(2)/2))/(LN(2)/2)*DW193*DZ193*VLOOKUP('Données projet'!$B$14,Paramètres!$A$1:$I$89,3,0)*0.475*44/12</f>
        <v>0.93909630580116976</v>
      </c>
      <c r="ED193" s="22">
        <f t="shared" si="178"/>
        <v>156.31789429743429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7.9580786405131221E-13</v>
      </c>
      <c r="EK193" s="17">
        <f>EJ193*VLOOKUP('Données projet'!$B$15,Paramètres!$A$1:$I$89,3,0)*VLOOKUP('Données projet'!$B$15,Paramètres!$A$1:$I$89,5,0)</f>
        <v>5.338279152056202E-13</v>
      </c>
      <c r="EL193" s="13">
        <f t="shared" si="179"/>
        <v>6.5990867302231702E-12</v>
      </c>
      <c r="EM193" s="20">
        <f t="shared" si="180"/>
        <v>1.242315967412181E-11</v>
      </c>
      <c r="EN193" s="59">
        <f t="shared" si="128"/>
        <v>293.33333333334576</v>
      </c>
      <c r="EO193" s="59">
        <f ca="1">AVERAGE(OFFSET($EN$3,0,0,'Données projet'!$E$15+1,1))-AVERAGE(OFFSET($H$3,0,0,'Données projet'!$E$15+1,1))</f>
        <v>482.99915419700773</v>
      </c>
      <c r="EP193" s="59">
        <f t="shared" si="154"/>
        <v>219.74157899604279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122.61167862712588</v>
      </c>
      <c r="EW193" s="21">
        <f>EXP(-LN(2)/25)*EW192+(1-EXP(-LN(2)/25))/(LN(2)/25)*Calculateur!ER193*Calculateur!ET193*VLOOKUP('Données projet'!$B$15,Paramètres!$A$1:$I$89,3,0)*0.475*44/12</f>
        <v>19.372395399711287</v>
      </c>
      <c r="EX193" s="21">
        <f>EXP(-LN(2)/2)*EX192+(1-EXP(-LN(2)/2))/(LN(2)/2)*ER193*EU193*VLOOKUP('Données projet'!$B$15,Paramètres!$A$1:$I$89,3,0)*0.475*44/12</f>
        <v>0.69622657154224643</v>
      </c>
      <c r="EY193" s="22">
        <f t="shared" si="181"/>
        <v>142.6803005983794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7.9580786405131221E-13</v>
      </c>
      <c r="FF193" s="17">
        <f>FE193*VLOOKUP('Données projet'!$B$16,Paramètres!$A$1:$I$89,3,0)*VLOOKUP('Données projet'!$B$16,Paramètres!$A$1:$I$89,5,0)</f>
        <v>7.572907634312286E-13</v>
      </c>
      <c r="FG193" s="13">
        <f t="shared" si="182"/>
        <v>8.9881135648416407E-12</v>
      </c>
      <c r="FH193" s="20">
        <f t="shared" si="183"/>
        <v>1.6973245871741914E-11</v>
      </c>
      <c r="FI193" s="59">
        <f t="shared" si="131"/>
        <v>293.33333333335031</v>
      </c>
      <c r="FJ193" s="59">
        <f ca="1">AVERAGE(OFFSET($FI$3,0,0,'Données projet'!$E$16+1,1))-AVERAGE(OFFSET($H$3,0,0,'Données projet'!$E$16+1,1))</f>
        <v>666.1523645983184</v>
      </c>
      <c r="FK193" s="59">
        <f t="shared" si="156"/>
        <v>294.13851344047526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141.11910181612595</v>
      </c>
      <c r="FR193" s="21">
        <f>EXP(-LN(2)/25)*FR192+(1-EXP(-LN(2)/25))/(LN(2)/25)*Calculateur!FM193*Calculateur!FO193*VLOOKUP('Données projet'!$B$16,Paramètres!$A$1:$I$89,3,0)*0.475*44/12</f>
        <v>22.296530554384681</v>
      </c>
      <c r="FS193" s="21">
        <f>EXP(-LN(2)/2)*FS192+(1-EXP(-LN(2)/2))/(LN(2)/2)*FM193*FP193*VLOOKUP('Données projet'!$B$16,Paramètres!$A$1:$I$89,3,0)*0.475*44/12</f>
        <v>0.98767025265295427</v>
      </c>
      <c r="FT193" s="22">
        <f t="shared" si="184"/>
        <v>164.40330262316357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328.55631138162721</v>
      </c>
      <c r="T194" s="59">
        <f t="shared" si="142"/>
        <v>321.81422611044985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4.3139872742226713</v>
      </c>
      <c r="AA194" s="21">
        <f>EXP(-LN(2)/25)*AA193+(1-EXP(-LN(2)/25))/(LN(2)/25)*Calculateur!V194*Calculateur!X194*VLOOKUP('Données projet'!$B$9,Paramètres!$A$1:$I$89,3,0)*0.475*44/12</f>
        <v>1.767931529754095</v>
      </c>
      <c r="AB194" s="21">
        <f>EXP(-LN(2)/2)*AB193+(1-EXP(-LN(2)/2))/(LN(2)/2)*V194*Y194*VLOOKUP('Données projet'!$B$9,Paramètres!$A$1:$I$89,3,0)*0.475*44/12</f>
        <v>1.1290050360669289E-15</v>
      </c>
      <c r="AC194" s="22">
        <f t="shared" si="163"/>
        <v>6.0819188039767669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353.37479213497227</v>
      </c>
      <c r="AO194" s="59">
        <f t="shared" si="144"/>
        <v>345.4750813433123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5.769771203475452</v>
      </c>
      <c r="AV194" s="21">
        <f>EXP(-LN(2)/25)*AV193+(1-EXP(-LN(2)/25))/(LN(2)/25)*Calculateur!AQ194*Calculateur!AS194*VLOOKUP('Données projet'!$B$10,Paramètres!$A$1:$I$89,3,0)*0.475*44/12</f>
        <v>2.3645318777463276</v>
      </c>
      <c r="AW194" s="21">
        <f>EXP(-LN(2)/2)*AW193+(1-EXP(-LN(2)/2))/(LN(2)/2)*AQ194*AT194*VLOOKUP('Données projet'!$B$10,Paramètres!$A$1:$I$89,3,0)*0.475*44/12</f>
        <v>1.2250905710513523E-15</v>
      </c>
      <c r="AX194" s="21">
        <f t="shared" si="166"/>
        <v>8.1343030812217823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359.57284550600366</v>
      </c>
      <c r="BJ194" s="59">
        <f t="shared" si="146"/>
        <v>351.38386928091433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5.8829039721710501</v>
      </c>
      <c r="BQ194" s="21">
        <f>EXP(-LN(2)/25)*BQ193+(1-EXP(-LN(2)/25))/(LN(2)/25)*Calculateur!BL194*Calculateur!BN194*VLOOKUP('Données projet'!$B$11,Paramètres!$A$1:$I$89,3,0)*0.475*44/12</f>
        <v>2.4108952478982144</v>
      </c>
      <c r="BR194" s="21">
        <f>EXP(-LN(2)/2)*BR193+(1-EXP(-LN(2)/2))/(LN(2)/2)*BL194*BO194*VLOOKUP('Données projet'!$B$11,Paramètres!$A$1:$I$89,3,0)*0.475*44/12</f>
        <v>1.2491119547974629E-15</v>
      </c>
      <c r="BS194" s="22">
        <f t="shared" si="169"/>
        <v>8.2937992200692658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-8.5265128291212022E-14</v>
      </c>
      <c r="BZ194" s="13">
        <f>BY194*VLOOKUP('Données projet'!$B$12,Paramètres!$A$1:$I$89,3,0)*VLOOKUP('Données projet'!$B$12,Paramètres!$A$1:$I$89,5,0)</f>
        <v>-6.9167072069831198E-14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159.4660488566085</v>
      </c>
      <c r="CE194" s="59">
        <f t="shared" si="148"/>
        <v>135.33030558297088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0.98355664768280449</v>
      </c>
      <c r="CM194" s="21">
        <f>EXP(-LN(2)/2)*CM193+(1-EXP(-LN(2)/2))/(LN(2)/2)*CG194*CJ194*VLOOKUP('Données projet'!$B$12,Paramètres!$A$1:$I$89,3,0)*0.475*44/12</f>
        <v>1.5729227967339495E-14</v>
      </c>
      <c r="CN194" s="22">
        <f t="shared" si="172"/>
        <v>0.98355664768282025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353.37479213497227</v>
      </c>
      <c r="CZ194" s="59">
        <f t="shared" si="150"/>
        <v>345.4750813433123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5.769771203475452</v>
      </c>
      <c r="DG194" s="21">
        <f>EXP(-LN(2)/25)*DG193+(1-EXP(-LN(2)/25))/(LN(2)/25)*Calculateur!DB194*Calculateur!DD194*VLOOKUP('Données projet'!$B$13,Paramètres!$A$1:$I$89,3,0)*0.475*44/12</f>
        <v>2.3645318777463276</v>
      </c>
      <c r="DH194" s="21">
        <f>EXP(-LN(2)/2)*DH193+(1-EXP(-LN(2)/2))/(LN(2)/2)*DB194*DE194*VLOOKUP('Données projet'!$B$13,Paramètres!$A$1:$I$89,3,0)*0.475*44/12</f>
        <v>1.2250905710513523E-15</v>
      </c>
      <c r="DI194" s="22">
        <f t="shared" si="175"/>
        <v>8.1343030812217823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7.9580786405131221E-13</v>
      </c>
      <c r="DP194" s="17">
        <f>DO194*VLOOKUP('Données projet'!$B$14,Paramètres!$A$1:$I$89,3,0)*VLOOKUP('Données projet'!$B$14,Paramètres!$A$1:$I$89,5,0)</f>
        <v>7.2004695539362725E-13</v>
      </c>
      <c r="DQ194" s="13">
        <f t="shared" si="176"/>
        <v>8.5963894794935589E-12</v>
      </c>
      <c r="DR194" s="20">
        <f t="shared" si="177"/>
        <v>1.6226126790761848E-11</v>
      </c>
      <c r="DS194" s="59">
        <f t="shared" si="125"/>
        <v>293.33333333334951</v>
      </c>
      <c r="DT194" s="59">
        <f ca="1">AVERAGE(OFFSET($DS$3,0,0,'Données projet'!$E$14+1,1))-AVERAGE(OFFSET($H$3,0,0,'Données projet'!$E$14+1,1))</f>
        <v>635.71275911100679</v>
      </c>
      <c r="DU194" s="59">
        <f t="shared" si="152"/>
        <v>281.7776857269169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131.54765333791076</v>
      </c>
      <c r="EB194" s="21">
        <f>EXP(-LN(2)/25)*EB193+(1-EXP(-LN(2)/25))/(LN(2)/25)*Calculateur!DW194*Calculateur!DY194*VLOOKUP('Données projet'!$B$14,Paramètres!$A$1:$I$89,3,0)*0.475*44/12</f>
        <v>20.620265306940727</v>
      </c>
      <c r="EC194" s="21">
        <f>EXP(-LN(2)/2)*EC193+(1-EXP(-LN(2)/2))/(LN(2)/2)*DW194*DZ194*VLOOKUP('Données projet'!$B$14,Paramètres!$A$1:$I$89,3,0)*0.475*44/12</f>
        <v>0.66404136601924291</v>
      </c>
      <c r="ED194" s="22">
        <f t="shared" si="178"/>
        <v>152.83196001087072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7.9580786405131221E-13</v>
      </c>
      <c r="EK194" s="17">
        <f>EJ194*VLOOKUP('Données projet'!$B$15,Paramètres!$A$1:$I$89,3,0)*VLOOKUP('Données projet'!$B$15,Paramètres!$A$1:$I$89,5,0)</f>
        <v>5.338279152056202E-13</v>
      </c>
      <c r="EL194" s="13">
        <f t="shared" si="179"/>
        <v>6.5990867302231702E-12</v>
      </c>
      <c r="EM194" s="20">
        <f t="shared" si="180"/>
        <v>1.242315967412181E-11</v>
      </c>
      <c r="EN194" s="59">
        <f t="shared" si="128"/>
        <v>293.33333333334576</v>
      </c>
      <c r="EO194" s="59">
        <f ca="1">AVERAGE(OFFSET($EN$3,0,0,'Données projet'!$E$15+1,1))-AVERAGE(OFFSET($H$3,0,0,'Données projet'!$E$15+1,1))</f>
        <v>482.99915419700773</v>
      </c>
      <c r="EP194" s="59">
        <f t="shared" si="154"/>
        <v>219.74157899604279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120.20733839498743</v>
      </c>
      <c r="EW194" s="21">
        <f>EXP(-LN(2)/25)*EW193+(1-EXP(-LN(2)/25))/(LN(2)/25)*Calculateur!ER194*Calculateur!ET194*VLOOKUP('Données projet'!$B$15,Paramètres!$A$1:$I$89,3,0)*0.475*44/12</f>
        <v>18.842656228756184</v>
      </c>
      <c r="EX194" s="21">
        <f>EXP(-LN(2)/2)*EX193+(1-EXP(-LN(2)/2))/(LN(2)/2)*ER194*EU194*VLOOKUP('Données projet'!$B$15,Paramètres!$A$1:$I$89,3,0)*0.475*44/12</f>
        <v>0.49230652997978347</v>
      </c>
      <c r="EY194" s="22">
        <f t="shared" si="181"/>
        <v>139.54230115372337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7.9580786405131221E-13</v>
      </c>
      <c r="FF194" s="17">
        <f>FE194*VLOOKUP('Données projet'!$B$16,Paramètres!$A$1:$I$89,3,0)*VLOOKUP('Données projet'!$B$16,Paramètres!$A$1:$I$89,5,0)</f>
        <v>7.572907634312286E-13</v>
      </c>
      <c r="FG194" s="13">
        <f t="shared" si="182"/>
        <v>8.9881135648416407E-12</v>
      </c>
      <c r="FH194" s="20">
        <f t="shared" si="183"/>
        <v>1.6973245871741914E-11</v>
      </c>
      <c r="FI194" s="59">
        <f t="shared" si="131"/>
        <v>293.33333333335031</v>
      </c>
      <c r="FJ194" s="59">
        <f ca="1">AVERAGE(OFFSET($FI$3,0,0,'Données projet'!$E$16+1,1))-AVERAGE(OFFSET($H$3,0,0,'Données projet'!$E$16+1,1))</f>
        <v>666.1523645983184</v>
      </c>
      <c r="FK194" s="59">
        <f t="shared" si="156"/>
        <v>294.13851344047526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138.35184230366471</v>
      </c>
      <c r="FR194" s="21">
        <f>EXP(-LN(2)/25)*FR193+(1-EXP(-LN(2)/25))/(LN(2)/25)*Calculateur!FM194*Calculateur!FO194*VLOOKUP('Données projet'!$B$16,Paramètres!$A$1:$I$89,3,0)*0.475*44/12</f>
        <v>21.686830753851449</v>
      </c>
      <c r="FS194" s="21">
        <f>EXP(-LN(2)/2)*FS193+(1-EXP(-LN(2)/2))/(LN(2)/2)*FM194*FP194*VLOOKUP('Données projet'!$B$16,Paramètres!$A$1:$I$89,3,0)*0.475*44/12</f>
        <v>0.69838833322713467</v>
      </c>
      <c r="FT194" s="22">
        <f t="shared" si="184"/>
        <v>160.73706139074329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328.55631138162721</v>
      </c>
      <c r="T195" s="59">
        <f t="shared" si="142"/>
        <v>321.81422611044985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4.2293926150475851</v>
      </c>
      <c r="AA195" s="21">
        <f>EXP(-LN(2)/25)*AA194+(1-EXP(-LN(2)/25))/(LN(2)/25)*Calculateur!V195*Calculateur!X195*VLOOKUP('Données projet'!$B$9,Paramètres!$A$1:$I$89,3,0)*0.475*44/12</f>
        <v>1.7195873491014908</v>
      </c>
      <c r="AB195" s="21">
        <f>EXP(-LN(2)/2)*AB194+(1-EXP(-LN(2)/2))/(LN(2)/2)*V195*Y195*VLOOKUP('Données projet'!$B$9,Paramètres!$A$1:$I$89,3,0)*0.475*44/12</f>
        <v>7.9832711699668813E-16</v>
      </c>
      <c r="AC195" s="22">
        <f t="shared" si="163"/>
        <v>5.9489799641490766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353.37479213497227</v>
      </c>
      <c r="AO195" s="59">
        <f t="shared" si="144"/>
        <v>345.4750813433123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5.6566295093882388</v>
      </c>
      <c r="AV195" s="21">
        <f>EXP(-LN(2)/25)*AV194+(1-EXP(-LN(2)/25))/(LN(2)/25)*Calculateur!AQ195*Calculateur!AS195*VLOOKUP('Données projet'!$B$10,Paramètres!$A$1:$I$89,3,0)*0.475*44/12</f>
        <v>2.2998736292040269</v>
      </c>
      <c r="AW195" s="21">
        <f>EXP(-LN(2)/2)*AW194+(1-EXP(-LN(2)/2))/(LN(2)/2)*AQ195*AT195*VLOOKUP('Données projet'!$B$10,Paramètres!$A$1:$I$89,3,0)*0.475*44/12</f>
        <v>8.662698503581111E-16</v>
      </c>
      <c r="AX195" s="21">
        <f t="shared" si="166"/>
        <v>7.9565031385922671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359.57284550600366</v>
      </c>
      <c r="BJ195" s="59">
        <f t="shared" si="146"/>
        <v>351.38386928091433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5.7675438134938917</v>
      </c>
      <c r="BQ195" s="21">
        <f>EXP(-LN(2)/25)*BQ194+(1-EXP(-LN(2)/25))/(LN(2)/25)*Calculateur!BL195*Calculateur!BN195*VLOOKUP('Données projet'!$B$11,Paramètres!$A$1:$I$89,3,0)*0.475*44/12</f>
        <v>2.3449691905609669</v>
      </c>
      <c r="BR195" s="21">
        <f>EXP(-LN(2)/2)*BR194+(1-EXP(-LN(2)/2))/(LN(2)/2)*BL195*BO195*VLOOKUP('Données projet'!$B$11,Paramètres!$A$1:$I$89,3,0)*0.475*44/12</f>
        <v>8.8325553369847032E-16</v>
      </c>
      <c r="BS195" s="22">
        <f t="shared" si="169"/>
        <v>8.1125130040548576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-8.5265128291212022E-14</v>
      </c>
      <c r="BZ195" s="13">
        <f>BY195*VLOOKUP('Données projet'!$B$12,Paramètres!$A$1:$I$89,3,0)*VLOOKUP('Données projet'!$B$12,Paramètres!$A$1:$I$89,5,0)</f>
        <v>-6.9167072069831198E-14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159.4660488566085</v>
      </c>
      <c r="CE195" s="59">
        <f t="shared" si="148"/>
        <v>135.33030558297088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0.95666123942892201</v>
      </c>
      <c r="CM195" s="21">
        <f>EXP(-LN(2)/2)*CM194+(1-EXP(-LN(2)/2))/(LN(2)/2)*CG195*CJ195*VLOOKUP('Données projet'!$B$12,Paramètres!$A$1:$I$89,3,0)*0.475*44/12</f>
        <v>1.1122243758534853E-14</v>
      </c>
      <c r="CN195" s="22">
        <f t="shared" si="172"/>
        <v>0.95666123942893311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353.37479213497227</v>
      </c>
      <c r="CZ195" s="59">
        <f t="shared" si="150"/>
        <v>345.4750813433123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5.6566295093882388</v>
      </c>
      <c r="DG195" s="21">
        <f>EXP(-LN(2)/25)*DG194+(1-EXP(-LN(2)/25))/(LN(2)/25)*Calculateur!DB195*Calculateur!DD195*VLOOKUP('Données projet'!$B$13,Paramètres!$A$1:$I$89,3,0)*0.475*44/12</f>
        <v>2.2998736292040269</v>
      </c>
      <c r="DH195" s="21">
        <f>EXP(-LN(2)/2)*DH194+(1-EXP(-LN(2)/2))/(LN(2)/2)*DB195*DE195*VLOOKUP('Données projet'!$B$13,Paramètres!$A$1:$I$89,3,0)*0.475*44/12</f>
        <v>8.662698503581111E-16</v>
      </c>
      <c r="DI195" s="22">
        <f t="shared" si="175"/>
        <v>7.9565031385922671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7.9580786405131221E-13</v>
      </c>
      <c r="DP195" s="17">
        <f>DO195*VLOOKUP('Données projet'!$B$14,Paramètres!$A$1:$I$89,3,0)*VLOOKUP('Données projet'!$B$14,Paramètres!$A$1:$I$89,5,0)</f>
        <v>7.2004695539362725E-13</v>
      </c>
      <c r="DQ195" s="13">
        <f t="shared" si="176"/>
        <v>8.5963894794935589E-12</v>
      </c>
      <c r="DR195" s="20">
        <f t="shared" si="177"/>
        <v>1.6226126790761848E-11</v>
      </c>
      <c r="DS195" s="59">
        <f t="shared" si="125"/>
        <v>293.33333333334951</v>
      </c>
      <c r="DT195" s="59">
        <f ca="1">AVERAGE(OFFSET($DS$3,0,0,'Données projet'!$E$14+1,1))-AVERAGE(OFFSET($H$3,0,0,'Données projet'!$E$14+1,1))</f>
        <v>635.71275911100679</v>
      </c>
      <c r="DU195" s="59">
        <f t="shared" si="152"/>
        <v>281.7776857269169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128.96808409210021</v>
      </c>
      <c r="EB195" s="21">
        <f>EXP(-LN(2)/25)*EB194+(1-EXP(-LN(2)/25))/(LN(2)/25)*Calculateur!DW195*Calculateur!DY195*VLOOKUP('Données projet'!$B$14,Paramètres!$A$1:$I$89,3,0)*0.475*44/12</f>
        <v>20.056403067749809</v>
      </c>
      <c r="EC195" s="21">
        <f>EXP(-LN(2)/2)*EC194+(1-EXP(-LN(2)/2))/(LN(2)/2)*DW195*DZ195*VLOOKUP('Données projet'!$B$14,Paramètres!$A$1:$I$89,3,0)*0.475*44/12</f>
        <v>0.46954815290058494</v>
      </c>
      <c r="ED195" s="22">
        <f t="shared" si="178"/>
        <v>149.49403531275061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7.9580786405131221E-13</v>
      </c>
      <c r="EK195" s="17">
        <f>EJ195*VLOOKUP('Données projet'!$B$15,Paramètres!$A$1:$I$89,3,0)*VLOOKUP('Données projet'!$B$15,Paramètres!$A$1:$I$89,5,0)</f>
        <v>5.338279152056202E-13</v>
      </c>
      <c r="EL195" s="13">
        <f t="shared" si="179"/>
        <v>6.5990867302231702E-12</v>
      </c>
      <c r="EM195" s="20">
        <f t="shared" si="180"/>
        <v>1.242315967412181E-11</v>
      </c>
      <c r="EN195" s="59">
        <f t="shared" si="128"/>
        <v>293.33333333334576</v>
      </c>
      <c r="EO195" s="59">
        <f ca="1">AVERAGE(OFFSET($EN$3,0,0,'Données projet'!$E$15+1,1))-AVERAGE(OFFSET($H$3,0,0,'Données projet'!$E$15+1,1))</f>
        <v>482.99915419700773</v>
      </c>
      <c r="EP195" s="59">
        <f t="shared" si="154"/>
        <v>219.74157899604279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117.85014580829848</v>
      </c>
      <c r="EW195" s="21">
        <f>EXP(-LN(2)/25)*EW194+(1-EXP(-LN(2)/25))/(LN(2)/25)*Calculateur!ER195*Calculateur!ET195*VLOOKUP('Données projet'!$B$15,Paramètres!$A$1:$I$89,3,0)*0.475*44/12</f>
        <v>18.327402803288621</v>
      </c>
      <c r="EX195" s="21">
        <f>EXP(-LN(2)/2)*EX194+(1-EXP(-LN(2)/2))/(LN(2)/2)*ER195*EU195*VLOOKUP('Données projet'!$B$15,Paramètres!$A$1:$I$89,3,0)*0.475*44/12</f>
        <v>0.34811328577112327</v>
      </c>
      <c r="EY195" s="22">
        <f t="shared" si="181"/>
        <v>136.52566189735822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7.9580786405131221E-13</v>
      </c>
      <c r="FF195" s="17">
        <f>FE195*VLOOKUP('Données projet'!$B$16,Paramètres!$A$1:$I$89,3,0)*VLOOKUP('Données projet'!$B$16,Paramètres!$A$1:$I$89,5,0)</f>
        <v>7.572907634312286E-13</v>
      </c>
      <c r="FG195" s="13">
        <f t="shared" si="182"/>
        <v>8.9881135648416407E-12</v>
      </c>
      <c r="FH195" s="20">
        <f t="shared" si="183"/>
        <v>1.6973245871741914E-11</v>
      </c>
      <c r="FI195" s="59">
        <f t="shared" si="131"/>
        <v>293.33333333335031</v>
      </c>
      <c r="FJ195" s="59">
        <f ca="1">AVERAGE(OFFSET($FI$3,0,0,'Données projet'!$E$16+1,1))-AVERAGE(OFFSET($H$3,0,0,'Données projet'!$E$16+1,1))</f>
        <v>666.1523645983184</v>
      </c>
      <c r="FK195" s="59">
        <f t="shared" si="156"/>
        <v>294.13851344047526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135.63884706238119</v>
      </c>
      <c r="FR195" s="21">
        <f>EXP(-LN(2)/25)*FR194+(1-EXP(-LN(2)/25))/(LN(2)/25)*Calculateur!FM195*Calculateur!FO195*VLOOKUP('Données projet'!$B$16,Paramètres!$A$1:$I$89,3,0)*0.475*44/12</f>
        <v>21.09380322642652</v>
      </c>
      <c r="FS195" s="21">
        <f>EXP(-LN(2)/2)*FS194+(1-EXP(-LN(2)/2))/(LN(2)/2)*FM195*FP195*VLOOKUP('Données projet'!$B$16,Paramètres!$A$1:$I$89,3,0)*0.475*44/12</f>
        <v>0.49383512632647719</v>
      </c>
      <c r="FT195" s="22">
        <f t="shared" si="184"/>
        <v>157.22648541513419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328.55631138162721</v>
      </c>
      <c r="T196" s="59">
        <f t="shared" si="142"/>
        <v>321.81422611044985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4.1464568055412752</v>
      </c>
      <c r="AA196" s="21">
        <f>EXP(-LN(2)/25)*AA195+(1-EXP(-LN(2)/25))/(LN(2)/25)*Calculateur!V196*Calculateur!X196*VLOOKUP('Données projet'!$B$9,Paramètres!$A$1:$I$89,3,0)*0.475*44/12</f>
        <v>1.6725651426111421</v>
      </c>
      <c r="AB196" s="21">
        <f>EXP(-LN(2)/2)*AB195+(1-EXP(-LN(2)/2))/(LN(2)/2)*V196*Y196*VLOOKUP('Données projet'!$B$9,Paramètres!$A$1:$I$89,3,0)*0.475*44/12</f>
        <v>5.6450251803346447E-16</v>
      </c>
      <c r="AC196" s="22">
        <f t="shared" si="163"/>
        <v>5.8190219481524181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353.37479213497227</v>
      </c>
      <c r="AO196" s="59">
        <f t="shared" si="144"/>
        <v>345.4750813433123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5.5457064549124571</v>
      </c>
      <c r="AV196" s="21">
        <f>EXP(-LN(2)/25)*AV195+(1-EXP(-LN(2)/25))/(LN(2)/25)*Calculateur!AQ196*Calculateur!AS196*VLOOKUP('Données projet'!$B$10,Paramètres!$A$1:$I$89,3,0)*0.475*44/12</f>
        <v>2.236983463868345</v>
      </c>
      <c r="AW196" s="21">
        <f>EXP(-LN(2)/2)*AW195+(1-EXP(-LN(2)/2))/(LN(2)/2)*AQ196*AT196*VLOOKUP('Données projet'!$B$10,Paramètres!$A$1:$I$89,3,0)*0.475*44/12</f>
        <v>6.1254528552567613E-16</v>
      </c>
      <c r="AX196" s="21">
        <f t="shared" si="166"/>
        <v>7.782689918780803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359.57284550600366</v>
      </c>
      <c r="BJ196" s="59">
        <f t="shared" si="146"/>
        <v>351.38386928091433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5.6544457971656437</v>
      </c>
      <c r="BQ196" s="21">
        <f>EXP(-LN(2)/25)*BQ195+(1-EXP(-LN(2)/25))/(LN(2)/25)*Calculateur!BL196*Calculateur!BN196*VLOOKUP('Données projet'!$B$11,Paramètres!$A$1:$I$89,3,0)*0.475*44/12</f>
        <v>2.2808458847285071</v>
      </c>
      <c r="BR196" s="21">
        <f>EXP(-LN(2)/2)*BR195+(1-EXP(-LN(2)/2))/(LN(2)/2)*BL196*BO196*VLOOKUP('Données projet'!$B$11,Paramètres!$A$1:$I$89,3,0)*0.475*44/12</f>
        <v>6.2455597739873153E-16</v>
      </c>
      <c r="BS196" s="22">
        <f t="shared" si="169"/>
        <v>7.9352916818941521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-8.5265128291212022E-14</v>
      </c>
      <c r="BZ196" s="13">
        <f>BY196*VLOOKUP('Données projet'!$B$12,Paramètres!$A$1:$I$89,3,0)*VLOOKUP('Données projet'!$B$12,Paramètres!$A$1:$I$89,5,0)</f>
        <v>-6.9167072069831198E-14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159.4660488566085</v>
      </c>
      <c r="CE196" s="59">
        <f t="shared" si="148"/>
        <v>135.33030558297088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0.93050128752811001</v>
      </c>
      <c r="CM196" s="21">
        <f>EXP(-LN(2)/2)*CM195+(1-EXP(-LN(2)/2))/(LN(2)/2)*CG196*CJ196*VLOOKUP('Données projet'!$B$12,Paramètres!$A$1:$I$89,3,0)*0.475*44/12</f>
        <v>7.8646139836697477E-15</v>
      </c>
      <c r="CN196" s="22">
        <f t="shared" si="172"/>
        <v>0.93050128752811789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353.37479213497227</v>
      </c>
      <c r="CZ196" s="59">
        <f t="shared" si="150"/>
        <v>345.4750813433123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5.5457064549124571</v>
      </c>
      <c r="DG196" s="21">
        <f>EXP(-LN(2)/25)*DG195+(1-EXP(-LN(2)/25))/(LN(2)/25)*Calculateur!DB196*Calculateur!DD196*VLOOKUP('Données projet'!$B$13,Paramètres!$A$1:$I$89,3,0)*0.475*44/12</f>
        <v>2.236983463868345</v>
      </c>
      <c r="DH196" s="21">
        <f>EXP(-LN(2)/2)*DH195+(1-EXP(-LN(2)/2))/(LN(2)/2)*DB196*DE196*VLOOKUP('Données projet'!$B$13,Paramètres!$A$1:$I$89,3,0)*0.475*44/12</f>
        <v>6.1254528552567613E-16</v>
      </c>
      <c r="DI196" s="22">
        <f t="shared" si="175"/>
        <v>7.782689918780803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7.9580786405131221E-13</v>
      </c>
      <c r="DP196" s="17">
        <f>DO196*VLOOKUP('Données projet'!$B$14,Paramètres!$A$1:$I$89,3,0)*VLOOKUP('Données projet'!$B$14,Paramètres!$A$1:$I$89,5,0)</f>
        <v>7.2004695539362725E-13</v>
      </c>
      <c r="DQ196" s="13">
        <f t="shared" si="176"/>
        <v>8.5963894794935589E-12</v>
      </c>
      <c r="DR196" s="20">
        <f t="shared" si="177"/>
        <v>1.6226126790761848E-11</v>
      </c>
      <c r="DS196" s="59">
        <f t="shared" ref="DS196:DS203" si="197">DR196+(DJ196+DK196)*44/12</f>
        <v>293.33333333334951</v>
      </c>
      <c r="DT196" s="59">
        <f ca="1">AVERAGE(OFFSET($DS$3,0,0,'Données projet'!$E$14+1,1))-AVERAGE(OFFSET($H$3,0,0,'Données projet'!$E$14+1,1))</f>
        <v>635.71275911100679</v>
      </c>
      <c r="DU196" s="59">
        <f t="shared" si="152"/>
        <v>281.7776857269169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126.43909862581812</v>
      </c>
      <c r="EB196" s="21">
        <f>EXP(-LN(2)/25)*EB195+(1-EXP(-LN(2)/25))/(LN(2)/25)*Calculateur!DW196*Calculateur!DY196*VLOOKUP('Données projet'!$B$14,Paramètres!$A$1:$I$89,3,0)*0.475*44/12</f>
        <v>19.507959671141794</v>
      </c>
      <c r="EC196" s="21">
        <f>EXP(-LN(2)/2)*EC195+(1-EXP(-LN(2)/2))/(LN(2)/2)*DW196*DZ196*VLOOKUP('Données projet'!$B$14,Paramètres!$A$1:$I$89,3,0)*0.475*44/12</f>
        <v>0.33202068300962151</v>
      </c>
      <c r="ED196" s="22">
        <f t="shared" si="178"/>
        <v>146.27907897996954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7.9580786405131221E-13</v>
      </c>
      <c r="EK196" s="17">
        <f>EJ196*VLOOKUP('Données projet'!$B$15,Paramètres!$A$1:$I$89,3,0)*VLOOKUP('Données projet'!$B$15,Paramètres!$A$1:$I$89,5,0)</f>
        <v>5.338279152056202E-13</v>
      </c>
      <c r="EL196" s="13">
        <f t="shared" si="179"/>
        <v>6.5990867302231702E-12</v>
      </c>
      <c r="EM196" s="20">
        <f t="shared" si="180"/>
        <v>1.242315967412181E-11</v>
      </c>
      <c r="EN196" s="59">
        <f t="shared" ref="EN196:EN203" si="198">EM196+(EE196+EF196)*44/12</f>
        <v>293.33333333334576</v>
      </c>
      <c r="EO196" s="59">
        <f ca="1">AVERAGE(OFFSET($EN$3,0,0,'Données projet'!$E$15+1,1))-AVERAGE(OFFSET($H$3,0,0,'Données projet'!$E$15+1,1))</f>
        <v>482.99915419700773</v>
      </c>
      <c r="EP196" s="59">
        <f t="shared" si="154"/>
        <v>219.74157899604279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115.53917633048898</v>
      </c>
      <c r="EW196" s="21">
        <f>EXP(-LN(2)/25)*EW195+(1-EXP(-LN(2)/25))/(LN(2)/25)*Calculateur!ER196*Calculateur!ET196*VLOOKUP('Données projet'!$B$15,Paramètres!$A$1:$I$89,3,0)*0.475*44/12</f>
        <v>17.826239009836467</v>
      </c>
      <c r="EX196" s="21">
        <f>EXP(-LN(2)/2)*EX195+(1-EXP(-LN(2)/2))/(LN(2)/2)*ER196*EU196*VLOOKUP('Données projet'!$B$15,Paramètres!$A$1:$I$89,3,0)*0.475*44/12</f>
        <v>0.24615326498989176</v>
      </c>
      <c r="EY196" s="22">
        <f t="shared" si="181"/>
        <v>133.61156860531534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7.9580786405131221E-13</v>
      </c>
      <c r="FF196" s="17">
        <f>FE196*VLOOKUP('Données projet'!$B$16,Paramètres!$A$1:$I$89,3,0)*VLOOKUP('Données projet'!$B$16,Paramètres!$A$1:$I$89,5,0)</f>
        <v>7.572907634312286E-13</v>
      </c>
      <c r="FG196" s="13">
        <f t="shared" si="182"/>
        <v>8.9881135648416407E-12</v>
      </c>
      <c r="FH196" s="20">
        <f t="shared" si="183"/>
        <v>1.6973245871741914E-11</v>
      </c>
      <c r="FI196" s="59">
        <f t="shared" ref="FI196:FI203" si="199">FH196+(EZ196+FA196)*44/12</f>
        <v>293.33333333335031</v>
      </c>
      <c r="FJ196" s="59">
        <f ca="1">AVERAGE(OFFSET($FI$3,0,0,'Données projet'!$E$16+1,1))-AVERAGE(OFFSET($H$3,0,0,'Données projet'!$E$16+1,1))</f>
        <v>666.1523645983184</v>
      </c>
      <c r="FK196" s="59">
        <f t="shared" si="156"/>
        <v>294.13851344047526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132.97905200301554</v>
      </c>
      <c r="FR196" s="21">
        <f>EXP(-LN(2)/25)*FR195+(1-EXP(-LN(2)/25))/(LN(2)/25)*Calculateur!FM196*Calculateur!FO196*VLOOKUP('Données projet'!$B$16,Paramètres!$A$1:$I$89,3,0)*0.475*44/12</f>
        <v>20.516992067924985</v>
      </c>
      <c r="FS196" s="21">
        <f>EXP(-LN(2)/2)*FS195+(1-EXP(-LN(2)/2))/(LN(2)/2)*FM196*FP196*VLOOKUP('Données projet'!$B$16,Paramètres!$A$1:$I$89,3,0)*0.475*44/12</f>
        <v>0.34919416661356739</v>
      </c>
      <c r="FT196" s="22">
        <f t="shared" si="184"/>
        <v>153.84523823755407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328.55631138162721</v>
      </c>
      <c r="T197" s="59">
        <f t="shared" ref="T197:T203" si="204">$T$3</f>
        <v>321.81422611044985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4.065147316673535</v>
      </c>
      <c r="AA197" s="21">
        <f>EXP(-LN(2)/25)*AA196+(1-EXP(-LN(2)/25))/(LN(2)/25)*Calculateur!V197*Calculateur!X197*VLOOKUP('Données projet'!$B$9,Paramètres!$A$1:$I$89,3,0)*0.475*44/12</f>
        <v>1.6268287608300622</v>
      </c>
      <c r="AB197" s="21">
        <f>EXP(-LN(2)/2)*AB196+(1-EXP(-LN(2)/2))/(LN(2)/2)*V197*Y197*VLOOKUP('Données projet'!$B$9,Paramètres!$A$1:$I$89,3,0)*0.475*44/12</f>
        <v>3.9916355849834406E-16</v>
      </c>
      <c r="AC197" s="22">
        <f t="shared" si="163"/>
        <v>5.6919760775035968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353.37479213497227</v>
      </c>
      <c r="AO197" s="59">
        <f t="shared" ref="AO197:AO203" si="205">$AO$3</f>
        <v>345.4750813433123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5.4369585338785624</v>
      </c>
      <c r="AV197" s="21">
        <f>EXP(-LN(2)/25)*AV196+(1-EXP(-LN(2)/25))/(LN(2)/25)*Calculateur!AQ197*Calculateur!AS197*VLOOKUP('Données projet'!$B$10,Paramètres!$A$1:$I$89,3,0)*0.475*44/12</f>
        <v>2.1758130334110173</v>
      </c>
      <c r="AW197" s="21">
        <f>EXP(-LN(2)/2)*AW196+(1-EXP(-LN(2)/2))/(LN(2)/2)*AQ197*AT197*VLOOKUP('Données projet'!$B$10,Paramètres!$A$1:$I$89,3,0)*0.475*44/12</f>
        <v>4.3313492517905555E-16</v>
      </c>
      <c r="AX197" s="21">
        <f t="shared" si="166"/>
        <v>7.6127715672895793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359.57284550600366</v>
      </c>
      <c r="BJ197" s="59">
        <f t="shared" ref="BJ197:BJ203" si="206">$BJ$3</f>
        <v>351.38386928091433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5.5435655639546138</v>
      </c>
      <c r="BQ197" s="21">
        <f>EXP(-LN(2)/25)*BQ196+(1-EXP(-LN(2)/25))/(LN(2)/25)*Calculateur!BL197*Calculateur!BN197*VLOOKUP('Données projet'!$B$11,Paramètres!$A$1:$I$89,3,0)*0.475*44/12</f>
        <v>2.2184760340661338</v>
      </c>
      <c r="BR197" s="21">
        <f>EXP(-LN(2)/2)*BR196+(1-EXP(-LN(2)/2))/(LN(2)/2)*BL197*BO197*VLOOKUP('Données projet'!$B$11,Paramètres!$A$1:$I$89,3,0)*0.475*44/12</f>
        <v>4.4162776684923521E-16</v>
      </c>
      <c r="BS197" s="22">
        <f t="shared" si="169"/>
        <v>7.7620415980207476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-8.5265128291212022E-14</v>
      </c>
      <c r="BZ197" s="13">
        <f>BY197*VLOOKUP('Données projet'!$B$12,Paramètres!$A$1:$I$89,3,0)*VLOOKUP('Données projet'!$B$12,Paramètres!$A$1:$I$89,5,0)</f>
        <v>-6.9167072069831198E-14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159.4660488566085</v>
      </c>
      <c r="CE197" s="59">
        <f t="shared" ref="CE197:CE203" si="207">$CE$3</f>
        <v>135.33030558297088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0.90505668088771785</v>
      </c>
      <c r="CM197" s="21">
        <f>EXP(-LN(2)/2)*CM196+(1-EXP(-LN(2)/2))/(LN(2)/2)*CG197*CJ197*VLOOKUP('Données projet'!$B$12,Paramètres!$A$1:$I$89,3,0)*0.475*44/12</f>
        <v>5.5611218792674263E-15</v>
      </c>
      <c r="CN197" s="22">
        <f t="shared" si="172"/>
        <v>0.9050566808877234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353.37479213497227</v>
      </c>
      <c r="CZ197" s="59">
        <f t="shared" ref="CZ197:CZ203" si="208">$CZ$3</f>
        <v>345.4750813433123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5.4369585338785624</v>
      </c>
      <c r="DG197" s="21">
        <f>EXP(-LN(2)/25)*DG196+(1-EXP(-LN(2)/25))/(LN(2)/25)*Calculateur!DB197*Calculateur!DD197*VLOOKUP('Données projet'!$B$13,Paramètres!$A$1:$I$89,3,0)*0.475*44/12</f>
        <v>2.1758130334110173</v>
      </c>
      <c r="DH197" s="21">
        <f>EXP(-LN(2)/2)*DH196+(1-EXP(-LN(2)/2))/(LN(2)/2)*DB197*DE197*VLOOKUP('Données projet'!$B$13,Paramètres!$A$1:$I$89,3,0)*0.475*44/12</f>
        <v>4.3313492517905555E-16</v>
      </c>
      <c r="DI197" s="22">
        <f t="shared" si="175"/>
        <v>7.6127715672895793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7.9580786405131221E-13</v>
      </c>
      <c r="DP197" s="17">
        <f>DO197*VLOOKUP('Données projet'!$B$14,Paramètres!$A$1:$I$89,3,0)*VLOOKUP('Données projet'!$B$14,Paramètres!$A$1:$I$89,5,0)</f>
        <v>7.2004695539362725E-13</v>
      </c>
      <c r="DQ197" s="13">
        <f t="shared" si="176"/>
        <v>8.5963894794935589E-12</v>
      </c>
      <c r="DR197" s="20">
        <f t="shared" si="177"/>
        <v>1.6226126790761848E-11</v>
      </c>
      <c r="DS197" s="59">
        <f t="shared" si="197"/>
        <v>293.33333333334951</v>
      </c>
      <c r="DT197" s="59">
        <f ca="1">AVERAGE(OFFSET($DS$3,0,0,'Données projet'!$E$14+1,1))-AVERAGE(OFFSET($H$3,0,0,'Données projet'!$E$14+1,1))</f>
        <v>635.71275911100679</v>
      </c>
      <c r="DU197" s="59">
        <f t="shared" ref="DU197:DU203" si="209">$DU$3</f>
        <v>281.7776857269169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123.959705022001</v>
      </c>
      <c r="EB197" s="21">
        <f>EXP(-LN(2)/25)*EB196+(1-EXP(-LN(2)/25))/(LN(2)/25)*Calculateur!DW197*Calculateur!DY197*VLOOKUP('Données projet'!$B$14,Paramètres!$A$1:$I$89,3,0)*0.475*44/12</f>
        <v>18.974513488055408</v>
      </c>
      <c r="EC197" s="21">
        <f>EXP(-LN(2)/2)*EC196+(1-EXP(-LN(2)/2))/(LN(2)/2)*DW197*DZ197*VLOOKUP('Données projet'!$B$14,Paramètres!$A$1:$I$89,3,0)*0.475*44/12</f>
        <v>0.2347740764502925</v>
      </c>
      <c r="ED197" s="22">
        <f t="shared" si="178"/>
        <v>143.1689925865067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7.9580786405131221E-13</v>
      </c>
      <c r="EK197" s="17">
        <f>EJ197*VLOOKUP('Données projet'!$B$15,Paramètres!$A$1:$I$89,3,0)*VLOOKUP('Données projet'!$B$15,Paramètres!$A$1:$I$89,5,0)</f>
        <v>5.338279152056202E-13</v>
      </c>
      <c r="EL197" s="13">
        <f t="shared" si="179"/>
        <v>6.5990867302231702E-12</v>
      </c>
      <c r="EM197" s="20">
        <f t="shared" si="180"/>
        <v>1.242315967412181E-11</v>
      </c>
      <c r="EN197" s="59">
        <f t="shared" si="198"/>
        <v>293.33333333334576</v>
      </c>
      <c r="EO197" s="59">
        <f ca="1">AVERAGE(OFFSET($EN$3,0,0,'Données projet'!$E$15+1,1))-AVERAGE(OFFSET($H$3,0,0,'Données projet'!$E$15+1,1))</f>
        <v>482.99915419700773</v>
      </c>
      <c r="EP197" s="59">
        <f t="shared" ref="EP197:EP203" si="210">$EP$3</f>
        <v>219.74157899604279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113.27352355458713</v>
      </c>
      <c r="EW197" s="21">
        <f>EXP(-LN(2)/25)*EW196+(1-EXP(-LN(2)/25))/(LN(2)/25)*Calculateur!ER197*Calculateur!ET197*VLOOKUP('Données projet'!$B$15,Paramètres!$A$1:$I$89,3,0)*0.475*44/12</f>
        <v>17.33877956667132</v>
      </c>
      <c r="EX197" s="21">
        <f>EXP(-LN(2)/2)*EX196+(1-EXP(-LN(2)/2))/(LN(2)/2)*ER197*EU197*VLOOKUP('Données projet'!$B$15,Paramètres!$A$1:$I$89,3,0)*0.475*44/12</f>
        <v>0.17405664288556166</v>
      </c>
      <c r="EY197" s="22">
        <f t="shared" si="181"/>
        <v>130.78635976414401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7.9580786405131221E-13</v>
      </c>
      <c r="FF197" s="17">
        <f>FE197*VLOOKUP('Données projet'!$B$16,Paramètres!$A$1:$I$89,3,0)*VLOOKUP('Données projet'!$B$16,Paramètres!$A$1:$I$89,5,0)</f>
        <v>7.572907634312286E-13</v>
      </c>
      <c r="FG197" s="13">
        <f t="shared" si="182"/>
        <v>8.9881135648416407E-12</v>
      </c>
      <c r="FH197" s="20">
        <f t="shared" si="183"/>
        <v>1.6973245871741914E-11</v>
      </c>
      <c r="FI197" s="59">
        <f t="shared" si="199"/>
        <v>293.33333333335031</v>
      </c>
      <c r="FJ197" s="59">
        <f ca="1">AVERAGE(OFFSET($FI$3,0,0,'Données projet'!$E$16+1,1))-AVERAGE(OFFSET($H$3,0,0,'Données projet'!$E$16+1,1))</f>
        <v>666.1523645983184</v>
      </c>
      <c r="FK197" s="59">
        <f t="shared" ref="FK197:FK203" si="211">$FK$3</f>
        <v>294.13851344047526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130.37141390244926</v>
      </c>
      <c r="FR197" s="21">
        <f>EXP(-LN(2)/25)*FR196+(1-EXP(-LN(2)/25))/(LN(2)/25)*Calculateur!FM197*Calculateur!FO197*VLOOKUP('Données projet'!$B$16,Paramètres!$A$1:$I$89,3,0)*0.475*44/12</f>
        <v>19.955953840885854</v>
      </c>
      <c r="FS197" s="21">
        <f>EXP(-LN(2)/2)*FS196+(1-EXP(-LN(2)/2))/(LN(2)/2)*FM197*FP197*VLOOKUP('Données projet'!$B$16,Paramètres!$A$1:$I$89,3,0)*0.475*44/12</f>
        <v>0.24691756316323862</v>
      </c>
      <c r="FT197" s="22">
        <f t="shared" si="184"/>
        <v>150.57428530649835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328.55631138162721</v>
      </c>
      <c r="T198" s="59">
        <f t="shared" si="204"/>
        <v>321.81422611044985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3.9854322572886005</v>
      </c>
      <c r="AA198" s="21">
        <f>EXP(-LN(2)/25)*AA197+(1-EXP(-LN(2)/25))/(LN(2)/25)*Calculateur!V198*Calculateur!X198*VLOOKUP('Données projet'!$B$9,Paramètres!$A$1:$I$89,3,0)*0.475*44/12</f>
        <v>1.5823430428139578</v>
      </c>
      <c r="AB198" s="21">
        <f>EXP(-LN(2)/2)*AB197+(1-EXP(-LN(2)/2))/(LN(2)/2)*V198*Y198*VLOOKUP('Données projet'!$B$9,Paramètres!$A$1:$I$89,3,0)*0.475*44/12</f>
        <v>2.8225125901673223E-16</v>
      </c>
      <c r="AC198" s="22">
        <f t="shared" si="163"/>
        <v>5.5677753001025581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353.37479213497227</v>
      </c>
      <c r="AO198" s="59">
        <f t="shared" si="205"/>
        <v>345.4750813433123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5.3303430932464604</v>
      </c>
      <c r="AV198" s="21">
        <f>EXP(-LN(2)/25)*AV197+(1-EXP(-LN(2)/25))/(LN(2)/25)*Calculateur!AQ198*Calculateur!AS198*VLOOKUP('Données projet'!$B$10,Paramètres!$A$1:$I$89,3,0)*0.475*44/12</f>
        <v>2.1163153115913587</v>
      </c>
      <c r="AW198" s="21">
        <f>EXP(-LN(2)/2)*AW197+(1-EXP(-LN(2)/2))/(LN(2)/2)*AQ198*AT198*VLOOKUP('Données projet'!$B$10,Paramètres!$A$1:$I$89,3,0)*0.475*44/12</f>
        <v>3.0627264276283806E-16</v>
      </c>
      <c r="AX198" s="21">
        <f t="shared" si="166"/>
        <v>7.4466584048378195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359.57284550600366</v>
      </c>
      <c r="BJ198" s="59">
        <f t="shared" si="206"/>
        <v>351.38386928091433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5.4348596244865881</v>
      </c>
      <c r="BQ198" s="21">
        <f>EXP(-LN(2)/25)*BQ197+(1-EXP(-LN(2)/25))/(LN(2)/25)*Calculateur!BL198*Calculateur!BN198*VLOOKUP('Données projet'!$B$11,Paramètres!$A$1:$I$89,3,0)*0.475*44/12</f>
        <v>2.1578116902500111</v>
      </c>
      <c r="BR198" s="21">
        <f>EXP(-LN(2)/2)*BR197+(1-EXP(-LN(2)/2))/(LN(2)/2)*BL198*BO198*VLOOKUP('Données projet'!$B$11,Paramètres!$A$1:$I$89,3,0)*0.475*44/12</f>
        <v>3.1227798869936581E-16</v>
      </c>
      <c r="BS198" s="22">
        <f t="shared" si="169"/>
        <v>7.5926713147365987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-8.5265128291212022E-14</v>
      </c>
      <c r="BZ198" s="13">
        <f>BY198*VLOOKUP('Données projet'!$B$12,Paramètres!$A$1:$I$89,3,0)*VLOOKUP('Données projet'!$B$12,Paramètres!$A$1:$I$89,5,0)</f>
        <v>-6.9167072069831198E-14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159.4660488566085</v>
      </c>
      <c r="CE198" s="59">
        <f t="shared" si="207"/>
        <v>135.33030558297088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0.88030785835398084</v>
      </c>
      <c r="CM198" s="21">
        <f>EXP(-LN(2)/2)*CM197+(1-EXP(-LN(2)/2))/(LN(2)/2)*CG198*CJ198*VLOOKUP('Données projet'!$B$12,Paramètres!$A$1:$I$89,3,0)*0.475*44/12</f>
        <v>3.9323069918348738E-15</v>
      </c>
      <c r="CN198" s="22">
        <f t="shared" si="172"/>
        <v>0.88030785835398473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353.37479213497227</v>
      </c>
      <c r="CZ198" s="59">
        <f t="shared" si="208"/>
        <v>345.4750813433123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5.3303430932464604</v>
      </c>
      <c r="DG198" s="21">
        <f>EXP(-LN(2)/25)*DG197+(1-EXP(-LN(2)/25))/(LN(2)/25)*Calculateur!DB198*Calculateur!DD198*VLOOKUP('Données projet'!$B$13,Paramètres!$A$1:$I$89,3,0)*0.475*44/12</f>
        <v>2.1163153115913587</v>
      </c>
      <c r="DH198" s="21">
        <f>EXP(-LN(2)/2)*DH197+(1-EXP(-LN(2)/2))/(LN(2)/2)*DB198*DE198*VLOOKUP('Données projet'!$B$13,Paramètres!$A$1:$I$89,3,0)*0.475*44/12</f>
        <v>3.0627264276283806E-16</v>
      </c>
      <c r="DI198" s="22">
        <f t="shared" si="175"/>
        <v>7.4466584048378195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7.9580786405131221E-13</v>
      </c>
      <c r="DP198" s="17">
        <f>DO198*VLOOKUP('Données projet'!$B$14,Paramètres!$A$1:$I$89,3,0)*VLOOKUP('Données projet'!$B$14,Paramètres!$A$1:$I$89,5,0)</f>
        <v>7.2004695539362725E-13</v>
      </c>
      <c r="DQ198" s="13">
        <f t="shared" si="176"/>
        <v>8.5963894794935589E-12</v>
      </c>
      <c r="DR198" s="20">
        <f t="shared" si="177"/>
        <v>1.6226126790761848E-11</v>
      </c>
      <c r="DS198" s="59">
        <f t="shared" si="197"/>
        <v>293.33333333334951</v>
      </c>
      <c r="DT198" s="59">
        <f ca="1">AVERAGE(OFFSET($DS$3,0,0,'Données projet'!$E$14+1,1))-AVERAGE(OFFSET($H$3,0,0,'Données projet'!$E$14+1,1))</f>
        <v>635.71275911100679</v>
      </c>
      <c r="DU198" s="59">
        <f t="shared" si="209"/>
        <v>281.7776857269169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121.52893081447397</v>
      </c>
      <c r="EB198" s="21">
        <f>EXP(-LN(2)/25)*EB197+(1-EXP(-LN(2)/25))/(LN(2)/25)*Calculateur!DW198*Calculateur!DY198*VLOOKUP('Données projet'!$B$14,Paramètres!$A$1:$I$89,3,0)*0.475*44/12</f>
        <v>18.455654418898234</v>
      </c>
      <c r="EC198" s="21">
        <f>EXP(-LN(2)/2)*EC197+(1-EXP(-LN(2)/2))/(LN(2)/2)*DW198*DZ198*VLOOKUP('Données projet'!$B$14,Paramètres!$A$1:$I$89,3,0)*0.475*44/12</f>
        <v>0.16601034150481075</v>
      </c>
      <c r="ED198" s="22">
        <f t="shared" si="178"/>
        <v>140.150595574877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7.9580786405131221E-13</v>
      </c>
      <c r="EK198" s="17">
        <f>EJ198*VLOOKUP('Données projet'!$B$15,Paramètres!$A$1:$I$89,3,0)*VLOOKUP('Données projet'!$B$15,Paramètres!$A$1:$I$89,5,0)</f>
        <v>5.338279152056202E-13</v>
      </c>
      <c r="EL198" s="13">
        <f t="shared" si="179"/>
        <v>6.5990867302231702E-12</v>
      </c>
      <c r="EM198" s="20">
        <f t="shared" si="180"/>
        <v>1.242315967412181E-11</v>
      </c>
      <c r="EN198" s="59">
        <f t="shared" si="198"/>
        <v>293.33333333334576</v>
      </c>
      <c r="EO198" s="59">
        <f ca="1">AVERAGE(OFFSET($EN$3,0,0,'Données projet'!$E$15+1,1))-AVERAGE(OFFSET($H$3,0,0,'Données projet'!$E$15+1,1))</f>
        <v>482.99915419700773</v>
      </c>
      <c r="EP198" s="59">
        <f t="shared" si="210"/>
        <v>219.74157899604279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111.05229884770897</v>
      </c>
      <c r="EW198" s="21">
        <f>EXP(-LN(2)/25)*EW197+(1-EXP(-LN(2)/25))/(LN(2)/25)*Calculateur!ER198*Calculateur!ET198*VLOOKUP('Données projet'!$B$15,Paramètres!$A$1:$I$89,3,0)*0.475*44/12</f>
        <v>16.864649727613905</v>
      </c>
      <c r="EX198" s="21">
        <f>EXP(-LN(2)/2)*EX197+(1-EXP(-LN(2)/2))/(LN(2)/2)*ER198*EU198*VLOOKUP('Données projet'!$B$15,Paramètres!$A$1:$I$89,3,0)*0.475*44/12</f>
        <v>0.12307663249494591</v>
      </c>
      <c r="EY198" s="22">
        <f t="shared" si="181"/>
        <v>128.04002520781782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7.9580786405131221E-13</v>
      </c>
      <c r="FF198" s="17">
        <f>FE198*VLOOKUP('Données projet'!$B$16,Paramètres!$A$1:$I$89,3,0)*VLOOKUP('Données projet'!$B$16,Paramètres!$A$1:$I$89,5,0)</f>
        <v>7.572907634312286E-13</v>
      </c>
      <c r="FG198" s="13">
        <f t="shared" si="182"/>
        <v>8.9881135648416407E-12</v>
      </c>
      <c r="FH198" s="20">
        <f t="shared" si="183"/>
        <v>1.6973245871741914E-11</v>
      </c>
      <c r="FI198" s="59">
        <f t="shared" si="199"/>
        <v>293.33333333335031</v>
      </c>
      <c r="FJ198" s="59">
        <f ca="1">AVERAGE(OFFSET($FI$3,0,0,'Données projet'!$E$16+1,1))-AVERAGE(OFFSET($H$3,0,0,'Données projet'!$E$16+1,1))</f>
        <v>666.1523645983184</v>
      </c>
      <c r="FK198" s="59">
        <f t="shared" si="211"/>
        <v>294.13851344047526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127.8149099945329</v>
      </c>
      <c r="FR198" s="21">
        <f>EXP(-LN(2)/25)*FR197+(1-EXP(-LN(2)/25))/(LN(2)/25)*Calculateur!FM198*Calculateur!FO198*VLOOKUP('Données projet'!$B$16,Paramètres!$A$1:$I$89,3,0)*0.475*44/12</f>
        <v>19.41025723366883</v>
      </c>
      <c r="FS198" s="21">
        <f>EXP(-LN(2)/2)*FS197+(1-EXP(-LN(2)/2))/(LN(2)/2)*FM198*FP198*VLOOKUP('Données projet'!$B$16,Paramètres!$A$1:$I$89,3,0)*0.475*44/12</f>
        <v>0.17459708330678372</v>
      </c>
      <c r="FT198" s="22">
        <f t="shared" si="184"/>
        <v>147.39976431150851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328.55631138162721</v>
      </c>
      <c r="T199" s="59">
        <f t="shared" si="204"/>
        <v>321.81422611044985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3.9072803615968192</v>
      </c>
      <c r="AA199" s="21">
        <f>EXP(-LN(2)/25)*AA198+(1-EXP(-LN(2)/25))/(LN(2)/25)*Calculateur!V199*Calculateur!X199*VLOOKUP('Données projet'!$B$9,Paramètres!$A$1:$I$89,3,0)*0.475*44/12</f>
        <v>1.5390737890964059</v>
      </c>
      <c r="AB199" s="21">
        <f>EXP(-LN(2)/2)*AB198+(1-EXP(-LN(2)/2))/(LN(2)/2)*V199*Y199*VLOOKUP('Données projet'!$B$9,Paramètres!$A$1:$I$89,3,0)*0.475*44/12</f>
        <v>1.9958177924917203E-16</v>
      </c>
      <c r="AC199" s="22">
        <f t="shared" si="163"/>
        <v>5.4463541506932254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353.37479213497227</v>
      </c>
      <c r="AO199" s="59">
        <f t="shared" si="205"/>
        <v>345.4750813433123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5.2258183163761558</v>
      </c>
      <c r="AV199" s="21">
        <f>EXP(-LN(2)/25)*AV198+(1-EXP(-LN(2)/25))/(LN(2)/25)*Calculateur!AQ199*Calculateur!AS199*VLOOKUP('Données projet'!$B$10,Paramètres!$A$1:$I$89,3,0)*0.475*44/12</f>
        <v>2.0584445581037074</v>
      </c>
      <c r="AW199" s="21">
        <f>EXP(-LN(2)/2)*AW198+(1-EXP(-LN(2)/2))/(LN(2)/2)*AQ199*AT199*VLOOKUP('Données projet'!$B$10,Paramètres!$A$1:$I$89,3,0)*0.475*44/12</f>
        <v>2.1656746258952777E-16</v>
      </c>
      <c r="AX199" s="21">
        <f t="shared" si="166"/>
        <v>7.2842628744798628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359.57284550600366</v>
      </c>
      <c r="BJ199" s="59">
        <f t="shared" si="206"/>
        <v>351.38386928091433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5.3282853421874545</v>
      </c>
      <c r="BQ199" s="21">
        <f>EXP(-LN(2)/25)*BQ198+(1-EXP(-LN(2)/25))/(LN(2)/25)*Calculateur!BL199*Calculateur!BN199*VLOOKUP('Données projet'!$B$11,Paramètres!$A$1:$I$89,3,0)*0.475*44/12</f>
        <v>2.0988062161057393</v>
      </c>
      <c r="BR199" s="21">
        <f>EXP(-LN(2)/2)*BR198+(1-EXP(-LN(2)/2))/(LN(2)/2)*BL199*BO199*VLOOKUP('Données projet'!$B$11,Paramètres!$A$1:$I$89,3,0)*0.475*44/12</f>
        <v>2.2081388342461763E-16</v>
      </c>
      <c r="BS199" s="22">
        <f t="shared" si="169"/>
        <v>7.4270915582931938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-8.5265128291212022E-14</v>
      </c>
      <c r="BZ199" s="13">
        <f>BY199*VLOOKUP('Données projet'!$B$12,Paramètres!$A$1:$I$89,3,0)*VLOOKUP('Données projet'!$B$12,Paramètres!$A$1:$I$89,5,0)</f>
        <v>-6.9167072069831198E-14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159.4660488566085</v>
      </c>
      <c r="CE199" s="59">
        <f t="shared" si="207"/>
        <v>135.33030558297088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0.85623579367391289</v>
      </c>
      <c r="CM199" s="21">
        <f>EXP(-LN(2)/2)*CM198+(1-EXP(-LN(2)/2))/(LN(2)/2)*CG199*CJ199*VLOOKUP('Données projet'!$B$12,Paramètres!$A$1:$I$89,3,0)*0.475*44/12</f>
        <v>2.7805609396337131E-15</v>
      </c>
      <c r="CN199" s="22">
        <f t="shared" si="172"/>
        <v>0.85623579367391567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353.37479213497227</v>
      </c>
      <c r="CZ199" s="59">
        <f t="shared" si="208"/>
        <v>345.4750813433123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5.2258183163761558</v>
      </c>
      <c r="DG199" s="21">
        <f>EXP(-LN(2)/25)*DG198+(1-EXP(-LN(2)/25))/(LN(2)/25)*Calculateur!DB199*Calculateur!DD199*VLOOKUP('Données projet'!$B$13,Paramètres!$A$1:$I$89,3,0)*0.475*44/12</f>
        <v>2.0584445581037074</v>
      </c>
      <c r="DH199" s="21">
        <f>EXP(-LN(2)/2)*DH198+(1-EXP(-LN(2)/2))/(LN(2)/2)*DB199*DE199*VLOOKUP('Données projet'!$B$13,Paramètres!$A$1:$I$89,3,0)*0.475*44/12</f>
        <v>2.1656746258952777E-16</v>
      </c>
      <c r="DI199" s="22">
        <f t="shared" si="175"/>
        <v>7.2842628744798628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7.9580786405131221E-13</v>
      </c>
      <c r="DP199" s="17">
        <f>DO199*VLOOKUP('Données projet'!$B$14,Paramètres!$A$1:$I$89,3,0)*VLOOKUP('Données projet'!$B$14,Paramètres!$A$1:$I$89,5,0)</f>
        <v>7.2004695539362725E-13</v>
      </c>
      <c r="DQ199" s="13">
        <f t="shared" si="176"/>
        <v>8.5963894794935589E-12</v>
      </c>
      <c r="DR199" s="20">
        <f t="shared" si="177"/>
        <v>1.6226126790761848E-11</v>
      </c>
      <c r="DS199" s="59">
        <f t="shared" si="197"/>
        <v>293.33333333334951</v>
      </c>
      <c r="DT199" s="59">
        <f ca="1">AVERAGE(OFFSET($DS$3,0,0,'Données projet'!$E$14+1,1))-AVERAGE(OFFSET($H$3,0,0,'Données projet'!$E$14+1,1))</f>
        <v>635.71275911100679</v>
      </c>
      <c r="DU199" s="59">
        <f t="shared" si="209"/>
        <v>281.7776857269169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119.14582260653066</v>
      </c>
      <c r="EB199" s="21">
        <f>EXP(-LN(2)/25)*EB198+(1-EXP(-LN(2)/25))/(LN(2)/25)*Calculateur!DW199*Calculateur!DY199*VLOOKUP('Données projet'!$B$14,Paramètres!$A$1:$I$89,3,0)*0.475*44/12</f>
        <v>17.950983578272776</v>
      </c>
      <c r="EC199" s="21">
        <f>EXP(-LN(2)/2)*EC198+(1-EXP(-LN(2)/2))/(LN(2)/2)*DW199*DZ199*VLOOKUP('Données projet'!$B$14,Paramètres!$A$1:$I$89,3,0)*0.475*44/12</f>
        <v>0.11738703822514625</v>
      </c>
      <c r="ED199" s="22">
        <f t="shared" si="178"/>
        <v>137.21419322302856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7.9580786405131221E-13</v>
      </c>
      <c r="EK199" s="17">
        <f>EJ199*VLOOKUP('Données projet'!$B$15,Paramètres!$A$1:$I$89,3,0)*VLOOKUP('Données projet'!$B$15,Paramètres!$A$1:$I$89,5,0)</f>
        <v>5.338279152056202E-13</v>
      </c>
      <c r="EL199" s="13">
        <f t="shared" si="179"/>
        <v>6.5990867302231702E-12</v>
      </c>
      <c r="EM199" s="20">
        <f t="shared" si="180"/>
        <v>1.242315967412181E-11</v>
      </c>
      <c r="EN199" s="59">
        <f t="shared" si="198"/>
        <v>293.33333333334576</v>
      </c>
      <c r="EO199" s="59">
        <f ca="1">AVERAGE(OFFSET($EN$3,0,0,'Données projet'!$E$15+1,1))-AVERAGE(OFFSET($H$3,0,0,'Données projet'!$E$15+1,1))</f>
        <v>482.99915419700773</v>
      </c>
      <c r="EP199" s="59">
        <f t="shared" si="210"/>
        <v>219.74157899604279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108.87463100251939</v>
      </c>
      <c r="EW199" s="21">
        <f>EXP(-LN(2)/25)*EW198+(1-EXP(-LN(2)/25))/(LN(2)/25)*Calculateur!ER199*Calculateur!ET199*VLOOKUP('Données projet'!$B$15,Paramètres!$A$1:$I$89,3,0)*0.475*44/12</f>
        <v>16.403484993938918</v>
      </c>
      <c r="EX199" s="21">
        <f>EXP(-LN(2)/2)*EX198+(1-EXP(-LN(2)/2))/(LN(2)/2)*ER199*EU199*VLOOKUP('Données projet'!$B$15,Paramètres!$A$1:$I$89,3,0)*0.475*44/12</f>
        <v>8.7028321442780845E-2</v>
      </c>
      <c r="EY199" s="22">
        <f t="shared" si="181"/>
        <v>125.3651443179011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7.9580786405131221E-13</v>
      </c>
      <c r="FF199" s="17">
        <f>FE199*VLOOKUP('Données projet'!$B$16,Paramètres!$A$1:$I$89,3,0)*VLOOKUP('Données projet'!$B$16,Paramètres!$A$1:$I$89,5,0)</f>
        <v>7.572907634312286E-13</v>
      </c>
      <c r="FG199" s="13">
        <f t="shared" si="182"/>
        <v>8.9881135648416407E-12</v>
      </c>
      <c r="FH199" s="20">
        <f t="shared" si="183"/>
        <v>1.6973245871741914E-11</v>
      </c>
      <c r="FI199" s="59">
        <f t="shared" si="199"/>
        <v>293.33333333335031</v>
      </c>
      <c r="FJ199" s="59">
        <f ca="1">AVERAGE(OFFSET($FI$3,0,0,'Données projet'!$E$16+1,1))-AVERAGE(OFFSET($H$3,0,0,'Données projet'!$E$16+1,1))</f>
        <v>666.1523645983184</v>
      </c>
      <c r="FK199" s="59">
        <f t="shared" si="211"/>
        <v>294.13851344047526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125.30853756893735</v>
      </c>
      <c r="FR199" s="21">
        <f>EXP(-LN(2)/25)*FR198+(1-EXP(-LN(2)/25))/(LN(2)/25)*Calculateur!FM199*Calculateur!FO199*VLOOKUP('Données projet'!$B$16,Paramètres!$A$1:$I$89,3,0)*0.475*44/12</f>
        <v>18.879482728873089</v>
      </c>
      <c r="FS199" s="21">
        <f>EXP(-LN(2)/2)*FS198+(1-EXP(-LN(2)/2))/(LN(2)/2)*FM199*FP199*VLOOKUP('Données projet'!$B$16,Paramètres!$A$1:$I$89,3,0)*0.475*44/12</f>
        <v>0.12345878158161934</v>
      </c>
      <c r="FT199" s="22">
        <f t="shared" si="184"/>
        <v>144.31147907939209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328.55631138162721</v>
      </c>
      <c r="T200" s="59">
        <f t="shared" si="204"/>
        <v>321.81422611044985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3.830660976911604</v>
      </c>
      <c r="AA200" s="21">
        <f>EXP(-LN(2)/25)*AA199+(1-EXP(-LN(2)/25))/(LN(2)/25)*Calculateur!V200*Calculateur!X200*VLOOKUP('Données projet'!$B$9,Paramètres!$A$1:$I$89,3,0)*0.475*44/12</f>
        <v>1.4969877353971917</v>
      </c>
      <c r="AB200" s="21">
        <f>EXP(-LN(2)/2)*AB199+(1-EXP(-LN(2)/2))/(LN(2)/2)*V200*Y200*VLOOKUP('Données projet'!$B$9,Paramètres!$A$1:$I$89,3,0)*0.475*44/12</f>
        <v>1.4112562950836612E-16</v>
      </c>
      <c r="AC200" s="22">
        <f t="shared" si="163"/>
        <v>5.3276487123087959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353.37479213497227</v>
      </c>
      <c r="AO200" s="59">
        <f t="shared" si="205"/>
        <v>345.4750813433123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5.1233432066264593</v>
      </c>
      <c r="AV200" s="21">
        <f>EXP(-LN(2)/25)*AV199+(1-EXP(-LN(2)/25))/(LN(2)/25)*Calculateur!AQ200*Calculateur!AS200*VLOOKUP('Données projet'!$B$10,Paramètres!$A$1:$I$89,3,0)*0.475*44/12</f>
        <v>2.0021562834134667</v>
      </c>
      <c r="AW200" s="21">
        <f>EXP(-LN(2)/2)*AW199+(1-EXP(-LN(2)/2))/(LN(2)/2)*AQ200*AT200*VLOOKUP('Données projet'!$B$10,Paramètres!$A$1:$I$89,3,0)*0.475*44/12</f>
        <v>1.5313632138141903E-16</v>
      </c>
      <c r="AX200" s="21">
        <f t="shared" si="166"/>
        <v>7.1254994900399264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359.57284550600366</v>
      </c>
      <c r="BJ200" s="59">
        <f t="shared" si="206"/>
        <v>351.38386928091433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5.2238009165603128</v>
      </c>
      <c r="BQ200" s="21">
        <f>EXP(-LN(2)/25)*BQ199+(1-EXP(-LN(2)/25))/(LN(2)/25)*Calculateur!BL200*Calculateur!BN200*VLOOKUP('Données projet'!$B$11,Paramètres!$A$1:$I$89,3,0)*0.475*44/12</f>
        <v>2.0414142497549057</v>
      </c>
      <c r="BR200" s="21">
        <f>EXP(-LN(2)/2)*BR199+(1-EXP(-LN(2)/2))/(LN(2)/2)*BL200*BO200*VLOOKUP('Données projet'!$B$11,Paramètres!$A$1:$I$89,3,0)*0.475*44/12</f>
        <v>1.5613899434968293E-16</v>
      </c>
      <c r="BS200" s="22">
        <f t="shared" si="169"/>
        <v>7.2652151663152189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-8.5265128291212022E-14</v>
      </c>
      <c r="BZ200" s="13">
        <f>BY200*VLOOKUP('Données projet'!$B$12,Paramètres!$A$1:$I$89,3,0)*VLOOKUP('Données projet'!$B$12,Paramètres!$A$1:$I$89,5,0)</f>
        <v>-6.9167072069831198E-14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159.4660488566085</v>
      </c>
      <c r="CE200" s="59">
        <f t="shared" si="207"/>
        <v>135.33030558297088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0.8328219808684163</v>
      </c>
      <c r="CM200" s="21">
        <f>EXP(-LN(2)/2)*CM199+(1-EXP(-LN(2)/2))/(LN(2)/2)*CG200*CJ200*VLOOKUP('Données projet'!$B$12,Paramètres!$A$1:$I$89,3,0)*0.475*44/12</f>
        <v>1.9661534959174369E-15</v>
      </c>
      <c r="CN200" s="22">
        <f t="shared" si="172"/>
        <v>0.8328219808684183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353.37479213497227</v>
      </c>
      <c r="CZ200" s="59">
        <f t="shared" si="208"/>
        <v>345.4750813433123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5.1233432066264593</v>
      </c>
      <c r="DG200" s="21">
        <f>EXP(-LN(2)/25)*DG199+(1-EXP(-LN(2)/25))/(LN(2)/25)*Calculateur!DB200*Calculateur!DD200*VLOOKUP('Données projet'!$B$13,Paramètres!$A$1:$I$89,3,0)*0.475*44/12</f>
        <v>2.0021562834134667</v>
      </c>
      <c r="DH200" s="21">
        <f>EXP(-LN(2)/2)*DH199+(1-EXP(-LN(2)/2))/(LN(2)/2)*DB200*DE200*VLOOKUP('Données projet'!$B$13,Paramètres!$A$1:$I$89,3,0)*0.475*44/12</f>
        <v>1.5313632138141903E-16</v>
      </c>
      <c r="DI200" s="22">
        <f t="shared" si="175"/>
        <v>7.1254994900399264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7.9580786405131221E-13</v>
      </c>
      <c r="DP200" s="17">
        <f>DO200*VLOOKUP('Données projet'!$B$14,Paramètres!$A$1:$I$89,3,0)*VLOOKUP('Données projet'!$B$14,Paramètres!$A$1:$I$89,5,0)</f>
        <v>7.2004695539362725E-13</v>
      </c>
      <c r="DQ200" s="13">
        <f t="shared" si="176"/>
        <v>8.5963894794935589E-12</v>
      </c>
      <c r="DR200" s="20">
        <f t="shared" si="177"/>
        <v>1.6226126790761848E-11</v>
      </c>
      <c r="DS200" s="59">
        <f t="shared" si="197"/>
        <v>293.33333333334951</v>
      </c>
      <c r="DT200" s="59">
        <f ca="1">AVERAGE(OFFSET($DS$3,0,0,'Données projet'!$E$14+1,1))-AVERAGE(OFFSET($H$3,0,0,'Données projet'!$E$14+1,1))</f>
        <v>635.71275911100679</v>
      </c>
      <c r="DU200" s="59">
        <f t="shared" si="209"/>
        <v>281.7776857269169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116.80944569699264</v>
      </c>
      <c r="EB200" s="21">
        <f>EXP(-LN(2)/25)*EB199+(1-EXP(-LN(2)/25))/(LN(2)/25)*Calculateur!DW200*Calculateur!DY200*VLOOKUP('Données projet'!$B$14,Paramètres!$A$1:$I$89,3,0)*0.475*44/12</f>
        <v>17.460112988323708</v>
      </c>
      <c r="EC200" s="21">
        <f>EXP(-LN(2)/2)*EC199+(1-EXP(-LN(2)/2))/(LN(2)/2)*DW200*DZ200*VLOOKUP('Données projet'!$B$14,Paramètres!$A$1:$I$89,3,0)*0.475*44/12</f>
        <v>8.3005170752405377E-2</v>
      </c>
      <c r="ED200" s="22">
        <f t="shared" si="178"/>
        <v>134.35256385606877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7.9580786405131221E-13</v>
      </c>
      <c r="EK200" s="17">
        <f>EJ200*VLOOKUP('Données projet'!$B$15,Paramètres!$A$1:$I$89,3,0)*VLOOKUP('Données projet'!$B$15,Paramètres!$A$1:$I$89,5,0)</f>
        <v>5.338279152056202E-13</v>
      </c>
      <c r="EL200" s="13">
        <f t="shared" si="179"/>
        <v>6.5990867302231702E-12</v>
      </c>
      <c r="EM200" s="20">
        <f t="shared" si="180"/>
        <v>1.242315967412181E-11</v>
      </c>
      <c r="EN200" s="59">
        <f t="shared" si="198"/>
        <v>293.33333333334576</v>
      </c>
      <c r="EO200" s="59">
        <f ca="1">AVERAGE(OFFSET($EN$3,0,0,'Données projet'!$E$15+1,1))-AVERAGE(OFFSET($H$3,0,0,'Données projet'!$E$15+1,1))</f>
        <v>482.99915419700773</v>
      </c>
      <c r="EP200" s="59">
        <f t="shared" si="210"/>
        <v>219.74157899604279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106.73966589552775</v>
      </c>
      <c r="EW200" s="21">
        <f>EXP(-LN(2)/25)*EW199+(1-EXP(-LN(2)/25))/(LN(2)/25)*Calculateur!ER200*Calculateur!ET200*VLOOKUP('Données projet'!$B$15,Paramètres!$A$1:$I$89,3,0)*0.475*44/12</f>
        <v>15.954930834157873</v>
      </c>
      <c r="EX200" s="21">
        <f>EXP(-LN(2)/2)*EX199+(1-EXP(-LN(2)/2))/(LN(2)/2)*ER200*EU200*VLOOKUP('Données projet'!$B$15,Paramètres!$A$1:$I$89,3,0)*0.475*44/12</f>
        <v>6.1538316247472961E-2</v>
      </c>
      <c r="EY200" s="22">
        <f t="shared" si="181"/>
        <v>122.75613504593311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7.9580786405131221E-13</v>
      </c>
      <c r="FF200" s="17">
        <f>FE200*VLOOKUP('Données projet'!$B$16,Paramètres!$A$1:$I$89,3,0)*VLOOKUP('Données projet'!$B$16,Paramètres!$A$1:$I$89,5,0)</f>
        <v>7.572907634312286E-13</v>
      </c>
      <c r="FG200" s="13">
        <f t="shared" si="182"/>
        <v>8.9881135648416407E-12</v>
      </c>
      <c r="FH200" s="20">
        <f t="shared" si="183"/>
        <v>1.6973245871741914E-11</v>
      </c>
      <c r="FI200" s="59">
        <f t="shared" si="199"/>
        <v>293.33333333335031</v>
      </c>
      <c r="FJ200" s="59">
        <f ca="1">AVERAGE(OFFSET($FI$3,0,0,'Données projet'!$E$16+1,1))-AVERAGE(OFFSET($H$3,0,0,'Données projet'!$E$16+1,1))</f>
        <v>666.1523645983184</v>
      </c>
      <c r="FK200" s="59">
        <f t="shared" si="211"/>
        <v>294.13851344047526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122.85131357787151</v>
      </c>
      <c r="FR200" s="21">
        <f>EXP(-LN(2)/25)*FR199+(1-EXP(-LN(2)/25))/(LN(2)/25)*Calculateur!FM200*Calculateur!FO200*VLOOKUP('Données projet'!$B$16,Paramètres!$A$1:$I$89,3,0)*0.475*44/12</f>
        <v>18.363222280823209</v>
      </c>
      <c r="FS200" s="21">
        <f>EXP(-LN(2)/2)*FS199+(1-EXP(-LN(2)/2))/(LN(2)/2)*FM200*FP200*VLOOKUP('Données projet'!$B$16,Paramètres!$A$1:$I$89,3,0)*0.475*44/12</f>
        <v>8.7298541653391876E-2</v>
      </c>
      <c r="FT200" s="22">
        <f t="shared" si="184"/>
        <v>141.3018344003481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328.55631138162721</v>
      </c>
      <c r="T201" s="59">
        <f t="shared" si="204"/>
        <v>321.81422611044985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3.7555440516268557</v>
      </c>
      <c r="AA201" s="21">
        <f>EXP(-LN(2)/25)*AA200+(1-EXP(-LN(2)/25))/(LN(2)/25)*Calculateur!V201*Calculateur!X201*VLOOKUP('Données projet'!$B$9,Paramètres!$A$1:$I$89,3,0)*0.475*44/12</f>
        <v>1.4560525270495919</v>
      </c>
      <c r="AB201" s="21">
        <f>EXP(-LN(2)/2)*AB200+(1-EXP(-LN(2)/2))/(LN(2)/2)*V201*Y201*VLOOKUP('Données projet'!$B$9,Paramètres!$A$1:$I$89,3,0)*0.475*44/12</f>
        <v>9.9790889624586016E-17</v>
      </c>
      <c r="AC201" s="22">
        <f t="shared" si="163"/>
        <v>5.2115965786764473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353.37479213497227</v>
      </c>
      <c r="AO201" s="59">
        <f t="shared" si="205"/>
        <v>345.4750813433123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5.0228775712753091</v>
      </c>
      <c r="AV201" s="21">
        <f>EXP(-LN(2)/25)*AV200+(1-EXP(-LN(2)/25))/(LN(2)/25)*Calculateur!AQ201*Calculateur!AS201*VLOOKUP('Données projet'!$B$10,Paramètres!$A$1:$I$89,3,0)*0.475*44/12</f>
        <v>1.9474072145547026</v>
      </c>
      <c r="AW201" s="21">
        <f>EXP(-LN(2)/2)*AW200+(1-EXP(-LN(2)/2))/(LN(2)/2)*AQ201*AT201*VLOOKUP('Données projet'!$B$10,Paramètres!$A$1:$I$89,3,0)*0.475*44/12</f>
        <v>1.0828373129476389E-16</v>
      </c>
      <c r="AX201" s="21">
        <f t="shared" si="166"/>
        <v>6.9702847858300121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359.57284550600366</v>
      </c>
      <c r="BJ201" s="59">
        <f t="shared" si="206"/>
        <v>351.38386928091433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5.1213653667905126</v>
      </c>
      <c r="BQ201" s="21">
        <f>EXP(-LN(2)/25)*BQ200+(1-EXP(-LN(2)/25))/(LN(2)/25)*Calculateur!BL201*Calculateur!BN201*VLOOKUP('Données projet'!$B$11,Paramètres!$A$1:$I$89,3,0)*0.475*44/12</f>
        <v>1.9855916697420481</v>
      </c>
      <c r="BR201" s="21">
        <f>EXP(-LN(2)/2)*BR200+(1-EXP(-LN(2)/2))/(LN(2)/2)*BL201*BO201*VLOOKUP('Données projet'!$B$11,Paramètres!$A$1:$I$89,3,0)*0.475*44/12</f>
        <v>1.1040694171230884E-16</v>
      </c>
      <c r="BS201" s="22">
        <f t="shared" si="169"/>
        <v>7.1069570365325605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-8.5265128291212022E-14</v>
      </c>
      <c r="BZ201" s="13">
        <f>BY201*VLOOKUP('Données projet'!$B$12,Paramètres!$A$1:$I$89,3,0)*VLOOKUP('Données projet'!$B$12,Paramètres!$A$1:$I$89,5,0)</f>
        <v>-6.9167072069831198E-14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159.4660488566085</v>
      </c>
      <c r="CE201" s="59">
        <f t="shared" si="207"/>
        <v>135.33030558297088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0.81004842000536492</v>
      </c>
      <c r="CM201" s="21">
        <f>EXP(-LN(2)/2)*CM200+(1-EXP(-LN(2)/2))/(LN(2)/2)*CG201*CJ201*VLOOKUP('Données projet'!$B$12,Paramètres!$A$1:$I$89,3,0)*0.475*44/12</f>
        <v>1.3902804698168566E-15</v>
      </c>
      <c r="CN201" s="22">
        <f t="shared" si="172"/>
        <v>0.81004842000536637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353.37479213497227</v>
      </c>
      <c r="CZ201" s="59">
        <f t="shared" si="208"/>
        <v>345.4750813433123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5.0228775712753091</v>
      </c>
      <c r="DG201" s="21">
        <f>EXP(-LN(2)/25)*DG200+(1-EXP(-LN(2)/25))/(LN(2)/25)*Calculateur!DB201*Calculateur!DD201*VLOOKUP('Données projet'!$B$13,Paramètres!$A$1:$I$89,3,0)*0.475*44/12</f>
        <v>1.9474072145547026</v>
      </c>
      <c r="DH201" s="21">
        <f>EXP(-LN(2)/2)*DH200+(1-EXP(-LN(2)/2))/(LN(2)/2)*DB201*DE201*VLOOKUP('Données projet'!$B$13,Paramètres!$A$1:$I$89,3,0)*0.475*44/12</f>
        <v>1.0828373129476389E-16</v>
      </c>
      <c r="DI201" s="22">
        <f t="shared" si="175"/>
        <v>6.9702847858300121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7.9580786405131221E-13</v>
      </c>
      <c r="DP201" s="17">
        <f>DO201*VLOOKUP('Données projet'!$B$14,Paramètres!$A$1:$I$89,3,0)*VLOOKUP('Données projet'!$B$14,Paramètres!$A$1:$I$89,5,0)</f>
        <v>7.2004695539362725E-13</v>
      </c>
      <c r="DQ201" s="13">
        <f t="shared" si="176"/>
        <v>8.5963894794935589E-12</v>
      </c>
      <c r="DR201" s="20">
        <f t="shared" si="177"/>
        <v>1.6226126790761848E-11</v>
      </c>
      <c r="DS201" s="59">
        <f t="shared" si="197"/>
        <v>293.33333333334951</v>
      </c>
      <c r="DT201" s="59">
        <f ca="1">AVERAGE(OFFSET($DS$3,0,0,'Données projet'!$E$14+1,1))-AVERAGE(OFFSET($H$3,0,0,'Données projet'!$E$14+1,1))</f>
        <v>635.71275911100679</v>
      </c>
      <c r="DU201" s="59">
        <f t="shared" si="209"/>
        <v>281.7776857269169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114.51888371360145</v>
      </c>
      <c r="EB201" s="21">
        <f>EXP(-LN(2)/25)*EB200+(1-EXP(-LN(2)/25))/(LN(2)/25)*Calculateur!DW201*Calculateur!DY201*VLOOKUP('Données projet'!$B$14,Paramètres!$A$1:$I$89,3,0)*0.475*44/12</f>
        <v>16.98266528047056</v>
      </c>
      <c r="EC201" s="21">
        <f>EXP(-LN(2)/2)*EC200+(1-EXP(-LN(2)/2))/(LN(2)/2)*DW201*DZ201*VLOOKUP('Données projet'!$B$14,Paramètres!$A$1:$I$89,3,0)*0.475*44/12</f>
        <v>5.8693519112573124E-2</v>
      </c>
      <c r="ED201" s="22">
        <f t="shared" si="178"/>
        <v>131.56024251318459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7.9580786405131221E-13</v>
      </c>
      <c r="EK201" s="17">
        <f>EJ201*VLOOKUP('Données projet'!$B$15,Paramètres!$A$1:$I$89,3,0)*VLOOKUP('Données projet'!$B$15,Paramètres!$A$1:$I$89,5,0)</f>
        <v>5.338279152056202E-13</v>
      </c>
      <c r="EL201" s="13">
        <f t="shared" si="179"/>
        <v>6.5990867302231702E-12</v>
      </c>
      <c r="EM201" s="20">
        <f t="shared" si="180"/>
        <v>1.242315967412181E-11</v>
      </c>
      <c r="EN201" s="59">
        <f t="shared" si="198"/>
        <v>293.33333333334576</v>
      </c>
      <c r="EO201" s="59">
        <f ca="1">AVERAGE(OFFSET($EN$3,0,0,'Données projet'!$E$15+1,1))-AVERAGE(OFFSET($H$3,0,0,'Données projet'!$E$15+1,1))</f>
        <v>482.99915419700773</v>
      </c>
      <c r="EP201" s="59">
        <f t="shared" si="210"/>
        <v>219.74157899604279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104.64656615208409</v>
      </c>
      <c r="EW201" s="21">
        <f>EXP(-LN(2)/25)*EW200+(1-EXP(-LN(2)/25))/(LN(2)/25)*Calculateur!ER201*Calculateur!ET201*VLOOKUP('Données projet'!$B$15,Paramètres!$A$1:$I$89,3,0)*0.475*44/12</f>
        <v>15.518642411464478</v>
      </c>
      <c r="EX201" s="21">
        <f>EXP(-LN(2)/2)*EX200+(1-EXP(-LN(2)/2))/(LN(2)/2)*ER201*EU201*VLOOKUP('Données projet'!$B$15,Paramètres!$A$1:$I$89,3,0)*0.475*44/12</f>
        <v>4.351416072139043E-2</v>
      </c>
      <c r="EY201" s="22">
        <f t="shared" si="181"/>
        <v>120.20872272426996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7.9580786405131221E-13</v>
      </c>
      <c r="FF201" s="17">
        <f>FE201*VLOOKUP('Données projet'!$B$16,Paramètres!$A$1:$I$89,3,0)*VLOOKUP('Données projet'!$B$16,Paramètres!$A$1:$I$89,5,0)</f>
        <v>7.572907634312286E-13</v>
      </c>
      <c r="FG201" s="13">
        <f t="shared" si="182"/>
        <v>8.9881135648416407E-12</v>
      </c>
      <c r="FH201" s="20">
        <f t="shared" si="183"/>
        <v>1.6973245871741914E-11</v>
      </c>
      <c r="FI201" s="59">
        <f t="shared" si="199"/>
        <v>293.33333333335031</v>
      </c>
      <c r="FJ201" s="59">
        <f ca="1">AVERAGE(OFFSET($FI$3,0,0,'Données projet'!$E$16+1,1))-AVERAGE(OFFSET($H$3,0,0,'Données projet'!$E$16+1,1))</f>
        <v>666.1523645983184</v>
      </c>
      <c r="FK201" s="59">
        <f t="shared" si="211"/>
        <v>294.13851344047526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120.44227425051182</v>
      </c>
      <c r="FR201" s="21">
        <f>EXP(-LN(2)/25)*FR200+(1-EXP(-LN(2)/25))/(LN(2)/25)*Calculateur!FM201*Calculateur!FO201*VLOOKUP('Données projet'!$B$16,Paramètres!$A$1:$I$89,3,0)*0.475*44/12</f>
        <v>17.861079001874209</v>
      </c>
      <c r="FS201" s="21">
        <f>EXP(-LN(2)/2)*FS200+(1-EXP(-LN(2)/2))/(LN(2)/2)*FM201*FP201*VLOOKUP('Données projet'!$B$16,Paramètres!$A$1:$I$89,3,0)*0.475*44/12</f>
        <v>6.1729390790809677E-2</v>
      </c>
      <c r="FT201" s="22">
        <f t="shared" si="184"/>
        <v>138.36508264317683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328.55631138162721</v>
      </c>
      <c r="T202" s="59">
        <f t="shared" si="204"/>
        <v>321.81422611044985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3.6819001234301409</v>
      </c>
      <c r="AA202" s="21">
        <f>EXP(-LN(2)/25)*AA201+(1-EXP(-LN(2)/25))/(LN(2)/25)*Calculateur!V202*Calculateur!X202*VLOOKUP('Données projet'!$B$9,Paramètres!$A$1:$I$89,3,0)*0.475*44/12</f>
        <v>1.4162366941269462</v>
      </c>
      <c r="AB202" s="21">
        <f>EXP(-LN(2)/2)*AB201+(1-EXP(-LN(2)/2))/(LN(2)/2)*V202*Y202*VLOOKUP('Données projet'!$B$9,Paramètres!$A$1:$I$89,3,0)*0.475*44/12</f>
        <v>7.0562814754183059E-17</v>
      </c>
      <c r="AC202" s="22">
        <f t="shared" si="163"/>
        <v>5.0981368175570871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353.37479213497227</v>
      </c>
      <c r="AO202" s="59">
        <f t="shared" si="205"/>
        <v>345.4750813433123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4.9243820057554082</v>
      </c>
      <c r="AV202" s="21">
        <f>EXP(-LN(2)/25)*AV201+(1-EXP(-LN(2)/25))/(LN(2)/25)*Calculateur!AQ202*Calculateur!AS202*VLOOKUP('Données projet'!$B$10,Paramètres!$A$1:$I$89,3,0)*0.475*44/12</f>
        <v>1.8941552618630098</v>
      </c>
      <c r="AW202" s="21">
        <f>EXP(-LN(2)/2)*AW201+(1-EXP(-LN(2)/2))/(LN(2)/2)*AQ202*AT202*VLOOKUP('Données projet'!$B$10,Paramètres!$A$1:$I$89,3,0)*0.475*44/12</f>
        <v>7.6568160690709516E-17</v>
      </c>
      <c r="AX202" s="21">
        <f t="shared" si="166"/>
        <v>6.8185372676184182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359.57284550600366</v>
      </c>
      <c r="BJ202" s="59">
        <f t="shared" si="206"/>
        <v>351.38386928091433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5.0209385156721824</v>
      </c>
      <c r="BQ202" s="21">
        <f>EXP(-LN(2)/25)*BQ201+(1-EXP(-LN(2)/25))/(LN(2)/25)*Calculateur!BL202*Calculateur!BN202*VLOOKUP('Données projet'!$B$11,Paramètres!$A$1:$I$89,3,0)*0.475*44/12</f>
        <v>1.931295561115224</v>
      </c>
      <c r="BR202" s="21">
        <f>EXP(-LN(2)/2)*BR201+(1-EXP(-LN(2)/2))/(LN(2)/2)*BL202*BO202*VLOOKUP('Données projet'!$B$11,Paramètres!$A$1:$I$89,3,0)*0.475*44/12</f>
        <v>7.8069497174841478E-17</v>
      </c>
      <c r="BS202" s="22">
        <f t="shared" si="169"/>
        <v>6.9522340767874065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-8.5265128291212022E-14</v>
      </c>
      <c r="BZ202" s="13">
        <f>BY202*VLOOKUP('Données projet'!$B$12,Paramètres!$A$1:$I$89,3,0)*VLOOKUP('Données projet'!$B$12,Paramètres!$A$1:$I$89,5,0)</f>
        <v>-6.9167072069831198E-14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159.4660488566085</v>
      </c>
      <c r="CE202" s="59">
        <f t="shared" si="207"/>
        <v>135.33030558297088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0.78789760336172321</v>
      </c>
      <c r="CM202" s="21">
        <f>EXP(-LN(2)/2)*CM201+(1-EXP(-LN(2)/2))/(LN(2)/2)*CG202*CJ202*VLOOKUP('Données projet'!$B$12,Paramètres!$A$1:$I$89,3,0)*0.475*44/12</f>
        <v>9.8307674795871846E-16</v>
      </c>
      <c r="CN202" s="22">
        <f t="shared" si="172"/>
        <v>0.78789760336172421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353.37479213497227</v>
      </c>
      <c r="CZ202" s="59">
        <f t="shared" si="208"/>
        <v>345.4750813433123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4.9243820057554082</v>
      </c>
      <c r="DG202" s="21">
        <f>EXP(-LN(2)/25)*DG201+(1-EXP(-LN(2)/25))/(LN(2)/25)*Calculateur!DB202*Calculateur!DD202*VLOOKUP('Données projet'!$B$13,Paramètres!$A$1:$I$89,3,0)*0.475*44/12</f>
        <v>1.8941552618630098</v>
      </c>
      <c r="DH202" s="21">
        <f>EXP(-LN(2)/2)*DH201+(1-EXP(-LN(2)/2))/(LN(2)/2)*DB202*DE202*VLOOKUP('Données projet'!$B$13,Paramètres!$A$1:$I$89,3,0)*0.475*44/12</f>
        <v>7.6568160690709516E-17</v>
      </c>
      <c r="DI202" s="22">
        <f t="shared" si="175"/>
        <v>6.8185372676184182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7.9580786405131221E-13</v>
      </c>
      <c r="DP202" s="17">
        <f>DO202*VLOOKUP('Données projet'!$B$14,Paramètres!$A$1:$I$89,3,0)*VLOOKUP('Données projet'!$B$14,Paramètres!$A$1:$I$89,5,0)</f>
        <v>7.2004695539362725E-13</v>
      </c>
      <c r="DQ202" s="13">
        <f t="shared" si="176"/>
        <v>8.5963894794935589E-12</v>
      </c>
      <c r="DR202" s="20">
        <f t="shared" si="177"/>
        <v>1.6226126790761848E-11</v>
      </c>
      <c r="DS202" s="59">
        <f t="shared" si="197"/>
        <v>293.33333333334951</v>
      </c>
      <c r="DT202" s="59">
        <f ca="1">AVERAGE(OFFSET($DS$3,0,0,'Données projet'!$E$14+1,1))-AVERAGE(OFFSET($H$3,0,0,'Données projet'!$E$14+1,1))</f>
        <v>635.71275911100679</v>
      </c>
      <c r="DU202" s="59">
        <f t="shared" si="209"/>
        <v>281.7776857269169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112.27323825359971</v>
      </c>
      <c r="EB202" s="21">
        <f>EXP(-LN(2)/25)*EB201+(1-EXP(-LN(2)/25))/(LN(2)/25)*Calculateur!DW202*Calculateur!DY202*VLOOKUP('Données projet'!$B$14,Paramètres!$A$1:$I$89,3,0)*0.475*44/12</f>
        <v>16.51827340529654</v>
      </c>
      <c r="EC202" s="21">
        <f>EXP(-LN(2)/2)*EC201+(1-EXP(-LN(2)/2))/(LN(2)/2)*DW202*DZ202*VLOOKUP('Données projet'!$B$14,Paramètres!$A$1:$I$89,3,0)*0.475*44/12</f>
        <v>4.1502585376202689E-2</v>
      </c>
      <c r="ED202" s="22">
        <f t="shared" si="178"/>
        <v>128.83301424427245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7.9580786405131221E-13</v>
      </c>
      <c r="EK202" s="17">
        <f>EJ202*VLOOKUP('Données projet'!$B$15,Paramètres!$A$1:$I$89,3,0)*VLOOKUP('Données projet'!$B$15,Paramètres!$A$1:$I$89,5,0)</f>
        <v>5.338279152056202E-13</v>
      </c>
      <c r="EL202" s="13">
        <f t="shared" si="179"/>
        <v>6.5990867302231702E-12</v>
      </c>
      <c r="EM202" s="20">
        <f t="shared" si="180"/>
        <v>1.242315967412181E-11</v>
      </c>
      <c r="EN202" s="59">
        <f t="shared" si="198"/>
        <v>293.33333333334576</v>
      </c>
      <c r="EO202" s="59">
        <f ca="1">AVERAGE(OFFSET($EN$3,0,0,'Données projet'!$E$15+1,1))-AVERAGE(OFFSET($H$3,0,0,'Données projet'!$E$15+1,1))</f>
        <v>482.99915419700773</v>
      </c>
      <c r="EP202" s="59">
        <f t="shared" si="210"/>
        <v>219.74157899604279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102.59451081794457</v>
      </c>
      <c r="EW202" s="21">
        <f>EXP(-LN(2)/25)*EW201+(1-EXP(-LN(2)/25))/(LN(2)/25)*Calculateur!ER202*Calculateur!ET202*VLOOKUP('Données projet'!$B$15,Paramètres!$A$1:$I$89,3,0)*0.475*44/12</f>
        <v>15.094284318633045</v>
      </c>
      <c r="EX202" s="21">
        <f>EXP(-LN(2)/2)*EX201+(1-EXP(-LN(2)/2))/(LN(2)/2)*ER202*EU202*VLOOKUP('Données projet'!$B$15,Paramètres!$A$1:$I$89,3,0)*0.475*44/12</f>
        <v>3.0769158123736484E-2</v>
      </c>
      <c r="EY202" s="22">
        <f t="shared" si="181"/>
        <v>117.71956429470134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7.9580786405131221E-13</v>
      </c>
      <c r="FF202" s="17">
        <f>FE202*VLOOKUP('Données projet'!$B$16,Paramètres!$A$1:$I$89,3,0)*VLOOKUP('Données projet'!$B$16,Paramètres!$A$1:$I$89,5,0)</f>
        <v>7.572907634312286E-13</v>
      </c>
      <c r="FG202" s="13">
        <f t="shared" si="182"/>
        <v>8.9881135648416407E-12</v>
      </c>
      <c r="FH202" s="20">
        <f t="shared" si="183"/>
        <v>1.6973245871741914E-11</v>
      </c>
      <c r="FI202" s="59">
        <f t="shared" si="199"/>
        <v>293.33333333335031</v>
      </c>
      <c r="FJ202" s="59">
        <f ca="1">AVERAGE(OFFSET($FI$3,0,0,'Données projet'!$E$16+1,1))-AVERAGE(OFFSET($H$3,0,0,'Données projet'!$E$16+1,1))</f>
        <v>666.1523645983184</v>
      </c>
      <c r="FK202" s="59">
        <f t="shared" si="211"/>
        <v>294.13851344047526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118.08047471499275</v>
      </c>
      <c r="FR202" s="21">
        <f>EXP(-LN(2)/25)*FR201+(1-EXP(-LN(2)/25))/(LN(2)/25)*Calculateur!FM202*Calculateur!FO202*VLOOKUP('Données projet'!$B$16,Paramètres!$A$1:$I$89,3,0)*0.475*44/12</f>
        <v>17.372666857294636</v>
      </c>
      <c r="FS202" s="21">
        <f>EXP(-LN(2)/2)*FS201+(1-EXP(-LN(2)/2))/(LN(2)/2)*FM202*FP202*VLOOKUP('Données projet'!$B$16,Paramètres!$A$1:$I$89,3,0)*0.475*44/12</f>
        <v>4.3649270826695945E-2</v>
      </c>
      <c r="FT202" s="22">
        <f t="shared" si="184"/>
        <v>135.4967908431141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328.55631138162721</v>
      </c>
      <c r="T203" s="59">
        <f t="shared" si="204"/>
        <v>321.81422611044985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3.6097003077470031</v>
      </c>
      <c r="AA203" s="21">
        <f>EXP(-LN(2)/25)*AA202+(1-EXP(-LN(2)/25))/(LN(2)/25)*Calculateur!V203*Calculateur!X203*VLOOKUP('Données projet'!$B$9,Paramètres!$A$1:$I$89,3,0)*0.475*44/12</f>
        <v>1.3775096272493939</v>
      </c>
      <c r="AB203" s="21">
        <f>EXP(-LN(2)/2)*AB202+(1-EXP(-LN(2)/2))/(LN(2)/2)*V203*Y203*VLOOKUP('Données projet'!$B$9,Paramètres!$A$1:$I$89,3,0)*0.475*44/12</f>
        <v>4.9895444812293008E-17</v>
      </c>
      <c r="AC203" s="22">
        <f t="shared" si="163"/>
        <v>4.9872099349963968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353.37479213497227</v>
      </c>
      <c r="AO203" s="59">
        <f t="shared" si="205"/>
        <v>345.4750813433123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4.8278178781989896</v>
      </c>
      <c r="AV203" s="21">
        <f>EXP(-LN(2)/25)*AV202+(1-EXP(-LN(2)/25))/(LN(2)/25)*Calculateur!AQ203*Calculateur!AS203*VLOOKUP('Données projet'!$B$10,Paramètres!$A$1:$I$89,3,0)*0.475*44/12</f>
        <v>1.8423594866180697</v>
      </c>
      <c r="AW203" s="21">
        <f>EXP(-LN(2)/2)*AW202+(1-EXP(-LN(2)/2))/(LN(2)/2)*AQ203*AT203*VLOOKUP('Données projet'!$B$10,Paramètres!$A$1:$I$89,3,0)*0.475*44/12</f>
        <v>5.4141865647381944E-17</v>
      </c>
      <c r="AX203" s="21">
        <f t="shared" si="166"/>
        <v>6.670177364817059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359.57284550600366</v>
      </c>
      <c r="BJ203" s="59">
        <f t="shared" si="206"/>
        <v>351.38386928091433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4.922480973849952</v>
      </c>
      <c r="BQ203" s="21">
        <f>EXP(-LN(2)/25)*BQ202+(1-EXP(-LN(2)/25))/(LN(2)/25)*Calculateur!BL203*Calculateur!BN203*VLOOKUP('Données projet'!$B$11,Paramètres!$A$1:$I$89,3,0)*0.475*44/12</f>
        <v>1.8784841824341088</v>
      </c>
      <c r="BR203" s="21">
        <f>EXP(-LN(2)/2)*BR202+(1-EXP(-LN(2)/2))/(LN(2)/2)*BL203*BO203*VLOOKUP('Données projet'!$B$11,Paramètres!$A$1:$I$89,3,0)*0.475*44/12</f>
        <v>5.5203470856154426E-17</v>
      </c>
      <c r="BS203" s="22">
        <f t="shared" si="169"/>
        <v>6.800965156284061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-8.5265128291212022E-14</v>
      </c>
      <c r="BZ203" s="13">
        <f>BY203*VLOOKUP('Données projet'!$B$12,Paramètres!$A$1:$I$89,3,0)*VLOOKUP('Données projet'!$B$12,Paramètres!$A$1:$I$89,5,0)</f>
        <v>-6.9167072069831198E-14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159.4660488566085</v>
      </c>
      <c r="CE203" s="59">
        <f t="shared" si="207"/>
        <v>135.33030558297088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0.76635250196406268</v>
      </c>
      <c r="CM203" s="21">
        <f>EXP(-LN(2)/2)*CM202+(1-EXP(-LN(2)/2))/(LN(2)/2)*CG203*CJ203*VLOOKUP('Données projet'!$B$12,Paramètres!$A$1:$I$89,3,0)*0.475*44/12</f>
        <v>6.9514023490842828E-16</v>
      </c>
      <c r="CN203" s="22">
        <f t="shared" si="172"/>
        <v>0.76635250196406335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353.37479213497227</v>
      </c>
      <c r="CZ203" s="59">
        <f t="shared" si="208"/>
        <v>345.4750813433123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4.8278178781989896</v>
      </c>
      <c r="DG203" s="21">
        <f>EXP(-LN(2)/25)*DG202+(1-EXP(-LN(2)/25))/(LN(2)/25)*Calculateur!DB203*Calculateur!DD203*VLOOKUP('Données projet'!$B$13,Paramètres!$A$1:$I$89,3,0)*0.475*44/12</f>
        <v>1.8423594866180697</v>
      </c>
      <c r="DH203" s="21">
        <f>EXP(-LN(2)/2)*DH202+(1-EXP(-LN(2)/2))/(LN(2)/2)*DB203*DE203*VLOOKUP('Données projet'!$B$13,Paramètres!$A$1:$I$89,3,0)*0.475*44/12</f>
        <v>5.4141865647381944E-17</v>
      </c>
      <c r="DI203" s="22">
        <f t="shared" si="175"/>
        <v>6.670177364817059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7.9580786405131221E-13</v>
      </c>
      <c r="DP203" s="17">
        <f>DO203*VLOOKUP('Données projet'!$B$14,Paramètres!$A$1:$I$89,3,0)*VLOOKUP('Données projet'!$B$14,Paramètres!$A$1:$I$89,5,0)</f>
        <v>7.2004695539362725E-13</v>
      </c>
      <c r="DQ203" s="13">
        <f t="shared" si="176"/>
        <v>8.5963894794935589E-12</v>
      </c>
      <c r="DR203" s="20">
        <f t="shared" si="177"/>
        <v>1.6226126790761848E-11</v>
      </c>
      <c r="DS203" s="59">
        <f t="shared" si="197"/>
        <v>293.33333333334951</v>
      </c>
      <c r="DT203" s="59">
        <f ca="1">AVERAGE(OFFSET($DS$3,0,0,'Données projet'!$E$14+1,1))-AVERAGE(OFFSET($H$3,0,0,'Données projet'!$E$14+1,1))</f>
        <v>635.71275911100679</v>
      </c>
      <c r="DU203" s="59">
        <f t="shared" si="209"/>
        <v>281.7776857269169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110.07162853136013</v>
      </c>
      <c r="EB203" s="21">
        <f>EXP(-LN(2)/25)*EB202+(1-EXP(-LN(2)/25))/(LN(2)/25)*Calculateur!DW203*Calculateur!DY203*VLOOKUP('Données projet'!$B$14,Paramètres!$A$1:$I$89,3,0)*0.475*44/12</f>
        <v>16.066580350370462</v>
      </c>
      <c r="EC203" s="21">
        <f>EXP(-LN(2)/2)*EC202+(1-EXP(-LN(2)/2))/(LN(2)/2)*DW203*DZ203*VLOOKUP('Données projet'!$B$14,Paramètres!$A$1:$I$89,3,0)*0.475*44/12</f>
        <v>2.9346759556286562E-2</v>
      </c>
      <c r="ED203" s="22">
        <f t="shared" si="178"/>
        <v>126.16755564128688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7.9580786405131221E-13</v>
      </c>
      <c r="EK203" s="17">
        <f>EJ203*VLOOKUP('Données projet'!$B$15,Paramètres!$A$1:$I$89,3,0)*VLOOKUP('Données projet'!$B$15,Paramètres!$A$1:$I$89,5,0)</f>
        <v>5.338279152056202E-13</v>
      </c>
      <c r="EL203" s="13">
        <f t="shared" si="179"/>
        <v>6.5990867302231702E-12</v>
      </c>
      <c r="EM203" s="20">
        <f t="shared" si="180"/>
        <v>1.242315967412181E-11</v>
      </c>
      <c r="EN203" s="59">
        <f t="shared" si="198"/>
        <v>293.33333333334576</v>
      </c>
      <c r="EO203" s="59">
        <f ca="1">AVERAGE(OFFSET($EN$3,0,0,'Données projet'!$E$15+1,1))-AVERAGE(OFFSET($H$3,0,0,'Données projet'!$E$15+1,1))</f>
        <v>482.99915419700773</v>
      </c>
      <c r="EP203" s="59">
        <f t="shared" si="210"/>
        <v>219.74157899604279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100.58269503727736</v>
      </c>
      <c r="EW203" s="21">
        <f>EXP(-LN(2)/25)*EW202+(1-EXP(-LN(2)/25))/(LN(2)/25)*Calculateur!ER203*Calculateur!ET203*VLOOKUP('Données projet'!$B$15,Paramètres!$A$1:$I$89,3,0)*0.475*44/12</f>
        <v>14.681530320166111</v>
      </c>
      <c r="EX203" s="21">
        <f>EXP(-LN(2)/2)*EX202+(1-EXP(-LN(2)/2))/(LN(2)/2)*ER203*EU203*VLOOKUP('Données projet'!$B$15,Paramètres!$A$1:$I$89,3,0)*0.475*44/12</f>
        <v>2.1757080360695218E-2</v>
      </c>
      <c r="EY203" s="22">
        <f t="shared" si="181"/>
        <v>115.28598243780418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7.9580786405131221E-13</v>
      </c>
      <c r="FF203" s="17">
        <f>FE203*VLOOKUP('Données projet'!$B$16,Paramètres!$A$1:$I$89,3,0)*VLOOKUP('Données projet'!$B$16,Paramètres!$A$1:$I$89,5,0)</f>
        <v>7.572907634312286E-13</v>
      </c>
      <c r="FG203" s="13">
        <f t="shared" si="182"/>
        <v>8.9881135648416407E-12</v>
      </c>
      <c r="FH203" s="20">
        <f t="shared" si="183"/>
        <v>1.6973245871741914E-11</v>
      </c>
      <c r="FI203" s="59">
        <f t="shared" si="199"/>
        <v>293.33333333335031</v>
      </c>
      <c r="FJ203" s="59">
        <f ca="1">AVERAGE(OFFSET($FI$3,0,0,'Données projet'!$E$16+1,1))-AVERAGE(OFFSET($H$3,0,0,'Données projet'!$E$16+1,1))</f>
        <v>666.1523645983184</v>
      </c>
      <c r="FK203" s="59">
        <f t="shared" si="211"/>
        <v>294.13851344047526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115.76498862780973</v>
      </c>
      <c r="FR203" s="21">
        <f>EXP(-LN(2)/25)*FR202+(1-EXP(-LN(2)/25))/(LN(2)/25)*Calculateur!FM203*Calculateur!FO203*VLOOKUP('Données projet'!$B$16,Paramètres!$A$1:$I$89,3,0)*0.475*44/12</f>
        <v>16.897610368493069</v>
      </c>
      <c r="FS203" s="21">
        <f>EXP(-LN(2)/2)*FS202+(1-EXP(-LN(2)/2))/(LN(2)/2)*FM203*FP203*VLOOKUP('Données projet'!$B$16,Paramètres!$A$1:$I$89,3,0)*0.475*44/12</f>
        <v>3.0864695395404845E-2</v>
      </c>
      <c r="FT203" s="22">
        <f t="shared" si="184"/>
        <v>132.69346369169818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1.3208724756526424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1.3208724756526424</v>
      </c>
      <c r="BA205" s="82">
        <f>EXP(LN('Données projet'!B88)/'Données projet'!A88)</f>
        <v>1.3208724756526424</v>
      </c>
      <c r="BV205" s="82">
        <f>EXP(LN('Données projet'!B114)/'Données projet'!A114)</f>
        <v>1.2231180032570037</v>
      </c>
      <c r="CQ205" s="82">
        <f>EXP(LN('Données projet'!B140)/'Données projet'!A140)</f>
        <v>1.3208724756526424</v>
      </c>
      <c r="DL205" s="82">
        <f>EXP(LN('Données projet'!B166)/'Données projet'!A166)</f>
        <v>1.1303799945549604</v>
      </c>
      <c r="EG205" s="82">
        <f>EXP(LN('Données projet'!B192)/'Données projet'!A192)</f>
        <v>1.1303799945549604</v>
      </c>
      <c r="FB205" s="82">
        <f>EXP(LN('Données projet'!B218)/'Données projet'!A218)</f>
        <v>1.1303799945549604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09375" defaultRowHeight="14.6" x14ac:dyDescent="0.4"/>
  <cols>
    <col min="1" max="1" width="23.4609375" style="4" bestFit="1" customWidth="1"/>
    <col min="2" max="2" width="27.61328125" style="4" bestFit="1" customWidth="1"/>
    <col min="3" max="3" width="11.921875" style="4" bestFit="1" customWidth="1"/>
    <col min="4" max="4" width="40" style="4" bestFit="1" customWidth="1"/>
    <col min="5" max="5" width="11.921875" style="4" bestFit="1" customWidth="1"/>
    <col min="6" max="6" width="13.61328125" style="4" bestFit="1" customWidth="1"/>
    <col min="7" max="7" width="11.4609375" style="4" bestFit="1" customWidth="1"/>
    <col min="8" max="8" width="39" style="4" bestFit="1" customWidth="1"/>
    <col min="9" max="9" width="16.61328125" style="4" customWidth="1"/>
    <col min="10" max="14" width="11.4609375" style="4"/>
    <col min="15" max="15" width="23.4609375" style="4" bestFit="1" customWidth="1"/>
    <col min="16" max="16384" width="11.4609375" style="4"/>
  </cols>
  <sheetData>
    <row r="1" spans="1:16" ht="44.15" thickBot="1" x14ac:dyDescent="0.4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">
      <c r="A93" s="122" t="s">
        <v>208</v>
      </c>
    </row>
    <row r="94" spans="1:14" x14ac:dyDescent="0.4">
      <c r="A94" s="122" t="s">
        <v>209</v>
      </c>
    </row>
    <row r="95" spans="1:14" x14ac:dyDescent="0.4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L16" sqref="L16"/>
    </sheetView>
  </sheetViews>
  <sheetFormatPr baseColWidth="10" defaultColWidth="11.4609375" defaultRowHeight="14.6" x14ac:dyDescent="0.4"/>
  <cols>
    <col min="1" max="1" width="22.921875" style="1" bestFit="1" customWidth="1"/>
    <col min="2" max="2" width="10.53515625" style="1" bestFit="1" customWidth="1"/>
    <col min="3" max="3" width="15.53515625" style="1" bestFit="1" customWidth="1"/>
    <col min="4" max="4" width="13.4609375" style="1" bestFit="1" customWidth="1"/>
    <col min="5" max="8" width="11.4609375" style="1"/>
    <col min="9" max="13" width="11.4609375" style="62"/>
    <col min="14" max="15" width="11.4609375" style="1"/>
    <col min="16" max="17" width="13.4609375" style="1" customWidth="1"/>
    <col min="18" max="16384" width="11.4609375" style="1"/>
  </cols>
  <sheetData>
    <row r="1" spans="1:62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6" thickBot="1" x14ac:dyDescent="0.7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75" thickBot="1" x14ac:dyDescent="0.4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">
      <c r="A6" s="145" t="str">
        <f>IF('Données projet'!$B$9="","",'Données projet'!$B$9)</f>
        <v>Châtaignier</v>
      </c>
      <c r="B6" s="146">
        <f>'Données projet'!D9</f>
        <v>1.7010000000000001</v>
      </c>
      <c r="C6" s="147">
        <f ca="1">IF(OR('Données projet'!B9="",'Données projet'!C9="",'Données projet'!C9=0%),0,Calculateur!S3)</f>
        <v>328.55631138162721</v>
      </c>
      <c r="D6" s="147">
        <f>IF(OR('Données projet'!B9="",'Données projet'!C9="",'Données projet'!C9=0%),0,Calculateur!T3)</f>
        <v>321.81422611044985</v>
      </c>
      <c r="E6" s="147">
        <f ca="1">MIN(C6,D6)</f>
        <v>321.81422611044985</v>
      </c>
      <c r="F6" s="147">
        <f ca="1">E6*B6</f>
        <v>547.40599861387523</v>
      </c>
      <c r="G6" s="147">
        <f ca="1">F6*(100%-'Données projet'!$C$24)*(100%-'Données projet'!$C$25)*(100%-'Données projet'!$C$26)*(100%-'Données projet'!$C$27)</f>
        <v>492.6653987524877</v>
      </c>
      <c r="H6" s="148">
        <f>IF(OR('Données projet'!B9="",'Données projet'!C9="",'Données projet'!C9=0%),0,AVERAGE(Calculateur!$AC$3:$AC$33)*B6)</f>
        <v>8.333206439489441</v>
      </c>
      <c r="I6" s="149">
        <f>H6*(100%-'Données projet'!$C$24)*(100%-'Données projet'!$C$25)*(100%-'Données projet'!$C$26)*(100%-'Données projet'!$C$27)</f>
        <v>7.4998857955404974</v>
      </c>
      <c r="J6" s="150">
        <f>IF(OR('Données projet'!B9="",'Données projet'!C9="",'Données projet'!C9=0%),0,SUM(Calculateur!$V$3:$V$33)*VLOOKUP('Données projet'!$B$9,Paramètres!$A$1:$I$89,9,0)*B6)</f>
        <v>58.259250000000002</v>
      </c>
      <c r="K6" s="151">
        <f>J6*(100%-'Données projet'!$C$24)*(100%-'Données projet'!$C$25)*(100%-'Données projet'!$C$26)*(100%-'Données projet'!$C$27)</f>
        <v>52.433325000000004</v>
      </c>
      <c r="L6" s="152">
        <f ca="1">G6+I6+K6</f>
        <v>552.59860954802821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">
      <c r="A7" s="153" t="str">
        <f>IF('Données projet'!$B$10="","",'Données projet'!$B$10)</f>
        <v>Erable sycomore</v>
      </c>
      <c r="B7" s="154">
        <f>'Données projet'!D10</f>
        <v>0.81899999999999995</v>
      </c>
      <c r="C7" s="147">
        <f ca="1">IF(OR('Données projet'!B10="",'Données projet'!C10="",'Données projet'!C10=0%),0,Calculateur!AN3)</f>
        <v>353.37479213497227</v>
      </c>
      <c r="D7" s="147">
        <f>IF(OR('Données projet'!B10="",'Données projet'!C10="",'Données projet'!C10=0%),0,Calculateur!AO3)</f>
        <v>345.4750813433123</v>
      </c>
      <c r="E7" s="147">
        <f t="shared" ref="E7:E15" ca="1" si="0">MIN(C7,D7)</f>
        <v>345.4750813433123</v>
      </c>
      <c r="F7" s="147">
        <f t="shared" ref="F7:F15" ca="1" si="1">E7*B7</f>
        <v>282.94409162017274</v>
      </c>
      <c r="G7" s="147">
        <f ca="1">F7*(100%-'Données projet'!$C$24)*(100%-'Données projet'!$C$25)*(100%-'Données projet'!$C$26)*(100%-'Données projet'!$C$27)</f>
        <v>254.64968245815547</v>
      </c>
      <c r="H7" s="155">
        <f>IF(OR('Données projet'!B10="",'Données projet'!C10="",'Données projet'!C10=0%),0,AVERAGE(Calculateur!$AX$3:$AX$33)*B7)</f>
        <v>4.9451159998141918</v>
      </c>
      <c r="I7" s="149">
        <f>H7*(100%-'Données projet'!$C$24)*(100%-'Données projet'!$C$25)*(100%-'Données projet'!$C$26)*(100%-'Données projet'!$C$27)</f>
        <v>4.4506043998327725</v>
      </c>
      <c r="J7" s="150">
        <f>IF(OR('Données projet'!B10="",'Données projet'!C10="",'Données projet'!C10=0%),0,SUM(Calculateur!$AQ$3:$AQ$33)*VLOOKUP('Données projet'!$B$10,Paramètres!$A$1:$I$89,9,0)*B7)</f>
        <v>28.050749999999997</v>
      </c>
      <c r="K7" s="151">
        <f>J7*(100%-'Données projet'!$C$24)*(100%-'Données projet'!$C$25)*(100%-'Données projet'!$C$26)*(100%-'Données projet'!$C$27)</f>
        <v>25.245674999999999</v>
      </c>
      <c r="L7" s="152">
        <f t="shared" ref="L7:L15" ca="1" si="2">G7+I7+K7</f>
        <v>284.34596185798824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">
      <c r="A8" s="153" t="str">
        <f>IF('Données projet'!$B$11="","",'Données projet'!$B$11)</f>
        <v>Noyer</v>
      </c>
      <c r="B8" s="154">
        <f>'Données projet'!D11</f>
        <v>0.378</v>
      </c>
      <c r="C8" s="147">
        <f ca="1">IF(OR('Données projet'!B11="",'Données projet'!C11="",'Données projet'!C11=0%),0,Calculateur!BI3)</f>
        <v>359.57284550600366</v>
      </c>
      <c r="D8" s="147">
        <f>IF(OR('Données projet'!B11="",'Données projet'!C11="",'Données projet'!C11=0%),0,Calculateur!BJ3)</f>
        <v>351.38386928091433</v>
      </c>
      <c r="E8" s="147">
        <f t="shared" ca="1" si="0"/>
        <v>351.38386928091433</v>
      </c>
      <c r="F8" s="147">
        <f t="shared" ca="1" si="1"/>
        <v>132.82310258818561</v>
      </c>
      <c r="G8" s="147">
        <f ca="1">F8*(100%-'Données projet'!$C$24)*(100%-'Données projet'!$C$25)*(100%-'Données projet'!$C$26)*(100%-'Données projet'!$C$27)</f>
        <v>119.54079232936705</v>
      </c>
      <c r="H8" s="155">
        <f>IF(OR('Données projet'!B11="",'Données projet'!C11="",'Données projet'!C11=0%),0,AVERAGE(Calculateur!$BS$3:$BS$33)*B8)</f>
        <v>2.3271134116772672</v>
      </c>
      <c r="I8" s="149">
        <f>H8*(100%-'Données projet'!$C$24)*(100%-'Données projet'!$C$25)*(100%-'Données projet'!$C$26)*(100%-'Données projet'!$C$27)</f>
        <v>2.0944020705095405</v>
      </c>
      <c r="J8" s="150">
        <f>IF(OR('Données projet'!B11="",'Données projet'!C11="",'Données projet'!C11=0%),0,SUM(Calculateur!$BL$3:$BL$33)*VLOOKUP('Données projet'!$B$11,Paramètres!$A$1:$I$89,9,0)*B8)</f>
        <v>12.9465</v>
      </c>
      <c r="K8" s="151">
        <f>J8*(100%-'Données projet'!$C$24)*(100%-'Données projet'!$C$25)*(100%-'Données projet'!$C$26)*(100%-'Données projet'!$C$27)</f>
        <v>11.651850000000001</v>
      </c>
      <c r="L8" s="152">
        <f t="shared" ca="1" si="2"/>
        <v>133.28704439987661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">
      <c r="A9" s="153" t="str">
        <f>IF('Données projet'!$B$12="","",'Données projet'!$B$12)</f>
        <v>Bouleau verruqueux</v>
      </c>
      <c r="B9" s="154">
        <f>'Données projet'!D12</f>
        <v>0.63</v>
      </c>
      <c r="C9" s="147">
        <f ca="1">IF(OR('Données projet'!B12="",'Données projet'!C12="",'Données projet'!C12=0%),0,Calculateur!CD3)</f>
        <v>159.4660488566085</v>
      </c>
      <c r="D9" s="147">
        <f>IF(OR('Données projet'!B12="",'Données projet'!C12="",'Données projet'!C12=0%),0,Calculateur!CE3)</f>
        <v>135.33030558297088</v>
      </c>
      <c r="E9" s="147">
        <f t="shared" ca="1" si="0"/>
        <v>135.33030558297088</v>
      </c>
      <c r="F9" s="147">
        <f t="shared" ca="1" si="1"/>
        <v>85.258092517271649</v>
      </c>
      <c r="G9" s="147">
        <f ca="1">F9*(100%-'Données projet'!$C$24)*(100%-'Données projet'!$C$25)*(100%-'Données projet'!$C$26)*(100%-'Données projet'!$C$27)</f>
        <v>76.732283265544481</v>
      </c>
      <c r="H9" s="155">
        <f>IF(OR('Données projet'!B12="",'Données projet'!C12="",'Données projet'!C12=0%),0,AVERAGE(Calculateur!$CN$3:$CN$33)*B9)</f>
        <v>0.33248086232777241</v>
      </c>
      <c r="I9" s="149">
        <f>H9*(100%-'Données projet'!$C$24)*(100%-'Données projet'!$C$25)*(100%-'Données projet'!$C$26)*(100%-'Données projet'!$C$27)</f>
        <v>0.29923277609499516</v>
      </c>
      <c r="J9" s="150">
        <f>IF(OR('Données projet'!B12="",'Données projet'!C12="",'Données projet'!C12=0%),0,SUM(Calculateur!$CG$3:$CG$33)*VLOOKUP('Données projet'!$B$12,Paramètres!$A$1:$I$89,9,0)*B9)</f>
        <v>2.625</v>
      </c>
      <c r="K9" s="151">
        <f>J9*(100%-'Données projet'!$C$24)*(100%-'Données projet'!$C$25)*(100%-'Données projet'!$C$26)*(100%-'Données projet'!$C$27)</f>
        <v>2.3625000000000003</v>
      </c>
      <c r="L9" s="152">
        <f t="shared" ca="1" si="2"/>
        <v>79.394016041639475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">
      <c r="A10" s="153" t="str">
        <f>IF('Données projet'!$B$13="","",'Données projet'!$B$13)</f>
        <v>Erable plane</v>
      </c>
      <c r="B10" s="154">
        <f>'Données projet'!D13</f>
        <v>0.63</v>
      </c>
      <c r="C10" s="147">
        <f ca="1">IF(OR('Données projet'!B13="",'Données projet'!C13="",'Données projet'!C13=0%),0,Calculateur!CY3)</f>
        <v>353.37479213497227</v>
      </c>
      <c r="D10" s="147">
        <f>IF(OR('Données projet'!B13="",'Données projet'!C13="",'Données projet'!C13=0%),0,Calculateur!CZ3)</f>
        <v>345.4750813433123</v>
      </c>
      <c r="E10" s="147">
        <f t="shared" ca="1" si="0"/>
        <v>345.4750813433123</v>
      </c>
      <c r="F10" s="147">
        <f t="shared" ca="1" si="1"/>
        <v>217.64930124628674</v>
      </c>
      <c r="G10" s="147">
        <f ca="1">F10*(100%-'Données projet'!$C$24)*(100%-'Données projet'!$C$25)*(100%-'Données projet'!$C$26)*(100%-'Données projet'!$C$27)</f>
        <v>195.88437112165806</v>
      </c>
      <c r="H10" s="155">
        <f>IF(OR('Données projet'!B13="",'Données projet'!C13="",'Données projet'!C13=0%),0,AVERAGE(Calculateur!$DI$3:$DI$33)*B10)</f>
        <v>3.8039353844724553</v>
      </c>
      <c r="I10" s="149">
        <f>H10*(100%-'Données projet'!$C$24)*(100%-'Données projet'!$C$25)*(100%-'Données projet'!$C$26)*(100%-'Données projet'!$C$27)</f>
        <v>3.4235418460252096</v>
      </c>
      <c r="J10" s="150">
        <f>IF(OR('Données projet'!B13="",'Données projet'!C13="",'Données projet'!C13=0%),0,SUM(Calculateur!$DB$3:$DB$33)*VLOOKUP('Données projet'!$B$13,Paramètres!$A$1:$I$89,9,0)*B10)</f>
        <v>21.577500000000001</v>
      </c>
      <c r="K10" s="151">
        <f>J10*(100%-'Données projet'!$C$24)*(100%-'Données projet'!$C$25)*(100%-'Données projet'!$C$26)*(100%-'Données projet'!$C$27)</f>
        <v>19.419750000000001</v>
      </c>
      <c r="L10" s="152">
        <f t="shared" ca="1" si="2"/>
        <v>218.72766296768327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">
      <c r="A11" s="153" t="str">
        <f>IF('Données projet'!$B$14="","",'Données projet'!$B$14)</f>
        <v>Chêne sessile</v>
      </c>
      <c r="B11" s="154">
        <f>'Données projet'!D14</f>
        <v>1.764</v>
      </c>
      <c r="C11" s="147">
        <f ca="1">IF(OR('Données projet'!B14="",'Données projet'!C14="",'Données projet'!C14=0%),0,Calculateur!DT3)</f>
        <v>635.71275911100679</v>
      </c>
      <c r="D11" s="147">
        <f>IF(OR('Données projet'!B14="",'Données projet'!C14="",'Données projet'!C14=0%),0,Calculateur!DU3)</f>
        <v>281.7776857269169</v>
      </c>
      <c r="E11" s="147">
        <f t="shared" ca="1" si="0"/>
        <v>281.7776857269169</v>
      </c>
      <c r="F11" s="147">
        <f t="shared" ca="1" si="1"/>
        <v>497.05583762228139</v>
      </c>
      <c r="G11" s="147">
        <f ca="1">F11*(100%-'Données projet'!$C$24)*(100%-'Données projet'!$C$25)*(100%-'Données projet'!$C$26)*(100%-'Données projet'!$C$27)</f>
        <v>447.35025386005327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447.35025386005327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">
      <c r="A12" s="153" t="str">
        <f>IF('Données projet'!$B$15="","",'Données projet'!$B$15)</f>
        <v>Tilleul</v>
      </c>
      <c r="B12" s="154">
        <f>'Données projet'!D15</f>
        <v>0.189</v>
      </c>
      <c r="C12" s="147">
        <f ca="1">IF(OR('Données projet'!B15="",'Données projet'!C15="",'Données projet'!C15=0%),0,Calculateur!EO3)</f>
        <v>482.99915419700773</v>
      </c>
      <c r="D12" s="147">
        <f>IF(OR('Données projet'!B15="",'Données projet'!C15="",'Données projet'!C15=0%),0,Calculateur!EP3)</f>
        <v>219.74157899604279</v>
      </c>
      <c r="E12" s="147">
        <f t="shared" ca="1" si="0"/>
        <v>219.74157899604279</v>
      </c>
      <c r="F12" s="147">
        <f t="shared" ca="1" si="1"/>
        <v>41.531158430252084</v>
      </c>
      <c r="G12" s="147">
        <f ca="1">F12*(100%-'Données projet'!$C$24)*(100%-'Données projet'!$C$25)*(100%-'Données projet'!$C$26)*(100%-'Données projet'!$C$27)</f>
        <v>37.378042587226879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37.378042587226879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">
      <c r="A13" s="153" t="str">
        <f>IF('Données projet'!$B$16="","",'Données projet'!$B$16)</f>
        <v>Charme</v>
      </c>
      <c r="B13" s="154">
        <f>'Données projet'!D16</f>
        <v>0.189</v>
      </c>
      <c r="C13" s="147">
        <f ca="1">IF(OR('Données projet'!B16="",'Données projet'!C16="",'Données projet'!C16=0%),0,Calculateur!FJ3)</f>
        <v>666.1523645983184</v>
      </c>
      <c r="D13" s="147">
        <f>IF(OR('Données projet'!B16="",'Données projet'!C16="",'Données projet'!C16=0%),0,Calculateur!FK3)</f>
        <v>294.13851344047526</v>
      </c>
      <c r="E13" s="147">
        <f t="shared" ca="1" si="0"/>
        <v>294.13851344047526</v>
      </c>
      <c r="F13" s="147">
        <f t="shared" ca="1" si="1"/>
        <v>55.592179040249825</v>
      </c>
      <c r="G13" s="147">
        <f ca="1">F13*(100%-'Données projet'!$C$24)*(100%-'Données projet'!$C$25)*(100%-'Données projet'!$C$26)*(100%-'Données projet'!$C$27)</f>
        <v>50.032961136224841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ca="1" si="2"/>
        <v>50.032961136224841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5">
      <c r="A16" s="209"/>
      <c r="B16" s="213"/>
      <c r="C16" s="214"/>
      <c r="D16" s="23"/>
      <c r="E16" s="23"/>
      <c r="F16" s="165">
        <f t="shared" ref="F16:L16" ca="1" si="3">SUM(F6:F15)</f>
        <v>1860.2597616785754</v>
      </c>
      <c r="G16" s="166">
        <f t="shared" ca="1" si="3"/>
        <v>1674.2337855107178</v>
      </c>
      <c r="H16" s="167">
        <f t="shared" si="3"/>
        <v>19.741852097781127</v>
      </c>
      <c r="I16" s="167">
        <f t="shared" si="3"/>
        <v>17.767666888003014</v>
      </c>
      <c r="J16" s="168">
        <f t="shared" si="3"/>
        <v>123.459</v>
      </c>
      <c r="K16" s="168">
        <f t="shared" si="3"/>
        <v>111.1131</v>
      </c>
      <c r="L16" s="169">
        <f t="shared" ca="1" si="3"/>
        <v>1803.1145523987209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5">
      <c r="A21" s="170" t="str">
        <f>A6</f>
        <v>Châtaignier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5">
      <c r="A39" s="170" t="str">
        <f>A7</f>
        <v>Erable sycomore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5">
      <c r="A57" s="170" t="str">
        <f>A8</f>
        <v>Noyer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5">
      <c r="A76" s="170" t="str">
        <f>A9</f>
        <v>Bouleau verruqueux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5">
      <c r="A94" s="170" t="str">
        <f>A10</f>
        <v>Erable plane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5">
      <c r="A112" s="170" t="str">
        <f>A11</f>
        <v>Chêne sessile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5">
      <c r="A130" s="170" t="str">
        <f>A12</f>
        <v>Tilleul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5">
      <c r="A148" s="170" t="str">
        <f>A13</f>
        <v>Charme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N1" zoomScale="80" zoomScaleNormal="80" workbookViewId="0">
      <selection activeCell="I25" sqref="I25"/>
    </sheetView>
  </sheetViews>
  <sheetFormatPr baseColWidth="10" defaultColWidth="11.4609375" defaultRowHeight="14.6" x14ac:dyDescent="0.4"/>
  <cols>
    <col min="1" max="1" width="11.4609375" style="1"/>
    <col min="2" max="2" width="30.921875" style="1" bestFit="1" customWidth="1"/>
    <col min="3" max="3" width="18.07421875" style="1" bestFit="1" customWidth="1"/>
    <col min="4" max="5" width="11.4609375" style="1"/>
    <col min="6" max="6" width="14" style="1" customWidth="1"/>
    <col min="7" max="7" width="17.53515625" style="1" customWidth="1"/>
    <col min="8" max="8" width="21.61328125" style="1" customWidth="1"/>
    <col min="9" max="9" width="37" style="1" customWidth="1"/>
    <col min="10" max="10" width="11.4609375" style="1"/>
    <col min="11" max="11" width="8.921875" style="1" customWidth="1"/>
    <col min="12" max="12" width="11.4609375" style="1"/>
    <col min="13" max="13" width="21" style="1" customWidth="1"/>
    <col min="14" max="16" width="11.4609375" style="1"/>
    <col min="17" max="17" width="8" style="1" customWidth="1"/>
    <col min="18" max="18" width="11.4609375" style="1"/>
    <col min="19" max="19" width="31" style="1" customWidth="1"/>
    <col min="20" max="20" width="18.07421875" style="1" customWidth="1"/>
    <col min="21" max="21" width="16.4609375" style="1" customWidth="1"/>
    <col min="22" max="22" width="17.921875" style="1" customWidth="1"/>
    <col min="23" max="16384" width="11.4609375" style="1"/>
  </cols>
  <sheetData>
    <row r="1" spans="1:42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6" thickBot="1" x14ac:dyDescent="0.7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7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Châtaignier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1728.1744097706571</v>
      </c>
      <c r="U10" s="178">
        <f>'Données projet'!D9</f>
        <v>1.7010000000000001</v>
      </c>
      <c r="V10" s="177">
        <f>U10*T10</f>
        <v>2939.624671019888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Erable sycomore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1553.5061051285256</v>
      </c>
      <c r="U11" s="178">
        <f>'Données projet'!D10</f>
        <v>0.81899999999999995</v>
      </c>
      <c r="V11" s="177">
        <f t="shared" ref="V11" si="0">U11*T11</f>
        <v>1272.3215001002625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Noyer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1728.1744097706571</v>
      </c>
      <c r="U12" s="178">
        <f>'Données projet'!D11</f>
        <v>0.378</v>
      </c>
      <c r="V12" s="177">
        <f t="shared" ref="V12:V19" si="1">U12*T12</f>
        <v>653.24992689330838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Bouleau verruqueux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48.545976699906866</v>
      </c>
      <c r="U13" s="178">
        <f>'Données projet'!D12</f>
        <v>0.63</v>
      </c>
      <c r="V13" s="177">
        <f t="shared" si="1"/>
        <v>30.583965320941324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">
      <c r="A14" s="46" t="s">
        <v>165</v>
      </c>
      <c r="B14" s="174" t="str">
        <f>IF('Données projet'!$B$9="","",'Données projet'!$B$9)</f>
        <v>Châtaignier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plane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1728.1744097706571</v>
      </c>
      <c r="U14" s="178">
        <f>'Données projet'!D13</f>
        <v>0.63</v>
      </c>
      <c r="V14" s="177">
        <f t="shared" si="1"/>
        <v>1088.7498781555139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sessile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861.70395431010343</v>
      </c>
      <c r="U15" s="178">
        <f>'Données projet'!D14</f>
        <v>1.764</v>
      </c>
      <c r="V15" s="177">
        <f t="shared" si="1"/>
        <v>1520.0457754030224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>Tilleul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861.70395431010343</v>
      </c>
      <c r="U16" s="178">
        <f>'Données projet'!D15</f>
        <v>0.189</v>
      </c>
      <c r="V16" s="177">
        <f t="shared" si="1"/>
        <v>162.86204736460954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Charme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861.70395431010343</v>
      </c>
      <c r="U17" s="178">
        <f>'Données projet'!D16</f>
        <v>0.189</v>
      </c>
      <c r="V17" s="177">
        <f t="shared" si="1"/>
        <v>162.86204736460954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20000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10000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5000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">
      <c r="A23" s="180">
        <f>'Données projet'!A36</f>
        <v>15</v>
      </c>
      <c r="B23" s="181">
        <f>'Données projet'!D36</f>
        <v>32</v>
      </c>
      <c r="C23" s="193">
        <v>13.75</v>
      </c>
      <c r="D23" s="182">
        <f>B23*C23</f>
        <v>440</v>
      </c>
      <c r="E23" s="193">
        <v>60</v>
      </c>
      <c r="F23" s="230"/>
      <c r="H23" s="190">
        <v>4</v>
      </c>
      <c r="I23" s="191">
        <v>10000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-276144.76543463237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">
      <c r="A24" s="180">
        <f>'Données projet'!A37</f>
        <v>20</v>
      </c>
      <c r="B24" s="181">
        <f>'Données projet'!D37</f>
        <v>35</v>
      </c>
      <c r="C24" s="193">
        <v>13.75</v>
      </c>
      <c r="D24" s="182">
        <f t="shared" ref="D24:D42" si="2">B24*C24</f>
        <v>481.25</v>
      </c>
      <c r="E24" s="193">
        <v>60</v>
      </c>
      <c r="F24" s="233"/>
      <c r="H24" s="190">
        <v>5</v>
      </c>
      <c r="I24" s="191">
        <v>5000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22745.867687029731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">
      <c r="A25" s="180">
        <f>'Données projet'!A38</f>
        <v>25</v>
      </c>
      <c r="B25" s="181">
        <f>'Données projet'!D38</f>
        <v>35</v>
      </c>
      <c r="C25" s="193">
        <v>13.75</v>
      </c>
      <c r="D25" s="182">
        <f t="shared" si="2"/>
        <v>481.25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160</v>
      </c>
      <c r="Q25" s="234"/>
      <c r="R25" s="23"/>
      <c r="S25" s="186" t="s">
        <v>266</v>
      </c>
      <c r="T25" s="299">
        <f ca="1">T23-T24</f>
        <v>-298890.63312166207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">
      <c r="A26" s="180">
        <f>'Données projet'!A39</f>
        <v>30</v>
      </c>
      <c r="B26" s="181">
        <f>'Données projet'!D39</f>
        <v>35</v>
      </c>
      <c r="C26" s="193">
        <v>23.75</v>
      </c>
      <c r="D26" s="182">
        <f t="shared" si="2"/>
        <v>831.25</v>
      </c>
      <c r="E26" s="193">
        <v>60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">
      <c r="A27" s="180">
        <f>'Données projet'!A40</f>
        <v>35</v>
      </c>
      <c r="B27" s="181">
        <f>'Données projet'!D40</f>
        <v>35</v>
      </c>
      <c r="C27" s="193">
        <v>23.75</v>
      </c>
      <c r="D27" s="182">
        <f t="shared" si="2"/>
        <v>831.25</v>
      </c>
      <c r="E27" s="193">
        <v>60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">
      <c r="A28" s="180">
        <f>'Données projet'!A41</f>
        <v>40</v>
      </c>
      <c r="B28" s="181">
        <f>'Données projet'!D41</f>
        <v>35</v>
      </c>
      <c r="C28" s="193">
        <v>23.75</v>
      </c>
      <c r="D28" s="182">
        <f t="shared" si="2"/>
        <v>831.25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">
      <c r="A29" s="180">
        <f>'Données projet'!A42</f>
        <v>45</v>
      </c>
      <c r="B29" s="181">
        <f>'Données projet'!D42</f>
        <v>24</v>
      </c>
      <c r="C29" s="193">
        <v>23.75</v>
      </c>
      <c r="D29" s="182">
        <f t="shared" si="2"/>
        <v>570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">
      <c r="A30" s="180">
        <f>'Données projet'!A43</f>
        <v>50</v>
      </c>
      <c r="B30" s="181">
        <f>'Données projet'!D43</f>
        <v>19</v>
      </c>
      <c r="C30" s="193">
        <v>23.75</v>
      </c>
      <c r="D30" s="182">
        <f t="shared" si="2"/>
        <v>451.25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3610.4551884174175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">
      <c r="A31" s="180">
        <f>'Données projet'!A44</f>
        <v>55</v>
      </c>
      <c r="B31" s="181">
        <f>'Données projet'!D44</f>
        <v>16</v>
      </c>
      <c r="C31" s="193">
        <v>44.375</v>
      </c>
      <c r="D31" s="182">
        <f t="shared" si="2"/>
        <v>710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">
      <c r="A32" s="180">
        <f>'Données projet'!A45</f>
        <v>60</v>
      </c>
      <c r="B32" s="181">
        <f>'Données projet'!D45</f>
        <v>14</v>
      </c>
      <c r="C32" s="193">
        <v>44.375</v>
      </c>
      <c r="D32" s="182">
        <f t="shared" si="2"/>
        <v>621.25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">
      <c r="A33" s="180">
        <f>'Données projet'!A46</f>
        <v>65</v>
      </c>
      <c r="B33" s="181">
        <f>'Données projet'!D46</f>
        <v>13</v>
      </c>
      <c r="C33" s="193">
        <v>44.375</v>
      </c>
      <c r="D33" s="182">
        <f t="shared" si="2"/>
        <v>576.875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160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">
      <c r="A34" s="180">
        <f>'Données projet'!A47</f>
        <v>70</v>
      </c>
      <c r="B34" s="181">
        <f>'Données projet'!D47</f>
        <v>13</v>
      </c>
      <c r="C34" s="193">
        <v>44.375</v>
      </c>
      <c r="D34" s="182">
        <f t="shared" si="2"/>
        <v>576.875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153.11004784688996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">
      <c r="A35" s="180">
        <f>'Données projet'!A48</f>
        <v>75</v>
      </c>
      <c r="B35" s="181">
        <f>'Données projet'!D48</f>
        <v>12</v>
      </c>
      <c r="C35" s="193">
        <v>44.375</v>
      </c>
      <c r="D35" s="182">
        <f t="shared" si="2"/>
        <v>532.5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146.51679219798083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">
      <c r="A36" s="180">
        <f>'Données projet'!A49</f>
        <v>80</v>
      </c>
      <c r="B36" s="181">
        <f>'Données projet'!D49</f>
        <v>330</v>
      </c>
      <c r="C36" s="193">
        <v>44.375</v>
      </c>
      <c r="D36" s="182">
        <f t="shared" si="2"/>
        <v>14643.75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140.2074566487855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134.16981497491437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128.39216744010946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122.86331812450669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117.57255322919299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112.50962031501726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107.66470843542322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103.02842912480692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98.59179820555687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">
      <c r="A45" s="46" t="s">
        <v>166</v>
      </c>
      <c r="B45" s="174" t="str">
        <f>IF('Données projet'!$B$10="","",'Données projet'!$B$10)</f>
        <v>Erable sycomore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94.346218378523332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90.283462563180223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86.395657955196413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82.675270770522872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79.115091646433399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75.708221671228131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72.448059015529324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69.328286139262516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66.342857549533534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">
      <c r="A54" s="180">
        <f>'Données projet'!A62</f>
        <v>15</v>
      </c>
      <c r="B54" s="181">
        <f>'Données projet'!D62</f>
        <v>32</v>
      </c>
      <c r="C54" s="191">
        <v>13.75</v>
      </c>
      <c r="D54" s="179">
        <f>B54*C54</f>
        <v>440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63.485988085678009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">
      <c r="A55" s="180">
        <f>'Données projet'!A63</f>
        <v>20</v>
      </c>
      <c r="B55" s="181">
        <f>'Données projet'!D63</f>
        <v>35</v>
      </c>
      <c r="C55" s="191">
        <v>13.75</v>
      </c>
      <c r="D55" s="179">
        <f t="shared" ref="D55:D73" si="4">B55*C55</f>
        <v>481.25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60.752141708782808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">
      <c r="A56" s="180">
        <f>'Données projet'!A64</f>
        <v>25</v>
      </c>
      <c r="B56" s="181">
        <f>'Données projet'!D64</f>
        <v>35</v>
      </c>
      <c r="C56" s="191">
        <v>13.75</v>
      </c>
      <c r="D56" s="179">
        <f t="shared" si="4"/>
        <v>481.25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58.136020773954833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">
      <c r="A57" s="180">
        <f>'Données projet'!A65</f>
        <v>30</v>
      </c>
      <c r="B57" s="181">
        <f>'Données projet'!D65</f>
        <v>35</v>
      </c>
      <c r="C57" s="191">
        <v>23.75</v>
      </c>
      <c r="D57" s="179">
        <f t="shared" si="4"/>
        <v>831.25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55.632555764550091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">
      <c r="A58" s="180">
        <f>'Données projet'!A66</f>
        <v>35</v>
      </c>
      <c r="B58" s="181">
        <f>'Données projet'!D66</f>
        <v>35</v>
      </c>
      <c r="C58" s="191">
        <v>23.75</v>
      </c>
      <c r="D58" s="179">
        <f t="shared" si="4"/>
        <v>831.25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53.236895468468994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">
      <c r="A59" s="180">
        <f>'Données projet'!A67</f>
        <v>40</v>
      </c>
      <c r="B59" s="181">
        <f>'Données projet'!D67</f>
        <v>35</v>
      </c>
      <c r="C59" s="191">
        <v>23.75</v>
      </c>
      <c r="D59" s="179">
        <f t="shared" si="4"/>
        <v>831.25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50.944397577482306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">
      <c r="A60" s="180">
        <f>'Données projet'!A68</f>
        <v>45</v>
      </c>
      <c r="B60" s="181">
        <f>'Données projet'!D68</f>
        <v>24</v>
      </c>
      <c r="C60" s="191">
        <v>23.75</v>
      </c>
      <c r="D60" s="179">
        <f t="shared" si="4"/>
        <v>570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48.750619691370623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">
      <c r="A61" s="180">
        <f>'Données projet'!A69</f>
        <v>50</v>
      </c>
      <c r="B61" s="181">
        <f>'Données projet'!D69</f>
        <v>19</v>
      </c>
      <c r="C61" s="191">
        <v>23.75</v>
      </c>
      <c r="D61" s="179">
        <f t="shared" si="4"/>
        <v>451.25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46.651310709445582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">
      <c r="A62" s="180">
        <f>'Données projet'!A70</f>
        <v>55</v>
      </c>
      <c r="B62" s="181">
        <f>'Données projet'!D70</f>
        <v>16</v>
      </c>
      <c r="C62" s="191">
        <v>44.375</v>
      </c>
      <c r="D62" s="179">
        <f t="shared" si="4"/>
        <v>710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44.642402592770885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">
      <c r="A63" s="180">
        <f>'Données projet'!A71</f>
        <v>60</v>
      </c>
      <c r="B63" s="181">
        <f>'Données projet'!D71</f>
        <v>14</v>
      </c>
      <c r="C63" s="191">
        <v>44.375</v>
      </c>
      <c r="D63" s="179">
        <f t="shared" si="4"/>
        <v>621.25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42.720002481120481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">
      <c r="A64" s="180">
        <f>'Données projet'!A72</f>
        <v>65</v>
      </c>
      <c r="B64" s="181">
        <f>'Données projet'!D72</f>
        <v>13</v>
      </c>
      <c r="C64" s="191">
        <v>44.375</v>
      </c>
      <c r="D64" s="179">
        <f t="shared" si="4"/>
        <v>576.875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40.880385149397583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">
      <c r="A65" s="180">
        <f>'Données projet'!A73</f>
        <v>70</v>
      </c>
      <c r="B65" s="181">
        <f>'Données projet'!D73</f>
        <v>13</v>
      </c>
      <c r="C65" s="191">
        <v>44.375</v>
      </c>
      <c r="D65" s="179">
        <f t="shared" si="4"/>
        <v>576.875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39.119985788897225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">
      <c r="A66" s="180">
        <f>'Données projet'!A74</f>
        <v>75</v>
      </c>
      <c r="B66" s="181">
        <f>'Données projet'!D74</f>
        <v>12</v>
      </c>
      <c r="C66" s="191">
        <v>44.375</v>
      </c>
      <c r="D66" s="179">
        <f t="shared" si="4"/>
        <v>532.5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37.435393099423187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">
      <c r="A67" s="180">
        <f>'Données projet'!A75</f>
        <v>80</v>
      </c>
      <c r="B67" s="181">
        <f>'Données projet'!D75</f>
        <v>330</v>
      </c>
      <c r="C67" s="191">
        <v>44.375</v>
      </c>
      <c r="D67" s="179">
        <f t="shared" si="4"/>
        <v>14643.75</v>
      </c>
      <c r="E67" s="193">
        <v>60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35.823342678873871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34.28071069748696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32.80450784448513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31.391873535392474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30.040070368796631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28.746478821814957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27.508592173985612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26.324011649747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25.190441770092828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">
      <c r="A76" s="46" t="s">
        <v>167</v>
      </c>
      <c r="B76" s="174" t="str">
        <f>IF('Données projet'!B11="","",'Données projet'!B11)</f>
        <v>Noyer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24.105685904395049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23.067642013775171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22.074298577775281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21.123730696435683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20.214096360225529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19.343632880598602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18.510653474257037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17.713543994504345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16.950759803353439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">
      <c r="A85" s="180">
        <f>'Données projet'!A88</f>
        <v>15</v>
      </c>
      <c r="B85" s="181">
        <f>'Données projet'!D88</f>
        <v>32</v>
      </c>
      <c r="C85" s="191">
        <v>13.75</v>
      </c>
      <c r="D85" s="179">
        <f>B85*C85</f>
        <v>440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16.220822778328653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">
      <c r="A86" s="180">
        <f>'Données projet'!A89</f>
        <v>20</v>
      </c>
      <c r="B86" s="181">
        <f>'Données projet'!D89</f>
        <v>35</v>
      </c>
      <c r="C86" s="191">
        <v>13.75</v>
      </c>
      <c r="D86" s="179">
        <f t="shared" ref="D86:D104" si="6">B86*C86</f>
        <v>481.25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15.522318448161391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">
      <c r="A87" s="180">
        <f>'Données projet'!A90</f>
        <v>25</v>
      </c>
      <c r="B87" s="181">
        <f>'Données projet'!D90</f>
        <v>35</v>
      </c>
      <c r="C87" s="191">
        <v>13.75</v>
      </c>
      <c r="D87" s="179">
        <f t="shared" si="6"/>
        <v>481.25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14.853893251829088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">
      <c r="A88" s="180">
        <f>'Données projet'!A91</f>
        <v>30</v>
      </c>
      <c r="B88" s="181">
        <f>'Données projet'!D91</f>
        <v>35</v>
      </c>
      <c r="C88" s="191">
        <v>23.75</v>
      </c>
      <c r="D88" s="179">
        <f t="shared" si="6"/>
        <v>831.25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14.214251915625919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">
      <c r="A89" s="180">
        <f>'Données projet'!A92</f>
        <v>35</v>
      </c>
      <c r="B89" s="181">
        <f>'Données projet'!D92</f>
        <v>35</v>
      </c>
      <c r="C89" s="191">
        <v>23.75</v>
      </c>
      <c r="D89" s="179">
        <f t="shared" si="6"/>
        <v>831.25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13.6021549431827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">
      <c r="A90" s="180">
        <f>'Données projet'!A93</f>
        <v>40</v>
      </c>
      <c r="B90" s="181">
        <f>'Données projet'!D93</f>
        <v>35</v>
      </c>
      <c r="C90" s="191">
        <v>23.75</v>
      </c>
      <c r="D90" s="179">
        <f t="shared" si="6"/>
        <v>831.25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13.016416213571965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">
      <c r="A91" s="180">
        <f>'Données projet'!A94</f>
        <v>45</v>
      </c>
      <c r="B91" s="181">
        <f>'Données projet'!D94</f>
        <v>24</v>
      </c>
      <c r="C91" s="191">
        <v>23.75</v>
      </c>
      <c r="D91" s="179">
        <f t="shared" si="6"/>
        <v>570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12.455900682843987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">
      <c r="A92" s="180">
        <f>'Données projet'!A95</f>
        <v>50</v>
      </c>
      <c r="B92" s="181">
        <f>'Données projet'!D95</f>
        <v>19</v>
      </c>
      <c r="C92" s="191">
        <v>23.75</v>
      </c>
      <c r="D92" s="179">
        <f t="shared" si="6"/>
        <v>451.25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11.919522184539701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">
      <c r="A93" s="180">
        <f>'Données projet'!A96</f>
        <v>55</v>
      </c>
      <c r="B93" s="181">
        <f>'Données projet'!D96</f>
        <v>16</v>
      </c>
      <c r="C93" s="191">
        <v>44.375</v>
      </c>
      <c r="D93" s="179">
        <f t="shared" si="6"/>
        <v>710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11.406241324918376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">
      <c r="A94" s="180">
        <f>'Données projet'!A97</f>
        <v>60</v>
      </c>
      <c r="B94" s="181">
        <f>'Données projet'!D97</f>
        <v>14</v>
      </c>
      <c r="C94" s="191">
        <v>44.375</v>
      </c>
      <c r="D94" s="179">
        <f t="shared" si="6"/>
        <v>621.25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10.91506346882141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">
      <c r="A95" s="180">
        <f>'Données projet'!A98</f>
        <v>65</v>
      </c>
      <c r="B95" s="181">
        <f>'Données projet'!D98</f>
        <v>13</v>
      </c>
      <c r="C95" s="191">
        <v>44.375</v>
      </c>
      <c r="D95" s="179">
        <f t="shared" si="6"/>
        <v>576.875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10.445036812269297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">
      <c r="A96" s="180">
        <f>'Données projet'!A99</f>
        <v>70</v>
      </c>
      <c r="B96" s="181">
        <f>'Données projet'!D99</f>
        <v>13</v>
      </c>
      <c r="C96" s="191">
        <v>44.375</v>
      </c>
      <c r="D96" s="179">
        <f t="shared" si="6"/>
        <v>576.875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9.9952505380567409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">
      <c r="A97" s="180">
        <f>'Données projet'!A100</f>
        <v>75</v>
      </c>
      <c r="B97" s="181">
        <f>'Données projet'!D100</f>
        <v>12</v>
      </c>
      <c r="C97" s="191">
        <v>44.375</v>
      </c>
      <c r="D97" s="179">
        <f t="shared" si="6"/>
        <v>532.5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9.5648330507720072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">
      <c r="A98" s="180">
        <f>'Données projet'!A101</f>
        <v>80</v>
      </c>
      <c r="B98" s="181">
        <f>'Données projet'!D101</f>
        <v>330</v>
      </c>
      <c r="C98" s="191">
        <v>44.375</v>
      </c>
      <c r="D98" s="179">
        <f t="shared" si="6"/>
        <v>14643.75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9.1529502878201026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8.758804103177134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8.3816307207436687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8.0206992543001618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7.675310291196328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7.3447945370299808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7.0285115186889771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6.725848343243042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6.4362185102804235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">
      <c r="A107" s="46" t="s">
        <v>168</v>
      </c>
      <c r="B107" s="174" t="str">
        <f>IF('Données projet'!B12="","",'Données projet'!B12)</f>
        <v>Bouleau verruqueux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6.1590607753879656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5.8938380625722155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5.6400364235140836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5.3971640416402709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5.1647502790816002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4.9423447646713878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4.7295165212166408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">
      <c r="A116" s="180">
        <f>'Données projet'!A114</f>
        <v>15</v>
      </c>
      <c r="B116" s="181">
        <f>'Données projet'!D114</f>
        <v>0</v>
      </c>
      <c r="C116" s="191">
        <v>13.5625</v>
      </c>
      <c r="D116" s="179">
        <f>B116*C116</f>
        <v>0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">
      <c r="A117" s="180">
        <f>'Données projet'!A115</f>
        <v>20</v>
      </c>
      <c r="B117" s="181">
        <f>'Données projet'!D115</f>
        <v>5.7692307692307692</v>
      </c>
      <c r="C117" s="191">
        <v>13.5625</v>
      </c>
      <c r="D117" s="179">
        <f t="shared" ref="D117:D135" si="8">B117*C117</f>
        <v>78.245192307692307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">
      <c r="A118" s="180">
        <f>'Données projet'!A116</f>
        <v>25</v>
      </c>
      <c r="B118" s="181">
        <f>'Données projet'!D116</f>
        <v>5.1282051282051277</v>
      </c>
      <c r="C118" s="191">
        <v>13.5625</v>
      </c>
      <c r="D118" s="179">
        <f t="shared" si="8"/>
        <v>69.551282051282044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">
      <c r="A119" s="180">
        <f>'Données projet'!A117</f>
        <v>30</v>
      </c>
      <c r="B119" s="181">
        <f>'Données projet'!D117</f>
        <v>5.7692307692307692</v>
      </c>
      <c r="C119" s="191">
        <v>13.5625</v>
      </c>
      <c r="D119" s="179">
        <f t="shared" si="8"/>
        <v>78.245192307692307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">
      <c r="A120" s="180">
        <f>'Données projet'!A118</f>
        <v>35</v>
      </c>
      <c r="B120" s="181">
        <f>'Données projet'!D118</f>
        <v>6.4102564102564097</v>
      </c>
      <c r="C120" s="191">
        <v>13.5625</v>
      </c>
      <c r="D120" s="179">
        <f t="shared" si="8"/>
        <v>86.939102564102555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">
      <c r="A121" s="180">
        <f>'Données projet'!A119</f>
        <v>40</v>
      </c>
      <c r="B121" s="181">
        <f>'Données projet'!D119</f>
        <v>6.4102564102564097</v>
      </c>
      <c r="C121" s="191">
        <v>13.5625</v>
      </c>
      <c r="D121" s="179">
        <f t="shared" si="8"/>
        <v>86.939102564102555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">
      <c r="A122" s="180">
        <f>'Données projet'!A120</f>
        <v>45</v>
      </c>
      <c r="B122" s="181">
        <f>'Données projet'!D120</f>
        <v>7.0512820512820511</v>
      </c>
      <c r="C122" s="191">
        <v>13.5625</v>
      </c>
      <c r="D122" s="179">
        <f t="shared" si="8"/>
        <v>95.633012820512818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">
      <c r="A123" s="180">
        <f>'Données projet'!A121</f>
        <v>50</v>
      </c>
      <c r="B123" s="181">
        <f>'Données projet'!D121</f>
        <v>7.0512820512820511</v>
      </c>
      <c r="C123" s="191">
        <v>13.5625</v>
      </c>
      <c r="D123" s="179">
        <f t="shared" si="8"/>
        <v>95.633012820512818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">
      <c r="A124" s="180">
        <f>'Données projet'!A122</f>
        <v>55</v>
      </c>
      <c r="B124" s="181">
        <f>'Données projet'!D122</f>
        <v>7.0512820512820511</v>
      </c>
      <c r="C124" s="191">
        <v>13.5625</v>
      </c>
      <c r="D124" s="179">
        <f t="shared" si="8"/>
        <v>95.633012820512818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">
      <c r="A125" s="180">
        <f>'Données projet'!A123</f>
        <v>60</v>
      </c>
      <c r="B125" s="181">
        <f>'Données projet'!D123</f>
        <v>7.0512820512820511</v>
      </c>
      <c r="C125" s="191">
        <v>13.5625</v>
      </c>
      <c r="D125" s="179">
        <f t="shared" si="8"/>
        <v>95.633012820512818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">
      <c r="A126" s="180">
        <f>'Données projet'!A124</f>
        <v>65</v>
      </c>
      <c r="B126" s="181">
        <f>'Données projet'!D124</f>
        <v>7.0512820512820511</v>
      </c>
      <c r="C126" s="191">
        <v>13.5625</v>
      </c>
      <c r="D126" s="179">
        <f t="shared" si="8"/>
        <v>95.633012820512818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">
      <c r="A127" s="180">
        <f>'Données projet'!A125</f>
        <v>70</v>
      </c>
      <c r="B127" s="181">
        <f>'Données projet'!D125</f>
        <v>7.0512820512820511</v>
      </c>
      <c r="C127" s="191">
        <v>13.5625</v>
      </c>
      <c r="D127" s="179">
        <f t="shared" si="8"/>
        <v>95.633012820512818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">
      <c r="A128" s="180">
        <f>'Données projet'!A126</f>
        <v>75</v>
      </c>
      <c r="B128" s="181">
        <f>'Données projet'!D126</f>
        <v>7.0512820512820511</v>
      </c>
      <c r="C128" s="191">
        <v>13.5625</v>
      </c>
      <c r="D128" s="179">
        <f t="shared" si="8"/>
        <v>95.633012820512818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">
      <c r="A129" s="180">
        <f>'Données projet'!A127</f>
        <v>80</v>
      </c>
      <c r="B129" s="181">
        <f>'Données projet'!D127</f>
        <v>7.0512820512820511</v>
      </c>
      <c r="C129" s="191">
        <v>13.5625</v>
      </c>
      <c r="D129" s="179">
        <f t="shared" si="8"/>
        <v>95.633012820512818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">
      <c r="A130" s="180">
        <f>'Données projet'!A128</f>
        <v>85</v>
      </c>
      <c r="B130" s="181">
        <f>'Données projet'!D128</f>
        <v>6.4102564102564097</v>
      </c>
      <c r="C130" s="191">
        <v>13.5625</v>
      </c>
      <c r="D130" s="179">
        <f t="shared" si="8"/>
        <v>86.939102564102555</v>
      </c>
      <c r="E130" s="193">
        <v>60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">
      <c r="A131" s="180">
        <f>'Données projet'!A129</f>
        <v>90</v>
      </c>
      <c r="B131" s="181">
        <f>'Données projet'!D129</f>
        <v>129.48717948717947</v>
      </c>
      <c r="C131" s="191">
        <v>13.5625</v>
      </c>
      <c r="D131" s="179">
        <f t="shared" si="8"/>
        <v>1756.1698717948716</v>
      </c>
      <c r="E131" s="193">
        <v>60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">
      <c r="A138" s="46" t="s">
        <v>169</v>
      </c>
      <c r="B138" s="174" t="str">
        <f>IF('Données projet'!B13="","",'Données projet'!B13)</f>
        <v>Erable plane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">
      <c r="A147" s="42">
        <f>'Données projet'!A140</f>
        <v>15</v>
      </c>
      <c r="B147" s="175">
        <f>'Données projet'!D140</f>
        <v>32</v>
      </c>
      <c r="C147" s="191">
        <v>13.75</v>
      </c>
      <c r="D147" s="182">
        <f>B147*C147</f>
        <v>440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">
      <c r="A148" s="42">
        <f>'Données projet'!A141</f>
        <v>20</v>
      </c>
      <c r="B148" s="175">
        <f>'Données projet'!D141</f>
        <v>35</v>
      </c>
      <c r="C148" s="191">
        <v>13.75</v>
      </c>
      <c r="D148" s="182">
        <f t="shared" ref="D148:D166" si="10">B148*C148</f>
        <v>481.25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">
      <c r="A149" s="42">
        <f>'Données projet'!A142</f>
        <v>25</v>
      </c>
      <c r="B149" s="175">
        <f>'Données projet'!D142</f>
        <v>35</v>
      </c>
      <c r="C149" s="191">
        <v>13.75</v>
      </c>
      <c r="D149" s="182">
        <f t="shared" si="10"/>
        <v>481.25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">
      <c r="A150" s="42">
        <f>'Données projet'!A143</f>
        <v>30</v>
      </c>
      <c r="B150" s="175">
        <f>'Données projet'!D143</f>
        <v>35</v>
      </c>
      <c r="C150" s="191">
        <v>23.75</v>
      </c>
      <c r="D150" s="182">
        <f t="shared" si="10"/>
        <v>831.25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">
      <c r="A151" s="42">
        <f>'Données projet'!A144</f>
        <v>35</v>
      </c>
      <c r="B151" s="175">
        <f>'Données projet'!D144</f>
        <v>35</v>
      </c>
      <c r="C151" s="191">
        <v>23.75</v>
      </c>
      <c r="D151" s="182">
        <f t="shared" si="10"/>
        <v>831.25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">
      <c r="A152" s="42">
        <f>'Données projet'!A145</f>
        <v>40</v>
      </c>
      <c r="B152" s="175">
        <f>'Données projet'!D145</f>
        <v>35</v>
      </c>
      <c r="C152" s="191">
        <v>23.75</v>
      </c>
      <c r="D152" s="182">
        <f t="shared" si="10"/>
        <v>831.25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">
      <c r="A153" s="42">
        <f>'Données projet'!A146</f>
        <v>45</v>
      </c>
      <c r="B153" s="175">
        <f>'Données projet'!D146</f>
        <v>24</v>
      </c>
      <c r="C153" s="191">
        <v>23.75</v>
      </c>
      <c r="D153" s="182">
        <f t="shared" si="10"/>
        <v>570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">
      <c r="A154" s="42">
        <f>'Données projet'!A147</f>
        <v>50</v>
      </c>
      <c r="B154" s="175">
        <f>'Données projet'!D147</f>
        <v>19</v>
      </c>
      <c r="C154" s="191">
        <v>23.75</v>
      </c>
      <c r="D154" s="182">
        <f t="shared" si="10"/>
        <v>451.25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">
      <c r="A155" s="42">
        <f>'Données projet'!A148</f>
        <v>55</v>
      </c>
      <c r="B155" s="175">
        <f>'Données projet'!D148</f>
        <v>16</v>
      </c>
      <c r="C155" s="191">
        <v>44.375</v>
      </c>
      <c r="D155" s="182">
        <f t="shared" si="10"/>
        <v>710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">
      <c r="A156" s="42">
        <f>'Données projet'!A149</f>
        <v>60</v>
      </c>
      <c r="B156" s="175">
        <f>'Données projet'!D149</f>
        <v>14</v>
      </c>
      <c r="C156" s="191">
        <v>44.375</v>
      </c>
      <c r="D156" s="182">
        <f t="shared" si="10"/>
        <v>621.25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">
      <c r="A157" s="42">
        <f>'Données projet'!A150</f>
        <v>65</v>
      </c>
      <c r="B157" s="175">
        <f>'Données projet'!D150</f>
        <v>13</v>
      </c>
      <c r="C157" s="191">
        <v>44.375</v>
      </c>
      <c r="D157" s="182">
        <f t="shared" si="10"/>
        <v>576.875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">
      <c r="A158" s="42">
        <f>'Données projet'!A151</f>
        <v>70</v>
      </c>
      <c r="B158" s="175">
        <f>'Données projet'!D151</f>
        <v>13</v>
      </c>
      <c r="C158" s="191">
        <v>44.375</v>
      </c>
      <c r="D158" s="182">
        <f t="shared" si="10"/>
        <v>576.875</v>
      </c>
      <c r="E158" s="193">
        <v>60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">
      <c r="A159" s="42">
        <f>'Données projet'!A152</f>
        <v>75</v>
      </c>
      <c r="B159" s="175">
        <f>'Données projet'!D152</f>
        <v>12</v>
      </c>
      <c r="C159" s="191">
        <v>44.375</v>
      </c>
      <c r="D159" s="182">
        <f t="shared" si="10"/>
        <v>532.5</v>
      </c>
      <c r="E159" s="193">
        <v>60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">
      <c r="A160" s="42">
        <f>'Données projet'!A153</f>
        <v>80</v>
      </c>
      <c r="B160" s="175">
        <f>'Données projet'!D153</f>
        <v>330</v>
      </c>
      <c r="C160" s="191">
        <v>44.375</v>
      </c>
      <c r="D160" s="182">
        <f t="shared" si="10"/>
        <v>14643.75</v>
      </c>
      <c r="E160" s="193">
        <v>60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">
      <c r="A169" s="46" t="s">
        <v>170</v>
      </c>
      <c r="B169" s="174" t="str">
        <f>IF('Données projet'!B14="","",'Données projet'!B14)</f>
        <v>Chêne sessile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">
      <c r="A178" s="180">
        <f>'Données projet'!A166</f>
        <v>42</v>
      </c>
      <c r="B178" s="181">
        <f>'Données projet'!D166</f>
        <v>44.510000000000005</v>
      </c>
      <c r="C178" s="193">
        <v>15</v>
      </c>
      <c r="D178" s="179">
        <f>B178*C178</f>
        <v>667.65000000000009</v>
      </c>
      <c r="E178" s="193">
        <v>60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">
      <c r="A179" s="180">
        <f>'Données projet'!A167</f>
        <v>50</v>
      </c>
      <c r="B179" s="181">
        <f>'Données projet'!D167</f>
        <v>37.54000000000002</v>
      </c>
      <c r="C179" s="193">
        <v>15</v>
      </c>
      <c r="D179" s="179">
        <f t="shared" ref="D179:D197" si="11">B179*C179</f>
        <v>563.10000000000036</v>
      </c>
      <c r="E179" s="193">
        <v>60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">
      <c r="A180" s="180">
        <f>'Données projet'!A168</f>
        <v>58</v>
      </c>
      <c r="B180" s="181">
        <f>'Données projet'!D168</f>
        <v>47.789999999999992</v>
      </c>
      <c r="C180" s="193">
        <v>15</v>
      </c>
      <c r="D180" s="179">
        <f t="shared" si="11"/>
        <v>716.84999999999991</v>
      </c>
      <c r="E180" s="193">
        <v>60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">
      <c r="A181" s="180">
        <f>'Données projet'!A169</f>
        <v>66</v>
      </c>
      <c r="B181" s="181">
        <f>'Données projet'!D169</f>
        <v>53.679999999999978</v>
      </c>
      <c r="C181" s="193">
        <v>59.875</v>
      </c>
      <c r="D181" s="179">
        <f t="shared" si="11"/>
        <v>3214.0899999999988</v>
      </c>
      <c r="E181" s="193">
        <v>60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">
      <c r="A182" s="180">
        <f>'Données projet'!A170</f>
        <v>74</v>
      </c>
      <c r="B182" s="181">
        <f>'Données projet'!D170</f>
        <v>51.339999999999975</v>
      </c>
      <c r="C182" s="193">
        <v>59.875</v>
      </c>
      <c r="D182" s="179">
        <f t="shared" si="11"/>
        <v>3073.9824999999987</v>
      </c>
      <c r="E182" s="193">
        <v>60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">
      <c r="A183" s="180">
        <f>'Données projet'!A171</f>
        <v>84</v>
      </c>
      <c r="B183" s="181">
        <f>'Données projet'!D171</f>
        <v>66.69</v>
      </c>
      <c r="C183" s="193">
        <v>59.875</v>
      </c>
      <c r="D183" s="179">
        <f t="shared" si="11"/>
        <v>3993.0637499999998</v>
      </c>
      <c r="E183" s="193">
        <v>60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">
      <c r="A184" s="180">
        <f>'Données projet'!A172</f>
        <v>94</v>
      </c>
      <c r="B184" s="181">
        <f>'Données projet'!D172</f>
        <v>67.350000000000023</v>
      </c>
      <c r="C184" s="193">
        <v>59.875</v>
      </c>
      <c r="D184" s="179">
        <f t="shared" si="11"/>
        <v>4032.5812500000015</v>
      </c>
      <c r="E184" s="193">
        <v>60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">
      <c r="A185" s="180">
        <f>'Données projet'!A173</f>
        <v>104</v>
      </c>
      <c r="B185" s="181">
        <f>'Données projet'!D173</f>
        <v>66.089999999999975</v>
      </c>
      <c r="C185" s="193">
        <v>59.875</v>
      </c>
      <c r="D185" s="179">
        <f t="shared" si="11"/>
        <v>3957.1387499999987</v>
      </c>
      <c r="E185" s="193">
        <v>60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">
      <c r="A186" s="180">
        <f>'Données projet'!A174</f>
        <v>114</v>
      </c>
      <c r="B186" s="181">
        <f>'Données projet'!D174</f>
        <v>61.860000000000014</v>
      </c>
      <c r="C186" s="193">
        <v>59.875</v>
      </c>
      <c r="D186" s="179">
        <f t="shared" si="11"/>
        <v>3703.8675000000007</v>
      </c>
      <c r="E186" s="193">
        <v>60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">
      <c r="A187" s="180">
        <f>'Données projet'!A175</f>
        <v>124</v>
      </c>
      <c r="B187" s="181">
        <f>'Données projet'!D175</f>
        <v>57.81</v>
      </c>
      <c r="C187" s="193">
        <v>59.875</v>
      </c>
      <c r="D187" s="179">
        <f t="shared" si="11"/>
        <v>3461.3737500000002</v>
      </c>
      <c r="E187" s="193">
        <v>60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">
      <c r="A188" s="180">
        <f>'Données projet'!A176</f>
        <v>134</v>
      </c>
      <c r="B188" s="181">
        <f>'Données projet'!D176</f>
        <v>60.779999999999973</v>
      </c>
      <c r="C188" s="193">
        <v>179.75</v>
      </c>
      <c r="D188" s="179">
        <f t="shared" si="11"/>
        <v>10925.204999999994</v>
      </c>
      <c r="E188" s="193">
        <v>60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">
      <c r="A189" s="180">
        <f>'Données projet'!A177</f>
        <v>144</v>
      </c>
      <c r="B189" s="181">
        <f>'Données projet'!D177</f>
        <v>61.800000000000068</v>
      </c>
      <c r="C189" s="193">
        <v>179.75</v>
      </c>
      <c r="D189" s="179">
        <f t="shared" si="11"/>
        <v>11108.550000000012</v>
      </c>
      <c r="E189" s="193">
        <v>60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">
      <c r="A190" s="180">
        <f>'Données projet'!A178</f>
        <v>154</v>
      </c>
      <c r="B190" s="181">
        <f>'Données projet'!D178</f>
        <v>61.050000000000011</v>
      </c>
      <c r="C190" s="193">
        <v>179.75</v>
      </c>
      <c r="D190" s="179">
        <f t="shared" si="11"/>
        <v>10973.737500000003</v>
      </c>
      <c r="E190" s="193">
        <v>60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">
      <c r="A191" s="180">
        <f>'Données projet'!A179</f>
        <v>164</v>
      </c>
      <c r="B191" s="181">
        <f>'Données projet'!D179</f>
        <v>66.020000000000095</v>
      </c>
      <c r="C191" s="193">
        <v>179.75</v>
      </c>
      <c r="D191" s="179">
        <f t="shared" si="11"/>
        <v>11867.095000000018</v>
      </c>
      <c r="E191" s="193">
        <v>60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">
      <c r="A192" s="180">
        <f>'Données projet'!A180</f>
        <v>174</v>
      </c>
      <c r="B192" s="181">
        <f>'Données projet'!D180</f>
        <v>240</v>
      </c>
      <c r="C192" s="193">
        <v>234.375</v>
      </c>
      <c r="D192" s="179">
        <f t="shared" si="11"/>
        <v>56250</v>
      </c>
      <c r="E192" s="193">
        <v>60</v>
      </c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">
      <c r="A193" s="180">
        <f>'Données projet'!A181</f>
        <v>177</v>
      </c>
      <c r="B193" s="181">
        <f>'Données projet'!D181</f>
        <v>128.66000000000003</v>
      </c>
      <c r="C193" s="193">
        <v>234.375</v>
      </c>
      <c r="D193" s="179">
        <f t="shared" si="11"/>
        <v>30154.687500000007</v>
      </c>
      <c r="E193" s="193">
        <v>60</v>
      </c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">
      <c r="A194" s="180">
        <f>'Données projet'!A182</f>
        <v>180</v>
      </c>
      <c r="B194" s="181">
        <f>'Données projet'!D182</f>
        <v>86.97</v>
      </c>
      <c r="C194" s="193">
        <v>234.375</v>
      </c>
      <c r="D194" s="179">
        <f t="shared" si="11"/>
        <v>20383.59375</v>
      </c>
      <c r="E194" s="193">
        <v>60</v>
      </c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">
      <c r="A195" s="180">
        <f>'Données projet'!A183</f>
        <v>183</v>
      </c>
      <c r="B195" s="181">
        <f>'Données projet'!D183</f>
        <v>191.47</v>
      </c>
      <c r="C195" s="193">
        <v>234.375</v>
      </c>
      <c r="D195" s="179">
        <f t="shared" si="11"/>
        <v>44875.78125</v>
      </c>
      <c r="E195" s="193">
        <v>60</v>
      </c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">
      <c r="A200" s="46" t="s">
        <v>171</v>
      </c>
      <c r="B200" s="174" t="str">
        <f>IF('Données projet'!$B$15="","",'Données projet'!$B$15)</f>
        <v>Tilleul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">
      <c r="A209" s="180">
        <f>'Données projet'!A192</f>
        <v>42</v>
      </c>
      <c r="B209" s="181">
        <f>'Données projet'!D192</f>
        <v>44.510000000000005</v>
      </c>
      <c r="C209" s="193">
        <v>15</v>
      </c>
      <c r="D209" s="179">
        <f>B209*C209</f>
        <v>667.65000000000009</v>
      </c>
      <c r="E209" s="193">
        <v>60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">
      <c r="A210" s="180">
        <f>'Données projet'!A193</f>
        <v>50</v>
      </c>
      <c r="B210" s="181">
        <f>'Données projet'!D193</f>
        <v>37.54000000000002</v>
      </c>
      <c r="C210" s="193">
        <v>15</v>
      </c>
      <c r="D210" s="179">
        <f t="shared" ref="D210:D228" si="12">B210*C210</f>
        <v>563.10000000000036</v>
      </c>
      <c r="E210" s="193">
        <v>60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">
      <c r="A211" s="180">
        <f>'Données projet'!A194</f>
        <v>58</v>
      </c>
      <c r="B211" s="181">
        <f>'Données projet'!D194</f>
        <v>47.789999999999992</v>
      </c>
      <c r="C211" s="193">
        <v>15</v>
      </c>
      <c r="D211" s="179">
        <f t="shared" si="12"/>
        <v>716.84999999999991</v>
      </c>
      <c r="E211" s="193">
        <v>60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">
      <c r="A212" s="180">
        <f>'Données projet'!A195</f>
        <v>66</v>
      </c>
      <c r="B212" s="181">
        <f>'Données projet'!D195</f>
        <v>53.679999999999978</v>
      </c>
      <c r="C212" s="193">
        <v>59.875</v>
      </c>
      <c r="D212" s="179">
        <f t="shared" si="12"/>
        <v>3214.0899999999988</v>
      </c>
      <c r="E212" s="193">
        <v>60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">
      <c r="A213" s="180">
        <f>'Données projet'!A196</f>
        <v>74</v>
      </c>
      <c r="B213" s="181">
        <f>'Données projet'!D196</f>
        <v>51.339999999999975</v>
      </c>
      <c r="C213" s="193">
        <v>59.875</v>
      </c>
      <c r="D213" s="179">
        <f t="shared" si="12"/>
        <v>3073.9824999999987</v>
      </c>
      <c r="E213" s="193">
        <v>60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">
      <c r="A214" s="180">
        <f>'Données projet'!A197</f>
        <v>84</v>
      </c>
      <c r="B214" s="181">
        <f>'Données projet'!D197</f>
        <v>66.69</v>
      </c>
      <c r="C214" s="193">
        <v>59.875</v>
      </c>
      <c r="D214" s="179">
        <f t="shared" si="12"/>
        <v>3993.0637499999998</v>
      </c>
      <c r="E214" s="193">
        <v>60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">
      <c r="A215" s="180">
        <f>'Données projet'!A198</f>
        <v>94</v>
      </c>
      <c r="B215" s="181">
        <f>'Données projet'!D198</f>
        <v>67.350000000000023</v>
      </c>
      <c r="C215" s="193">
        <v>59.875</v>
      </c>
      <c r="D215" s="179">
        <f t="shared" si="12"/>
        <v>4032.5812500000015</v>
      </c>
      <c r="E215" s="193">
        <v>60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">
      <c r="A216" s="180">
        <f>'Données projet'!A199</f>
        <v>104</v>
      </c>
      <c r="B216" s="181">
        <f>'Données projet'!D199</f>
        <v>66.089999999999975</v>
      </c>
      <c r="C216" s="193">
        <v>59.875</v>
      </c>
      <c r="D216" s="179">
        <f t="shared" si="12"/>
        <v>3957.1387499999987</v>
      </c>
      <c r="E216" s="193">
        <v>60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">
      <c r="A217" s="180">
        <f>'Données projet'!A200</f>
        <v>114</v>
      </c>
      <c r="B217" s="181">
        <f>'Données projet'!D200</f>
        <v>61.860000000000014</v>
      </c>
      <c r="C217" s="193">
        <v>59.875</v>
      </c>
      <c r="D217" s="179">
        <f t="shared" si="12"/>
        <v>3703.8675000000007</v>
      </c>
      <c r="E217" s="193">
        <v>60</v>
      </c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">
      <c r="A218" s="180">
        <f>'Données projet'!A201</f>
        <v>124</v>
      </c>
      <c r="B218" s="181">
        <f>'Données projet'!D201</f>
        <v>57.81</v>
      </c>
      <c r="C218" s="193">
        <v>59.875</v>
      </c>
      <c r="D218" s="179">
        <f t="shared" si="12"/>
        <v>3461.3737500000002</v>
      </c>
      <c r="E218" s="193">
        <v>60</v>
      </c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">
      <c r="A219" s="180">
        <f>'Données projet'!A202</f>
        <v>134</v>
      </c>
      <c r="B219" s="181">
        <f>'Données projet'!D202</f>
        <v>60.779999999999973</v>
      </c>
      <c r="C219" s="193">
        <v>179.75</v>
      </c>
      <c r="D219" s="179">
        <f t="shared" si="12"/>
        <v>10925.204999999994</v>
      </c>
      <c r="E219" s="193">
        <v>60</v>
      </c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">
      <c r="A220" s="180">
        <f>'Données projet'!A203</f>
        <v>144</v>
      </c>
      <c r="B220" s="181">
        <f>'Données projet'!D203</f>
        <v>61.800000000000068</v>
      </c>
      <c r="C220" s="193">
        <v>179.75</v>
      </c>
      <c r="D220" s="179">
        <f t="shared" si="12"/>
        <v>11108.550000000012</v>
      </c>
      <c r="E220" s="193">
        <v>60</v>
      </c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">
      <c r="A221" s="180">
        <f>'Données projet'!A204</f>
        <v>154</v>
      </c>
      <c r="B221" s="181">
        <f>'Données projet'!D204</f>
        <v>61.050000000000011</v>
      </c>
      <c r="C221" s="193">
        <v>179.75</v>
      </c>
      <c r="D221" s="179">
        <f t="shared" si="12"/>
        <v>10973.737500000003</v>
      </c>
      <c r="E221" s="193">
        <v>60</v>
      </c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">
      <c r="A222" s="180">
        <f>'Données projet'!A205</f>
        <v>164</v>
      </c>
      <c r="B222" s="181">
        <f>'Données projet'!D205</f>
        <v>66.020000000000095</v>
      </c>
      <c r="C222" s="193">
        <v>179.75</v>
      </c>
      <c r="D222" s="179">
        <f t="shared" si="12"/>
        <v>11867.095000000018</v>
      </c>
      <c r="E222" s="193">
        <v>60</v>
      </c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">
      <c r="A223" s="180">
        <f>'Données projet'!A206</f>
        <v>174</v>
      </c>
      <c r="B223" s="181">
        <f>'Données projet'!D206</f>
        <v>240</v>
      </c>
      <c r="C223" s="193">
        <v>234.375</v>
      </c>
      <c r="D223" s="179">
        <f t="shared" si="12"/>
        <v>56250</v>
      </c>
      <c r="E223" s="193">
        <v>60</v>
      </c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">
      <c r="A224" s="180">
        <f>'Données projet'!A207</f>
        <v>177</v>
      </c>
      <c r="B224" s="181">
        <f>'Données projet'!D207</f>
        <v>128.66000000000003</v>
      </c>
      <c r="C224" s="193">
        <v>234.375</v>
      </c>
      <c r="D224" s="179">
        <f t="shared" si="12"/>
        <v>30154.687500000007</v>
      </c>
      <c r="E224" s="193">
        <v>60</v>
      </c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">
      <c r="A225" s="180">
        <f>'Données projet'!A208</f>
        <v>180</v>
      </c>
      <c r="B225" s="181">
        <f>'Données projet'!D208</f>
        <v>86.97</v>
      </c>
      <c r="C225" s="193">
        <v>234.375</v>
      </c>
      <c r="D225" s="179">
        <f t="shared" si="12"/>
        <v>20383.59375</v>
      </c>
      <c r="E225" s="193">
        <v>60</v>
      </c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">
      <c r="A226" s="180">
        <f>'Données projet'!A209</f>
        <v>183</v>
      </c>
      <c r="B226" s="181">
        <f>'Données projet'!D209</f>
        <v>191.47</v>
      </c>
      <c r="C226" s="193">
        <v>234.375</v>
      </c>
      <c r="D226" s="179">
        <f t="shared" si="12"/>
        <v>44875.78125</v>
      </c>
      <c r="E226" s="193">
        <v>60</v>
      </c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">
      <c r="A231" s="46" t="s">
        <v>172</v>
      </c>
      <c r="B231" s="174" t="str">
        <f>IF('Données projet'!$B$16="","",'Données projet'!$B$16)</f>
        <v>Charme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">
      <c r="A240" s="180">
        <f>'Données projet'!A218</f>
        <v>42</v>
      </c>
      <c r="B240" s="181">
        <f>'Données projet'!D218</f>
        <v>44.510000000000005</v>
      </c>
      <c r="C240" s="193">
        <v>15</v>
      </c>
      <c r="D240" s="179">
        <f>B240*C240</f>
        <v>667.65000000000009</v>
      </c>
      <c r="E240" s="193">
        <v>60</v>
      </c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">
      <c r="A241" s="180">
        <f>'Données projet'!A219</f>
        <v>50</v>
      </c>
      <c r="B241" s="181">
        <f>'Données projet'!D219</f>
        <v>37.54000000000002</v>
      </c>
      <c r="C241" s="193">
        <v>15</v>
      </c>
      <c r="D241" s="179">
        <f t="shared" ref="D241:D259" si="13">B241*C241</f>
        <v>563.10000000000036</v>
      </c>
      <c r="E241" s="193">
        <v>60</v>
      </c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">
      <c r="A242" s="180">
        <f>'Données projet'!A220</f>
        <v>58</v>
      </c>
      <c r="B242" s="181">
        <f>'Données projet'!D220</f>
        <v>47.789999999999992</v>
      </c>
      <c r="C242" s="193">
        <v>15</v>
      </c>
      <c r="D242" s="179">
        <f t="shared" si="13"/>
        <v>716.84999999999991</v>
      </c>
      <c r="E242" s="193">
        <v>60</v>
      </c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">
      <c r="A243" s="180">
        <f>'Données projet'!A221</f>
        <v>66</v>
      </c>
      <c r="B243" s="181">
        <f>'Données projet'!D221</f>
        <v>53.679999999999978</v>
      </c>
      <c r="C243" s="193">
        <v>59.875</v>
      </c>
      <c r="D243" s="179">
        <f t="shared" si="13"/>
        <v>3214.0899999999988</v>
      </c>
      <c r="E243" s="193">
        <v>60</v>
      </c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">
      <c r="A244" s="180">
        <f>'Données projet'!A222</f>
        <v>74</v>
      </c>
      <c r="B244" s="181">
        <f>'Données projet'!D222</f>
        <v>51.339999999999975</v>
      </c>
      <c r="C244" s="193">
        <v>59.875</v>
      </c>
      <c r="D244" s="179">
        <f t="shared" si="13"/>
        <v>3073.9824999999987</v>
      </c>
      <c r="E244" s="193">
        <v>60</v>
      </c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">
      <c r="A245" s="180">
        <f>'Données projet'!A223</f>
        <v>84</v>
      </c>
      <c r="B245" s="181">
        <f>'Données projet'!D223</f>
        <v>66.69</v>
      </c>
      <c r="C245" s="193">
        <v>59.875</v>
      </c>
      <c r="D245" s="179">
        <f t="shared" si="13"/>
        <v>3993.0637499999998</v>
      </c>
      <c r="E245" s="193">
        <v>60</v>
      </c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">
      <c r="A246" s="180">
        <f>'Données projet'!A224</f>
        <v>94</v>
      </c>
      <c r="B246" s="181">
        <f>'Données projet'!D224</f>
        <v>67.350000000000023</v>
      </c>
      <c r="C246" s="193">
        <v>59.875</v>
      </c>
      <c r="D246" s="179">
        <f t="shared" si="13"/>
        <v>4032.5812500000015</v>
      </c>
      <c r="E246" s="193">
        <v>60</v>
      </c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">
      <c r="A247" s="180">
        <f>'Données projet'!A225</f>
        <v>104</v>
      </c>
      <c r="B247" s="181">
        <f>'Données projet'!D225</f>
        <v>66.089999999999975</v>
      </c>
      <c r="C247" s="193">
        <v>59.875</v>
      </c>
      <c r="D247" s="179">
        <f t="shared" si="13"/>
        <v>3957.1387499999987</v>
      </c>
      <c r="E247" s="193">
        <v>60</v>
      </c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">
      <c r="A248" s="180">
        <f>'Données projet'!A226</f>
        <v>114</v>
      </c>
      <c r="B248" s="181">
        <f>'Données projet'!D226</f>
        <v>61.860000000000014</v>
      </c>
      <c r="C248" s="193">
        <v>59.875</v>
      </c>
      <c r="D248" s="179">
        <f t="shared" si="13"/>
        <v>3703.8675000000007</v>
      </c>
      <c r="E248" s="193">
        <v>60</v>
      </c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">
      <c r="A249" s="180">
        <f>'Données projet'!A227</f>
        <v>124</v>
      </c>
      <c r="B249" s="181">
        <f>'Données projet'!D227</f>
        <v>57.81</v>
      </c>
      <c r="C249" s="193">
        <v>59.875</v>
      </c>
      <c r="D249" s="179">
        <f t="shared" si="13"/>
        <v>3461.3737500000002</v>
      </c>
      <c r="E249" s="193">
        <v>60</v>
      </c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">
      <c r="A250" s="180">
        <f>'Données projet'!A228</f>
        <v>134</v>
      </c>
      <c r="B250" s="181">
        <f>'Données projet'!D228</f>
        <v>60.779999999999973</v>
      </c>
      <c r="C250" s="193">
        <v>179.75</v>
      </c>
      <c r="D250" s="179">
        <f t="shared" si="13"/>
        <v>10925.204999999994</v>
      </c>
      <c r="E250" s="193">
        <v>60</v>
      </c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">
      <c r="A251" s="180">
        <f>'Données projet'!A229</f>
        <v>144</v>
      </c>
      <c r="B251" s="181">
        <f>'Données projet'!D229</f>
        <v>61.800000000000068</v>
      </c>
      <c r="C251" s="193">
        <v>179.75</v>
      </c>
      <c r="D251" s="179">
        <f t="shared" si="13"/>
        <v>11108.550000000012</v>
      </c>
      <c r="E251" s="193">
        <v>60</v>
      </c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">
      <c r="A252" s="180">
        <f>'Données projet'!A230</f>
        <v>154</v>
      </c>
      <c r="B252" s="181">
        <f>'Données projet'!D230</f>
        <v>61.050000000000011</v>
      </c>
      <c r="C252" s="193">
        <v>179.75</v>
      </c>
      <c r="D252" s="179">
        <f t="shared" si="13"/>
        <v>10973.737500000003</v>
      </c>
      <c r="E252" s="193">
        <v>60</v>
      </c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">
      <c r="A253" s="180">
        <f>'Données projet'!A231</f>
        <v>164</v>
      </c>
      <c r="B253" s="181">
        <f>'Données projet'!D231</f>
        <v>66.020000000000095</v>
      </c>
      <c r="C253" s="193">
        <v>179.75</v>
      </c>
      <c r="D253" s="179">
        <f t="shared" si="13"/>
        <v>11867.095000000018</v>
      </c>
      <c r="E253" s="193">
        <v>60</v>
      </c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">
      <c r="A254" s="180">
        <f>'Données projet'!A232</f>
        <v>174</v>
      </c>
      <c r="B254" s="181">
        <f>'Données projet'!D232</f>
        <v>240</v>
      </c>
      <c r="C254" s="193">
        <v>234.375</v>
      </c>
      <c r="D254" s="179">
        <f t="shared" si="13"/>
        <v>56250</v>
      </c>
      <c r="E254" s="193">
        <v>60</v>
      </c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">
      <c r="A255" s="180">
        <f>'Données projet'!A233</f>
        <v>177</v>
      </c>
      <c r="B255" s="181">
        <f>'Données projet'!D233</f>
        <v>128.66000000000003</v>
      </c>
      <c r="C255" s="193">
        <v>234.375</v>
      </c>
      <c r="D255" s="179">
        <f t="shared" si="13"/>
        <v>30154.687500000007</v>
      </c>
      <c r="E255" s="193">
        <v>60</v>
      </c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">
      <c r="A256" s="180">
        <f>'Données projet'!A234</f>
        <v>180</v>
      </c>
      <c r="B256" s="181">
        <f>'Données projet'!D234</f>
        <v>86.97</v>
      </c>
      <c r="C256" s="193">
        <v>234.375</v>
      </c>
      <c r="D256" s="179">
        <f t="shared" si="13"/>
        <v>20383.59375</v>
      </c>
      <c r="E256" s="193">
        <v>60</v>
      </c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">
      <c r="A257" s="180">
        <f>'Données projet'!A235</f>
        <v>183</v>
      </c>
      <c r="B257" s="181">
        <f>'Données projet'!D235</f>
        <v>191.47</v>
      </c>
      <c r="C257" s="193">
        <v>234.375</v>
      </c>
      <c r="D257" s="179">
        <f t="shared" si="13"/>
        <v>44875.78125</v>
      </c>
      <c r="E257" s="193">
        <v>60</v>
      </c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729B9B-83FB-4BCE-8540-A1FA624839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6861AC-80B4-4803-8030-7424409AD984}">
  <ds:schemaRefs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0b31a522-a3bf-48c4-bec5-a17f159ba481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e2382d34-9bb8-44b7-b653-fe70b92f328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Constantin DESCAMPS</cp:lastModifiedBy>
  <dcterms:created xsi:type="dcterms:W3CDTF">2021-02-01T08:22:39Z</dcterms:created>
  <dcterms:modified xsi:type="dcterms:W3CDTF">2025-02-20T15:41:23Z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