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leur.alonso\Nextcloud\Documents partagés C+FOR\Fleur\62- Auxi le Château\Dossier LBC\"/>
    </mc:Choice>
  </mc:AlternateContent>
  <bookViews>
    <workbookView xWindow="0" yWindow="0" windowWidth="20496" windowHeight="7752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3" i="1" l="1"/>
  <c r="D233" i="1" s="1"/>
  <c r="B232" i="1"/>
  <c r="B231" i="1"/>
  <c r="B230" i="1"/>
  <c r="B229" i="1"/>
  <c r="B228" i="1"/>
  <c r="B227" i="1"/>
  <c r="B226" i="1"/>
  <c r="B225" i="1"/>
  <c r="B224" i="1"/>
  <c r="B223" i="1"/>
  <c r="B222" i="1"/>
  <c r="B221" i="1"/>
  <c r="D221" i="1"/>
  <c r="B220" i="1"/>
  <c r="D231" i="1"/>
  <c r="D229" i="1"/>
  <c r="D227" i="1"/>
  <c r="D225" i="1"/>
  <c r="D223" i="1"/>
  <c r="D219" i="1"/>
  <c r="B219" i="1"/>
  <c r="B218" i="1"/>
  <c r="D211" i="1"/>
  <c r="D210" i="1"/>
  <c r="D208" i="1"/>
  <c r="D206" i="1"/>
  <c r="D204" i="1"/>
  <c r="D202" i="1"/>
  <c r="D200" i="1"/>
  <c r="D198" i="1"/>
  <c r="D196" i="1"/>
  <c r="D194" i="1"/>
  <c r="B209" i="1"/>
  <c r="B211" i="1"/>
  <c r="B210" i="1"/>
  <c r="B208" i="1"/>
  <c r="B207" i="1"/>
  <c r="B206" i="1"/>
  <c r="B205" i="1"/>
  <c r="B202" i="1"/>
  <c r="B204" i="1"/>
  <c r="B203" i="1"/>
  <c r="B201" i="1"/>
  <c r="B200" i="1"/>
  <c r="B199" i="1"/>
  <c r="B198" i="1"/>
  <c r="B197" i="1"/>
  <c r="B196" i="1"/>
  <c r="B195" i="1"/>
  <c r="B194" i="1"/>
  <c r="B193" i="1"/>
  <c r="B192" i="1"/>
  <c r="D176" i="1" l="1"/>
  <c r="D175" i="1"/>
  <c r="D174" i="1"/>
  <c r="D173" i="1"/>
  <c r="D172" i="1"/>
  <c r="D171" i="1"/>
  <c r="D170" i="1"/>
  <c r="D169" i="1"/>
  <c r="D168" i="1"/>
  <c r="D167" i="1"/>
  <c r="D166" i="1"/>
  <c r="B176" i="1"/>
  <c r="B175" i="1"/>
  <c r="B174" i="1"/>
  <c r="B173" i="1"/>
  <c r="B172" i="1"/>
  <c r="B171" i="1"/>
  <c r="B170" i="1"/>
  <c r="B169" i="1"/>
  <c r="B168" i="1"/>
  <c r="B167" i="1"/>
  <c r="B166" i="1"/>
  <c r="D115" i="1"/>
  <c r="B114" i="1"/>
  <c r="B123" i="1"/>
  <c r="D133" i="1"/>
  <c r="D132" i="1"/>
  <c r="D131" i="1"/>
  <c r="D129" i="1"/>
  <c r="D127" i="1"/>
  <c r="D125" i="1"/>
  <c r="D123" i="1"/>
  <c r="D121" i="1"/>
  <c r="D119" i="1"/>
  <c r="D117" i="1"/>
  <c r="B133" i="1"/>
  <c r="B132" i="1"/>
  <c r="B131" i="1"/>
  <c r="B130" i="1"/>
  <c r="B129" i="1"/>
  <c r="B128" i="1"/>
  <c r="B127" i="1"/>
  <c r="B126" i="1"/>
  <c r="B125" i="1"/>
  <c r="B124" i="1"/>
  <c r="B122" i="1"/>
  <c r="B121" i="1"/>
  <c r="B120" i="1"/>
  <c r="B119" i="1"/>
  <c r="B118" i="1"/>
  <c r="B117" i="1"/>
  <c r="B116" i="1"/>
  <c r="B115" i="1"/>
  <c r="D154" i="1"/>
  <c r="B154" i="1"/>
  <c r="B153" i="1"/>
  <c r="D151" i="1"/>
  <c r="B151" i="1"/>
  <c r="D149" i="1"/>
  <c r="B149" i="1"/>
  <c r="D147" i="1"/>
  <c r="B147" i="1"/>
  <c r="B145" i="1"/>
  <c r="B143" i="1"/>
  <c r="D145" i="1"/>
  <c r="D143" i="1"/>
  <c r="B152" i="1"/>
  <c r="B150" i="1"/>
  <c r="B148" i="1"/>
  <c r="B146" i="1"/>
  <c r="B144" i="1"/>
  <c r="B142" i="1"/>
  <c r="B141" i="1"/>
  <c r="B101" i="1"/>
  <c r="B100" i="1"/>
  <c r="B99" i="1"/>
  <c r="B98" i="1"/>
  <c r="B97" i="1"/>
  <c r="B96" i="1"/>
  <c r="B95" i="1"/>
  <c r="B89" i="1"/>
  <c r="B94" i="1"/>
  <c r="B93" i="1"/>
  <c r="B92" i="1"/>
  <c r="B91" i="1"/>
  <c r="B90" i="1"/>
  <c r="B88" i="1"/>
  <c r="B140" i="1"/>
  <c r="D101" i="1"/>
  <c r="D99" i="1"/>
  <c r="D97" i="1"/>
  <c r="D95" i="1"/>
  <c r="D93" i="1"/>
  <c r="D91" i="1"/>
  <c r="D89" i="1"/>
  <c r="B78" i="1"/>
  <c r="B79" i="1"/>
  <c r="D79" i="1" s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B70" i="1"/>
  <c r="D70" i="1"/>
  <c r="D69" i="1"/>
  <c r="B69" i="1"/>
  <c r="B68" i="1"/>
  <c r="D67" i="1"/>
  <c r="B67" i="1"/>
  <c r="B66" i="1"/>
  <c r="D65" i="1"/>
  <c r="B65" i="1"/>
  <c r="B64" i="1"/>
  <c r="D63" i="1"/>
  <c r="B63" i="1"/>
  <c r="B62" i="1"/>
  <c r="B51" i="1"/>
  <c r="B52" i="1"/>
  <c r="D52" i="1" s="1"/>
  <c r="D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B42" i="1"/>
  <c r="D41" i="1"/>
  <c r="B41" i="1"/>
  <c r="B40" i="1"/>
  <c r="B39" i="1"/>
  <c r="B38" i="1"/>
  <c r="D39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R4" i="2"/>
  <c r="FQ4" i="2"/>
  <c r="EC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FS20" i="2"/>
  <c r="EW20" i="2"/>
  <c r="EV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HI28" i="2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A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A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W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FS113" i="2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EC118" i="2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HH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FS140" i="2"/>
  <c r="FR140" i="2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EX144" i="2"/>
  <c r="EB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R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D154" i="2"/>
  <c r="DI154" i="2"/>
  <c r="AC154" i="2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HI156" i="2"/>
  <c r="EY155" i="2"/>
  <c r="DH156" i="2"/>
  <c r="ED155" i="2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CN156" i="2"/>
  <c r="EX157" i="2"/>
  <c r="EB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D157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D158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HI160" i="2"/>
  <c r="DG160" i="2"/>
  <c r="FS160" i="2"/>
  <c r="EY159" i="2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FS161" i="2"/>
  <c r="EX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EW162" i="2"/>
  <c r="EY161" i="2"/>
  <c r="EC162" i="2"/>
  <c r="EB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I163" i="2"/>
  <c r="ED162" i="2"/>
  <c r="EV163" i="2"/>
  <c r="EA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S164" i="2"/>
  <c r="FR164" i="2"/>
  <c r="EV164" i="2"/>
  <c r="EX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HH167" i="2"/>
  <c r="EY166" i="2"/>
  <c r="FR167" i="2"/>
  <c r="EX167" i="2"/>
  <c r="EB167" i="2"/>
  <c r="EA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B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Y171" i="2"/>
  <c r="ED171" i="2"/>
  <c r="EV172" i="2"/>
  <c r="EW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Y173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ED174" i="2"/>
  <c r="FS175" i="2"/>
  <c r="EW175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D177" i="2"/>
  <c r="FS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DF179" i="2"/>
  <c r="ED178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D184" i="2"/>
  <c r="EY184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D185" i="2"/>
  <c r="FR186" i="2"/>
  <c r="FS186" i="2"/>
  <c r="EW186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Y186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AA189" i="2"/>
  <c r="EY188" i="2"/>
  <c r="EV189" i="2"/>
  <c r="EB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G190" i="2" l="1"/>
  <c r="EY189" i="2"/>
  <c r="ED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D190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EY191" i="2"/>
  <c r="EV192" i="2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D192" i="2"/>
  <c r="FQ193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FQ194" i="2"/>
  <c r="CN193" i="2"/>
  <c r="ED193" i="2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G195" i="2"/>
  <c r="HI195" i="2"/>
  <c r="ED194" i="2"/>
  <c r="FQ195" i="2"/>
  <c r="DH195" i="2"/>
  <c r="EY194" i="2"/>
  <c r="EX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HG197" i="2"/>
  <c r="FS197" i="2"/>
  <c r="EW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HH199" i="2"/>
  <c r="EY198" i="2"/>
  <c r="FS199" i="2"/>
  <c r="EV199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H201" i="2"/>
  <c r="HG201" i="2"/>
  <c r="DI200" i="2"/>
  <c r="ED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HI202" i="2"/>
  <c r="FS202" i="2"/>
  <c r="EY201" i="2"/>
  <c r="EX202" i="2"/>
  <c r="ED201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35" i="2" a="1"/>
  <c r="FY35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73" i="2" a="1"/>
  <c r="FY173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126" i="2" a="1"/>
  <c r="FY126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04" i="2" a="1"/>
  <c r="FY104" i="2" s="1"/>
  <c r="FY58" i="2" a="1"/>
  <c r="FY58" i="2" s="1"/>
  <c r="FY86" i="2" a="1"/>
  <c r="FY86" i="2" s="1"/>
  <c r="FY196" i="2" a="1"/>
  <c r="FY196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DN16" i="2" a="1"/>
  <c r="DN16" i="2" s="1"/>
  <c r="DN6" i="2" a="1"/>
  <c r="DN6" i="2" s="1"/>
  <c r="DO6" i="2" s="1"/>
  <c r="DN132" i="2" a="1"/>
  <c r="DN132" i="2" s="1"/>
  <c r="HJ202" i="2"/>
  <c r="AX200" i="2"/>
  <c r="DN153" i="2" l="1" a="1"/>
  <c r="DN153" i="2" s="1"/>
  <c r="DN129" i="2" a="1"/>
  <c r="DN129" i="2" s="1"/>
  <c r="DN167" i="2" a="1"/>
  <c r="DN167" i="2" s="1"/>
  <c r="DN110" i="2" a="1"/>
  <c r="DN110" i="2" s="1"/>
  <c r="DN113" i="2" a="1"/>
  <c r="DN113" i="2" s="1"/>
  <c r="DN41" i="2" a="1"/>
  <c r="DN41" i="2" s="1"/>
  <c r="DN137" i="2" a="1"/>
  <c r="DN137" i="2" s="1"/>
  <c r="DN162" i="2" a="1"/>
  <c r="DN162" i="2" s="1"/>
  <c r="DN49" i="2" a="1"/>
  <c r="DN49" i="2" s="1"/>
  <c r="FY42" i="2" a="1"/>
  <c r="FY42" i="2" s="1"/>
  <c r="FY172" i="2" a="1"/>
  <c r="FY172" i="2" s="1"/>
  <c r="FY55" i="2" a="1"/>
  <c r="FY55" i="2" s="1"/>
  <c r="FY186" i="2" a="1"/>
  <c r="FY186" i="2" s="1"/>
  <c r="FY18" i="2" a="1"/>
  <c r="FY18" i="2" s="1"/>
  <c r="FY82" i="2" a="1"/>
  <c r="FY82" i="2" s="1"/>
  <c r="FY34" i="2" a="1"/>
  <c r="FY34" i="2" s="1"/>
  <c r="FY188" i="2" a="1"/>
  <c r="FY188" i="2" s="1"/>
  <c r="FY159" i="2" a="1"/>
  <c r="FY159" i="2" s="1"/>
  <c r="FY146" i="2" a="1"/>
  <c r="FY146" i="2" s="1"/>
  <c r="FY182" i="2" a="1"/>
  <c r="FY182" i="2" s="1"/>
  <c r="FY164" i="2" a="1"/>
  <c r="FY164" i="2" s="1"/>
  <c r="FY28" i="2" a="1"/>
  <c r="FY28" i="2" s="1"/>
  <c r="FY143" i="2" a="1"/>
  <c r="FY143" i="2" s="1"/>
  <c r="FY32" i="2" a="1"/>
  <c r="FY32" i="2" s="1"/>
  <c r="FY115" i="2" a="1"/>
  <c r="FY115" i="2" s="1"/>
  <c r="FY149" i="2" a="1"/>
  <c r="FY149" i="2" s="1"/>
  <c r="FY78" i="2" a="1"/>
  <c r="FY78" i="2" s="1"/>
  <c r="FY191" i="2" a="1"/>
  <c r="FY191" i="2" s="1"/>
  <c r="FY47" i="2" a="1"/>
  <c r="FY47" i="2" s="1"/>
  <c r="FD82" i="2" a="1"/>
  <c r="FD82" i="2" s="1"/>
  <c r="EI145" i="2" a="1"/>
  <c r="EI145" i="2" s="1"/>
  <c r="EI106" i="2" a="1"/>
  <c r="EI106" i="2" s="1"/>
  <c r="EI37" i="2" a="1"/>
  <c r="EI37" i="2" s="1"/>
  <c r="EI139" i="2" a="1"/>
  <c r="EI139" i="2" s="1"/>
  <c r="EI20" i="2" a="1"/>
  <c r="EI20" i="2" s="1"/>
  <c r="EI57" i="2" a="1"/>
  <c r="EI57" i="2" s="1"/>
  <c r="DN190" i="2" a="1"/>
  <c r="DN190" i="2" s="1"/>
  <c r="DN63" i="2" a="1"/>
  <c r="DN63" i="2" s="1"/>
  <c r="DN133" i="2" a="1"/>
  <c r="DN133" i="2" s="1"/>
  <c r="DN114" i="2" a="1"/>
  <c r="DN114" i="2" s="1"/>
  <c r="DN65" i="2" a="1"/>
  <c r="DN65" i="2" s="1"/>
  <c r="DN103" i="2" a="1"/>
  <c r="DN103" i="2" s="1"/>
  <c r="DN123" i="2" a="1"/>
  <c r="DN123" i="2" s="1"/>
  <c r="DN30" i="2" a="1"/>
  <c r="DN30" i="2" s="1"/>
  <c r="DN164" i="2" a="1"/>
  <c r="DN164" i="2" s="1"/>
  <c r="DN150" i="2" a="1"/>
  <c r="DN150" i="2" s="1"/>
  <c r="DN46" i="2" a="1"/>
  <c r="DN46" i="2" s="1"/>
  <c r="DN135" i="2" a="1"/>
  <c r="DN135" i="2" s="1"/>
  <c r="DN192" i="2" a="1"/>
  <c r="DN192" i="2" s="1"/>
  <c r="DN38" i="2" a="1"/>
  <c r="DN38" i="2" s="1"/>
  <c r="DN66" i="2" a="1"/>
  <c r="DN66" i="2" s="1"/>
  <c r="DN176" i="2" a="1"/>
  <c r="DN176" i="2" s="1"/>
  <c r="DN80" i="2" a="1"/>
  <c r="DN80" i="2" s="1"/>
  <c r="DN177" i="2" a="1"/>
  <c r="DN177" i="2" s="1"/>
  <c r="DN70" i="2" a="1"/>
  <c r="DN70" i="2" s="1"/>
  <c r="DN168" i="2" a="1"/>
  <c r="DN168" i="2" s="1"/>
  <c r="DN188" i="2" a="1"/>
  <c r="DN188" i="2" s="1"/>
  <c r="DN187" i="2" a="1"/>
  <c r="DN187" i="2" s="1"/>
  <c r="DN55" i="2" a="1"/>
  <c r="DN55" i="2" s="1"/>
  <c r="DN86" i="2" a="1"/>
  <c r="DN86" i="2" s="1"/>
  <c r="DN45" i="2" a="1"/>
  <c r="DN45" i="2" s="1"/>
  <c r="DN31" i="2" a="1"/>
  <c r="DN31" i="2" s="1"/>
  <c r="DN115" i="2" a="1"/>
  <c r="DN115" i="2" s="1"/>
  <c r="BX107" i="2" a="1"/>
  <c r="BX107" i="2" s="1"/>
  <c r="BC114" i="2" a="1"/>
  <c r="BC114" i="2" s="1"/>
  <c r="BC126" i="2" a="1"/>
  <c r="BC126" i="2" s="1"/>
  <c r="BC47" i="2" a="1"/>
  <c r="BC47" i="2" s="1"/>
  <c r="BC164" i="2" a="1"/>
  <c r="BC164" i="2" s="1"/>
  <c r="BC7" i="2" a="1"/>
  <c r="BC7" i="2" s="1"/>
  <c r="BC82" i="2" a="1"/>
  <c r="BC82" i="2" s="1"/>
  <c r="BC84" i="2" a="1"/>
  <c r="BC84" i="2" s="1"/>
  <c r="BC192" i="2" a="1"/>
  <c r="BC192" i="2" s="1"/>
  <c r="BC130" i="2" a="1"/>
  <c r="BC130" i="2" s="1"/>
  <c r="BC34" i="2" a="1"/>
  <c r="BC34" i="2" s="1"/>
  <c r="BC58" i="2" a="1"/>
  <c r="BC58" i="2" s="1"/>
  <c r="BC18" i="2" a="1"/>
  <c r="BC18" i="2" s="1"/>
  <c r="BC38" i="2" a="1"/>
  <c r="BC38" i="2" s="1"/>
  <c r="BC68" i="2" a="1"/>
  <c r="BC68" i="2" s="1"/>
  <c r="BC83" i="2" a="1"/>
  <c r="BC83" i="2" s="1"/>
  <c r="BC55" i="2" a="1"/>
  <c r="BC55" i="2" s="1"/>
  <c r="BC151" i="2" a="1"/>
  <c r="BC151" i="2" s="1"/>
  <c r="BC181" i="2" a="1"/>
  <c r="BC181" i="2" s="1"/>
  <c r="CS161" i="2" a="1"/>
  <c r="CS161" i="2" s="1"/>
  <c r="EI35" i="2" a="1"/>
  <c r="EI35" i="2" s="1"/>
  <c r="EI36" i="2" a="1"/>
  <c r="EI36" i="2" s="1"/>
  <c r="EI153" i="2" a="1"/>
  <c r="EI153" i="2" s="1"/>
  <c r="CS77" i="2" a="1"/>
  <c r="CS77" i="2" s="1"/>
  <c r="EI87" i="2" a="1"/>
  <c r="EI87" i="2" s="1"/>
  <c r="EI166" i="2" a="1"/>
  <c r="EI166" i="2" s="1"/>
  <c r="GT174" i="2" a="1"/>
  <c r="GT174" i="2" s="1"/>
  <c r="GT51" i="2" a="1"/>
  <c r="GT51" i="2" s="1"/>
  <c r="GT126" i="2" a="1"/>
  <c r="GT126" i="2" s="1"/>
  <c r="GT68" i="2" a="1"/>
  <c r="GT68" i="2" s="1"/>
  <c r="GT74" i="2" a="1"/>
  <c r="GT74" i="2" s="1"/>
  <c r="FD107" i="2" a="1"/>
  <c r="FD107" i="2" s="1"/>
  <c r="FD44" i="2" a="1"/>
  <c r="FD44" i="2" s="1"/>
  <c r="EI34" i="2" a="1"/>
  <c r="EI34" i="2" s="1"/>
  <c r="GT190" i="2" a="1"/>
  <c r="GT190" i="2" s="1"/>
  <c r="FD160" i="2" a="1"/>
  <c r="FD160" i="2" s="1"/>
  <c r="FD188" i="2" a="1"/>
  <c r="FD188" i="2" s="1"/>
  <c r="EI162" i="2" a="1"/>
  <c r="EI162" i="2" s="1"/>
  <c r="GT133" i="2" a="1"/>
  <c r="GT133" i="2" s="1"/>
  <c r="HG203" i="2"/>
  <c r="GT33" i="2" a="1"/>
  <c r="GT33" i="2" s="1"/>
  <c r="EI165" i="2" a="1"/>
  <c r="EI165" i="2" s="1"/>
  <c r="GT191" i="2" a="1"/>
  <c r="GT191" i="2" s="1"/>
  <c r="FD137" i="2" a="1"/>
  <c r="FD137" i="2" s="1"/>
  <c r="FD60" i="2" a="1"/>
  <c r="FD60" i="2" s="1"/>
  <c r="EI150" i="2" a="1"/>
  <c r="EI150" i="2" s="1"/>
  <c r="GT121" i="2" a="1"/>
  <c r="GT121" i="2" s="1"/>
  <c r="FD19" i="2" a="1"/>
  <c r="FD19" i="2" s="1"/>
  <c r="EI71" i="2" a="1"/>
  <c r="EI71" i="2" s="1"/>
  <c r="GT38" i="2" a="1"/>
  <c r="GT38" i="2" s="1"/>
  <c r="FD159" i="2" a="1"/>
  <c r="FD159" i="2" s="1"/>
  <c r="CS105" i="2" a="1"/>
  <c r="CS105" i="2" s="1"/>
  <c r="EI29" i="2" a="1"/>
  <c r="EI29" i="2" s="1"/>
  <c r="GT122" i="2" a="1"/>
  <c r="GT122" i="2" s="1"/>
  <c r="EY202" i="2"/>
  <c r="FD167" i="2" a="1"/>
  <c r="FD167" i="2" s="1"/>
  <c r="EI109" i="2" a="1"/>
  <c r="EI109" i="2" s="1"/>
  <c r="GT189" i="2" a="1"/>
  <c r="GT189" i="2" s="1"/>
  <c r="FD43" i="2" a="1"/>
  <c r="FD43" i="2" s="1"/>
  <c r="EI198" i="2" a="1"/>
  <c r="EI198" i="2" s="1"/>
  <c r="GT184" i="2" a="1"/>
  <c r="GT184" i="2" s="1"/>
  <c r="FD21" i="2" a="1"/>
  <c r="FD21" i="2" s="1"/>
  <c r="EI67" i="2" a="1"/>
  <c r="EI67" i="2" s="1"/>
  <c r="EI170" i="2" a="1"/>
  <c r="EI170" i="2" s="1"/>
  <c r="EI38" i="2" a="1"/>
  <c r="EI38" i="2" s="1"/>
  <c r="GT198" i="2" a="1"/>
  <c r="GT198" i="2" s="1"/>
  <c r="FD64" i="2" a="1"/>
  <c r="FD64" i="2" s="1"/>
  <c r="GT11" i="2" a="1"/>
  <c r="GT11" i="2" s="1"/>
  <c r="GT115" i="2" a="1"/>
  <c r="GT115" i="2" s="1"/>
  <c r="FD131" i="2" a="1"/>
  <c r="FD131" i="2" s="1"/>
  <c r="GT181" i="2" a="1"/>
  <c r="GT181" i="2" s="1"/>
  <c r="EI16" i="2" a="1"/>
  <c r="EI16" i="2" s="1"/>
  <c r="GT15" i="2" a="1"/>
  <c r="GT15" i="2" s="1"/>
  <c r="GT21" i="2" a="1"/>
  <c r="GT21" i="2" s="1"/>
  <c r="FD189" i="2" a="1"/>
  <c r="FD189" i="2" s="1"/>
  <c r="EI195" i="2" a="1"/>
  <c r="EI195" i="2" s="1"/>
  <c r="GT102" i="2" a="1"/>
  <c r="GT102" i="2" s="1"/>
  <c r="EI113" i="2" a="1"/>
  <c r="EI113" i="2" s="1"/>
  <c r="GT138" i="2" a="1"/>
  <c r="GT138" i="2" s="1"/>
  <c r="GT12" i="2" a="1"/>
  <c r="GT12" i="2" s="1"/>
  <c r="FD187" i="2" a="1"/>
  <c r="FD187" i="2" s="1"/>
  <c r="FD14" i="2" a="1"/>
  <c r="FD14" i="2" s="1"/>
  <c r="EI142" i="2" a="1"/>
  <c r="EI142" i="2" s="1"/>
  <c r="GT147" i="2" a="1"/>
  <c r="GT147" i="2" s="1"/>
  <c r="FD59" i="2" a="1"/>
  <c r="FD59" i="2" s="1"/>
  <c r="GT178" i="2" a="1"/>
  <c r="GT178" i="2" s="1"/>
  <c r="EI128" i="2" a="1"/>
  <c r="EI128" i="2" s="1"/>
  <c r="GT107" i="2" a="1"/>
  <c r="GT107" i="2" s="1"/>
  <c r="FD194" i="2" a="1"/>
  <c r="FD194" i="2" s="1"/>
  <c r="FD48" i="2" a="1"/>
  <c r="FD48" i="2" s="1"/>
  <c r="EI178" i="2" a="1"/>
  <c r="EI178" i="2" s="1"/>
  <c r="GT152" i="2" a="1"/>
  <c r="GT152" i="2" s="1"/>
  <c r="HH203" i="2"/>
  <c r="FS203" i="2"/>
  <c r="FD144" i="2" a="1"/>
  <c r="FD144" i="2" s="1"/>
  <c r="CS114" i="2" a="1"/>
  <c r="CS114" i="2" s="1"/>
  <c r="CS56" i="2" a="1"/>
  <c r="CS56" i="2" s="1"/>
  <c r="CS116" i="2" a="1"/>
  <c r="CS116" i="2" s="1"/>
  <c r="CS137" i="2" a="1"/>
  <c r="CS137" i="2" s="1"/>
  <c r="CS134" i="2" a="1"/>
  <c r="CS134" i="2" s="1"/>
  <c r="CS185" i="2" a="1"/>
  <c r="CS185" i="2" s="1"/>
  <c r="CS129" i="2" a="1"/>
  <c r="CS129" i="2" s="1"/>
  <c r="CS120" i="2" a="1"/>
  <c r="CS120" i="2" s="1"/>
  <c r="CS24" i="2" a="1"/>
  <c r="CS24" i="2" s="1"/>
  <c r="CS52" i="2" a="1"/>
  <c r="CS52" i="2" s="1"/>
  <c r="CS72" i="2" a="1"/>
  <c r="CS72" i="2" s="1"/>
  <c r="CS38" i="2" a="1"/>
  <c r="CS38" i="2" s="1"/>
  <c r="CS66" i="2" a="1"/>
  <c r="CS66" i="2" s="1"/>
  <c r="BC185" i="2" a="1"/>
  <c r="BC185" i="2" s="1"/>
  <c r="BC143" i="2" a="1"/>
  <c r="BC143" i="2" s="1"/>
  <c r="BC31" i="2" a="1"/>
  <c r="BC31" i="2" s="1"/>
  <c r="BC117" i="2" a="1"/>
  <c r="BC117" i="2" s="1"/>
  <c r="BC32" i="2" a="1"/>
  <c r="BC32" i="2" s="1"/>
  <c r="BC65" i="2" a="1"/>
  <c r="BC65" i="2" s="1"/>
  <c r="AH62" i="2" a="1"/>
  <c r="AH62" i="2" s="1"/>
  <c r="AH90" i="2" a="1"/>
  <c r="AH90" i="2" s="1"/>
  <c r="DN152" i="2" a="1"/>
  <c r="DN152" i="2" s="1"/>
  <c r="DN43" i="2" a="1"/>
  <c r="DN43" i="2" s="1"/>
  <c r="DN170" i="2" a="1"/>
  <c r="DN170" i="2" s="1"/>
  <c r="DN50" i="2" a="1"/>
  <c r="DN50" i="2" s="1"/>
  <c r="DN186" i="2" a="1"/>
  <c r="DN186" i="2" s="1"/>
  <c r="DN124" i="2" a="1"/>
  <c r="DN124" i="2" s="1"/>
  <c r="DN155" i="2" a="1"/>
  <c r="DN155" i="2" s="1"/>
  <c r="DN25" i="2" a="1"/>
  <c r="DN25" i="2" s="1"/>
  <c r="DN184" i="2" a="1"/>
  <c r="DN184" i="2" s="1"/>
  <c r="DN29" i="2" a="1"/>
  <c r="DN29" i="2" s="1"/>
  <c r="DN56" i="2" a="1"/>
  <c r="DN56" i="2" s="1"/>
  <c r="AH163" i="2" a="1"/>
  <c r="AH163" i="2" s="1"/>
  <c r="AH151" i="2" a="1"/>
  <c r="AH151" i="2" s="1"/>
  <c r="AH199" i="2" a="1"/>
  <c r="AH199" i="2" s="1"/>
  <c r="AH166" i="2" a="1"/>
  <c r="AH166" i="2" s="1"/>
  <c r="AH19" i="2" a="1"/>
  <c r="AH19" i="2" s="1"/>
  <c r="AH92" i="2" a="1"/>
  <c r="AH92" i="2" s="1"/>
  <c r="FY29" i="2" a="1"/>
  <c r="FY29" i="2" s="1"/>
  <c r="FY50" i="2" a="1"/>
  <c r="FY50" i="2" s="1"/>
  <c r="FY133" i="2" a="1"/>
  <c r="FY133" i="2" s="1"/>
  <c r="FY140" i="2" a="1"/>
  <c r="FY140" i="2" s="1"/>
  <c r="FY165" i="2" a="1"/>
  <c r="FY165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Y203" i="2"/>
  <c r="ED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J155" i="2" l="1"/>
  <c r="FJ138" i="2"/>
  <c r="FJ105" i="2"/>
  <c r="FJ175" i="2"/>
  <c r="FJ137" i="2"/>
  <c r="FJ130" i="2"/>
  <c r="FJ123" i="2"/>
  <c r="FJ23" i="2"/>
  <c r="FJ114" i="2"/>
  <c r="FJ151" i="2"/>
  <c r="FJ45" i="2"/>
  <c r="FJ50" i="2"/>
  <c r="FJ92" i="2"/>
  <c r="FJ109" i="2"/>
  <c r="FJ30" i="2"/>
  <c r="FJ149" i="2"/>
  <c r="FJ117" i="2"/>
  <c r="FJ189" i="2"/>
  <c r="FJ136" i="2"/>
  <c r="FJ187" i="2"/>
  <c r="FJ132" i="2"/>
  <c r="FJ100" i="2"/>
  <c r="FJ147" i="2"/>
  <c r="FJ170" i="2"/>
  <c r="FJ99" i="2"/>
  <c r="FJ173" i="2"/>
  <c r="FJ135" i="2"/>
  <c r="FJ178" i="2"/>
  <c r="FJ152" i="2"/>
  <c r="FJ122" i="2"/>
  <c r="FJ73" i="2"/>
  <c r="FJ9" i="2"/>
  <c r="FJ25" i="2"/>
  <c r="FJ101" i="2"/>
  <c r="FJ183" i="2"/>
  <c r="FJ90" i="2"/>
  <c r="FJ86" i="2"/>
  <c r="FJ140" i="2"/>
  <c r="FJ156" i="2"/>
  <c r="FJ196" i="2"/>
  <c r="FJ91" i="2"/>
  <c r="FJ15" i="2"/>
  <c r="FJ5" i="2"/>
  <c r="FJ134" i="2"/>
  <c r="FJ199" i="2"/>
  <c r="FJ143" i="2"/>
  <c r="FJ174" i="2"/>
  <c r="FJ190" i="2"/>
  <c r="FJ167" i="2"/>
  <c r="FJ74" i="2"/>
  <c r="FJ4" i="2"/>
  <c r="FJ72" i="2"/>
  <c r="FJ69" i="2"/>
  <c r="FJ203" i="2"/>
  <c r="FJ13" i="2"/>
  <c r="FJ133" i="2"/>
  <c r="FJ195" i="2"/>
  <c r="FJ37" i="2"/>
  <c r="FJ115" i="2"/>
  <c r="FJ66" i="2"/>
  <c r="FJ106" i="2"/>
  <c r="FJ18" i="2"/>
  <c r="FJ7" i="2"/>
  <c r="FJ49" i="2"/>
  <c r="FJ162" i="2"/>
  <c r="FJ202" i="2"/>
  <c r="FJ188" i="2"/>
  <c r="FJ24" i="2"/>
  <c r="FJ51" i="2"/>
  <c r="FJ36" i="2"/>
  <c r="FJ87" i="2"/>
  <c r="FJ35" i="2"/>
  <c r="FJ81" i="2"/>
  <c r="FJ142" i="2"/>
  <c r="FJ93" i="2"/>
  <c r="FJ19" i="2"/>
  <c r="FJ129" i="2"/>
  <c r="FJ96" i="2"/>
  <c r="FJ80" i="2"/>
  <c r="FJ141" i="2"/>
  <c r="FJ16" i="2"/>
  <c r="FJ107" i="2"/>
  <c r="FJ22" i="2"/>
  <c r="FJ194" i="2"/>
  <c r="FJ197" i="2"/>
  <c r="FJ8" i="2"/>
  <c r="FJ164" i="2"/>
  <c r="FJ111" i="2"/>
  <c r="FJ185" i="2"/>
  <c r="FJ120" i="2"/>
  <c r="FJ127" i="2"/>
  <c r="FJ60" i="2"/>
  <c r="FJ180" i="2"/>
  <c r="FJ67" i="2"/>
  <c r="FJ62" i="2"/>
  <c r="FJ57" i="2"/>
  <c r="FJ148" i="2"/>
  <c r="FJ68" i="2"/>
  <c r="FJ42" i="2"/>
  <c r="FJ184" i="2"/>
  <c r="FJ48" i="2"/>
  <c r="FJ145" i="2"/>
  <c r="FJ153" i="2"/>
  <c r="FJ191" i="2"/>
  <c r="FJ160" i="2"/>
  <c r="FJ126" i="2"/>
  <c r="FJ159" i="2"/>
  <c r="FJ17" i="2"/>
  <c r="FJ102" i="2"/>
  <c r="FJ168" i="2"/>
  <c r="FJ146" i="2"/>
  <c r="FJ39" i="2"/>
  <c r="FJ40" i="2"/>
  <c r="FJ41" i="2"/>
  <c r="FJ166" i="2"/>
  <c r="FJ163" i="2"/>
  <c r="FJ12" i="2"/>
  <c r="FJ97" i="2"/>
  <c r="FJ34" i="2"/>
  <c r="FJ118" i="2"/>
  <c r="FJ52" i="2"/>
  <c r="FJ53" i="2"/>
  <c r="FJ171" i="2"/>
  <c r="FJ47" i="2"/>
  <c r="FJ32" i="2"/>
  <c r="FJ65" i="2"/>
  <c r="FJ84" i="2"/>
  <c r="FJ177" i="2"/>
  <c r="FJ179" i="2"/>
  <c r="FJ59" i="2"/>
  <c r="FJ31" i="2"/>
  <c r="FJ79" i="2"/>
  <c r="FJ110" i="2"/>
  <c r="FJ88" i="2"/>
  <c r="FJ26" i="2"/>
  <c r="FJ75" i="2"/>
  <c r="FJ165" i="2"/>
  <c r="FJ112" i="2"/>
  <c r="FJ56" i="2"/>
  <c r="FJ192" i="2"/>
  <c r="FJ82" i="2"/>
  <c r="FJ71" i="2"/>
  <c r="FJ144" i="2"/>
  <c r="FJ121" i="2"/>
  <c r="FJ98" i="2"/>
  <c r="FJ150" i="2"/>
  <c r="FJ6" i="2"/>
  <c r="FJ186" i="2"/>
  <c r="FJ176" i="2"/>
  <c r="FJ182" i="2"/>
  <c r="FJ83" i="2"/>
  <c r="FJ172" i="2"/>
  <c r="FJ181" i="2"/>
  <c r="FJ78" i="2"/>
  <c r="FJ21" i="2"/>
  <c r="FJ128" i="2"/>
  <c r="FJ70" i="2"/>
  <c r="FJ46" i="2"/>
  <c r="FJ116" i="2"/>
  <c r="FJ124" i="2"/>
  <c r="FJ193" i="2"/>
  <c r="FJ200" i="2"/>
  <c r="FJ61" i="2"/>
  <c r="FJ58" i="2"/>
  <c r="FJ158" i="2"/>
  <c r="FJ43" i="2"/>
  <c r="FJ85" i="2"/>
  <c r="FJ77" i="2"/>
  <c r="FJ95" i="2"/>
  <c r="FJ33" i="2"/>
  <c r="FJ64" i="2"/>
  <c r="FJ10" i="2"/>
  <c r="FJ44" i="2"/>
  <c r="FJ14" i="2"/>
  <c r="FJ55" i="2"/>
  <c r="FJ3" i="2"/>
  <c r="C13" i="4" s="1"/>
  <c r="E13" i="4" s="1"/>
  <c r="F13" i="4" s="1"/>
  <c r="G13" i="4" s="1"/>
  <c r="L13" i="4" s="1"/>
  <c r="FJ29" i="2"/>
  <c r="FJ20" i="2"/>
  <c r="FJ113" i="2"/>
  <c r="FJ11" i="2"/>
  <c r="FJ76" i="2"/>
  <c r="FJ201" i="2"/>
  <c r="FJ27" i="2"/>
  <c r="FJ38" i="2"/>
  <c r="FJ198" i="2"/>
  <c r="FJ125" i="2"/>
  <c r="FJ157" i="2"/>
  <c r="FJ94" i="2"/>
  <c r="FJ63" i="2"/>
  <c r="FJ154" i="2"/>
  <c r="FJ104" i="2"/>
  <c r="FJ169" i="2"/>
  <c r="FJ28" i="2"/>
  <c r="FJ108" i="2"/>
  <c r="FJ119" i="2"/>
  <c r="FJ54" i="2"/>
  <c r="FJ161" i="2"/>
  <c r="FJ89" i="2"/>
  <c r="FJ103" i="2"/>
  <c r="FJ139" i="2"/>
  <c r="FJ131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05" i="2" l="1"/>
  <c r="DT186" i="2"/>
  <c r="DT13" i="2"/>
  <c r="DT157" i="2"/>
  <c r="DT100" i="2"/>
  <c r="DT122" i="2"/>
  <c r="DT14" i="2"/>
  <c r="DT39" i="2"/>
  <c r="DT82" i="2"/>
  <c r="DT189" i="2"/>
  <c r="DT152" i="2"/>
  <c r="DT153" i="2"/>
  <c r="DT113" i="2"/>
  <c r="DT175" i="2"/>
  <c r="DT58" i="2"/>
  <c r="DT34" i="2"/>
  <c r="DT110" i="2"/>
  <c r="DT8" i="2"/>
  <c r="DT42" i="2"/>
  <c r="DT181" i="2"/>
  <c r="DT99" i="2"/>
  <c r="DT146" i="2"/>
  <c r="DT92" i="2"/>
  <c r="DT89" i="2"/>
  <c r="DT27" i="2"/>
  <c r="DT40" i="2"/>
  <c r="DT15" i="2"/>
  <c r="DT86" i="2"/>
  <c r="DT176" i="2"/>
  <c r="DT168" i="2"/>
  <c r="DT53" i="2"/>
  <c r="DT43" i="2"/>
  <c r="DT200" i="2"/>
  <c r="DT83" i="2"/>
  <c r="DT158" i="2"/>
  <c r="DT161" i="2"/>
  <c r="DT71" i="2"/>
  <c r="DT61" i="2"/>
  <c r="DT140" i="2"/>
  <c r="DT180" i="2"/>
  <c r="DT129" i="2"/>
  <c r="DT166" i="2"/>
  <c r="DT7" i="2"/>
  <c r="DT47" i="2"/>
  <c r="DT124" i="2"/>
  <c r="DT162" i="2"/>
  <c r="DT95" i="2"/>
  <c r="DT201" i="2"/>
  <c r="DT87" i="2"/>
  <c r="DT116" i="2"/>
  <c r="DT109" i="2"/>
  <c r="DT10" i="2"/>
  <c r="DT183" i="2"/>
  <c r="DT172" i="2"/>
  <c r="DT103" i="2"/>
  <c r="DT74" i="2"/>
  <c r="DT120" i="2"/>
  <c r="DT78" i="2"/>
  <c r="DT59" i="2"/>
  <c r="DT119" i="2"/>
  <c r="DT151" i="2"/>
  <c r="DT118" i="2"/>
  <c r="DT67" i="2"/>
  <c r="DT125" i="2"/>
  <c r="DT29" i="2"/>
  <c r="DT192" i="2"/>
  <c r="DT30" i="2"/>
  <c r="DT37" i="2"/>
  <c r="DT134" i="2"/>
  <c r="DT23" i="2"/>
  <c r="DT144" i="2"/>
  <c r="DT133" i="2"/>
  <c r="DT54" i="2"/>
  <c r="DT38" i="2"/>
  <c r="DT21" i="2"/>
  <c r="DT197" i="2"/>
  <c r="DT94" i="2"/>
  <c r="DT147" i="2"/>
  <c r="DT156" i="2"/>
  <c r="DT68" i="2"/>
  <c r="DT106" i="2"/>
  <c r="DT97" i="2"/>
  <c r="DT33" i="2"/>
  <c r="DT25" i="2"/>
  <c r="DT193" i="2"/>
  <c r="DT63" i="2"/>
  <c r="DT139" i="2"/>
  <c r="DT66" i="2"/>
  <c r="DT126" i="2"/>
  <c r="DT114" i="2"/>
  <c r="DT46" i="2"/>
  <c r="DT132" i="2"/>
  <c r="DT130" i="2"/>
  <c r="DT179" i="2"/>
  <c r="DT188" i="2"/>
  <c r="DT41" i="2"/>
  <c r="DT170" i="2"/>
  <c r="DT90" i="2"/>
  <c r="DT6" i="2"/>
  <c r="DT127" i="2"/>
  <c r="DT117" i="2"/>
  <c r="DT11" i="2"/>
  <c r="DT26" i="2"/>
  <c r="DT31" i="2"/>
  <c r="DT98" i="2"/>
  <c r="DT22" i="2"/>
  <c r="DT163" i="2"/>
  <c r="DT143" i="2"/>
  <c r="DT18" i="2"/>
  <c r="DT145" i="2"/>
  <c r="DT77" i="2"/>
  <c r="DT115" i="2"/>
  <c r="DT128" i="2"/>
  <c r="DT154" i="2"/>
  <c r="DT137" i="2"/>
  <c r="DT75" i="2"/>
  <c r="DT101" i="2"/>
  <c r="DT5" i="2"/>
  <c r="DT52" i="2"/>
  <c r="DT108" i="2"/>
  <c r="DT202" i="2"/>
  <c r="DT136" i="2"/>
  <c r="DT184" i="2"/>
  <c r="DT4" i="2"/>
  <c r="DT96" i="2"/>
  <c r="DT3" i="2"/>
  <c r="C11" i="4" s="1"/>
  <c r="E11" i="4" s="1"/>
  <c r="F11" i="4" s="1"/>
  <c r="G11" i="4" s="1"/>
  <c r="L11" i="4" s="1"/>
  <c r="DT57" i="2"/>
  <c r="DT187" i="2"/>
  <c r="DT17" i="2"/>
  <c r="DT167" i="2"/>
  <c r="DT185" i="2"/>
  <c r="DT72" i="2"/>
  <c r="DT45" i="2"/>
  <c r="DT182" i="2"/>
  <c r="DT16" i="2"/>
  <c r="DT19" i="2"/>
  <c r="DT70" i="2"/>
  <c r="DT20" i="2"/>
  <c r="DT12" i="2"/>
  <c r="DT196" i="2"/>
  <c r="DT123" i="2"/>
  <c r="DT169" i="2"/>
  <c r="DT203" i="2"/>
  <c r="DT142" i="2"/>
  <c r="DT155" i="2"/>
  <c r="DT79" i="2"/>
  <c r="DT48" i="2"/>
  <c r="DT199" i="2"/>
  <c r="DT62" i="2"/>
  <c r="DT149" i="2"/>
  <c r="DT24" i="2"/>
  <c r="DT178" i="2"/>
  <c r="DT32" i="2"/>
  <c r="DT171" i="2"/>
  <c r="DT49" i="2"/>
  <c r="DT55" i="2"/>
  <c r="DT84" i="2"/>
  <c r="DT159" i="2"/>
  <c r="DT91" i="2"/>
  <c r="DT190" i="2"/>
  <c r="DT73" i="2"/>
  <c r="DT36" i="2"/>
  <c r="DT65" i="2"/>
  <c r="DT148" i="2"/>
  <c r="DT173" i="2"/>
  <c r="DT9" i="2"/>
  <c r="DT69" i="2"/>
  <c r="DT28" i="2"/>
  <c r="DT138" i="2"/>
  <c r="DT131" i="2"/>
  <c r="DT80" i="2"/>
  <c r="DT195" i="2"/>
  <c r="DT64" i="2"/>
  <c r="DT112" i="2"/>
  <c r="DT111" i="2"/>
  <c r="DT121" i="2"/>
  <c r="DT177" i="2"/>
  <c r="DT35" i="2"/>
  <c r="DT135" i="2"/>
  <c r="DT50" i="2"/>
  <c r="DT88" i="2"/>
  <c r="DT174" i="2"/>
  <c r="DT104" i="2"/>
  <c r="DT107" i="2"/>
  <c r="DT165" i="2"/>
  <c r="DT76" i="2"/>
  <c r="DT141" i="2"/>
  <c r="DT81" i="2"/>
  <c r="DT60" i="2"/>
  <c r="DT44" i="2"/>
  <c r="DT198" i="2"/>
  <c r="DT194" i="2"/>
  <c r="DT85" i="2"/>
  <c r="DT51" i="2"/>
  <c r="DT164" i="2"/>
  <c r="DT102" i="2"/>
  <c r="DT93" i="2"/>
  <c r="DT56" i="2"/>
  <c r="DT191" i="2"/>
  <c r="DT160" i="2"/>
  <c r="DT150" i="2"/>
  <c r="EO141" i="2"/>
  <c r="EO82" i="2"/>
  <c r="EO89" i="2"/>
  <c r="EO15" i="2"/>
  <c r="EO156" i="2"/>
  <c r="EO144" i="2"/>
  <c r="EO194" i="2"/>
  <c r="EO14" i="2"/>
  <c r="EO16" i="2"/>
  <c r="EO140" i="2"/>
  <c r="EO66" i="2"/>
  <c r="EO177" i="2"/>
  <c r="EO50" i="2"/>
  <c r="EO3" i="2"/>
  <c r="C12" i="4" s="1"/>
  <c r="E12" i="4" s="1"/>
  <c r="F12" i="4" s="1"/>
  <c r="G12" i="4" s="1"/>
  <c r="L12" i="4" s="1"/>
  <c r="EO128" i="2"/>
  <c r="EO147" i="2"/>
  <c r="EO183" i="2"/>
  <c r="EO124" i="2"/>
  <c r="EO161" i="2"/>
  <c r="EO63" i="2"/>
  <c r="EO8" i="2"/>
  <c r="EO157" i="2"/>
  <c r="EO26" i="2"/>
  <c r="EO12" i="2"/>
  <c r="EO20" i="2"/>
  <c r="EO145" i="2"/>
  <c r="EO18" i="2"/>
  <c r="EO180" i="2"/>
  <c r="EO31" i="2"/>
  <c r="EO84" i="2"/>
  <c r="EO9" i="2"/>
  <c r="EO187" i="2"/>
  <c r="EO199" i="2"/>
  <c r="EO181" i="2"/>
  <c r="EO7" i="2"/>
  <c r="EO65" i="2"/>
  <c r="EO195" i="2"/>
  <c r="EO109" i="2"/>
  <c r="EO81" i="2"/>
  <c r="EO87" i="2"/>
  <c r="EO40" i="2"/>
  <c r="EO190" i="2"/>
  <c r="EO117" i="2"/>
  <c r="EO51" i="2"/>
  <c r="EO73" i="2"/>
  <c r="EO45" i="2"/>
  <c r="EO76" i="2"/>
  <c r="EO166" i="2"/>
  <c r="EO188" i="2"/>
  <c r="EO163" i="2"/>
  <c r="EO185" i="2"/>
  <c r="EO151" i="2"/>
  <c r="EO55" i="2"/>
  <c r="EO160" i="2"/>
  <c r="EO4" i="2"/>
  <c r="EO175" i="2"/>
  <c r="EO104" i="2"/>
  <c r="EO159" i="2"/>
  <c r="EO68" i="2"/>
  <c r="EO167" i="2"/>
  <c r="EO6" i="2"/>
  <c r="EO91" i="2"/>
  <c r="EO46" i="2"/>
  <c r="EO77" i="2"/>
  <c r="EO53" i="2"/>
  <c r="EO27" i="2"/>
  <c r="EO19" i="2"/>
  <c r="EO110" i="2"/>
  <c r="EO23" i="2"/>
  <c r="EO134" i="2"/>
  <c r="EO165" i="2"/>
  <c r="EO202" i="2"/>
  <c r="EO60" i="2"/>
  <c r="EO168" i="2"/>
  <c r="EO54" i="2"/>
  <c r="EO49" i="2"/>
  <c r="EO78" i="2"/>
  <c r="EO64" i="2"/>
  <c r="EO21" i="2"/>
  <c r="EO61" i="2"/>
  <c r="EO35" i="2"/>
  <c r="EO48" i="2"/>
  <c r="EO193" i="2"/>
  <c r="EO93" i="2"/>
  <c r="EO112" i="2"/>
  <c r="EO90" i="2"/>
  <c r="EO28" i="2"/>
  <c r="EO125" i="2"/>
  <c r="EO10" i="2"/>
  <c r="EO203" i="2"/>
  <c r="EO126" i="2"/>
  <c r="EO119" i="2"/>
  <c r="EO138" i="2"/>
  <c r="EO80" i="2"/>
  <c r="EO155" i="2"/>
  <c r="EO102" i="2"/>
  <c r="EO164" i="2"/>
  <c r="EO37" i="2"/>
  <c r="EO173" i="2"/>
  <c r="EO74" i="2"/>
  <c r="EO122" i="2"/>
  <c r="EO100" i="2"/>
  <c r="EO152" i="2"/>
  <c r="EO108" i="2"/>
  <c r="EO13" i="2"/>
  <c r="EO113" i="2"/>
  <c r="EO107" i="2"/>
  <c r="EO62" i="2"/>
  <c r="EO148" i="2"/>
  <c r="EO201" i="2"/>
  <c r="EO72" i="2"/>
  <c r="EO116" i="2"/>
  <c r="EO158" i="2"/>
  <c r="EO172" i="2"/>
  <c r="EO67" i="2"/>
  <c r="EO196" i="2"/>
  <c r="EO83" i="2"/>
  <c r="EO179" i="2"/>
  <c r="EO127" i="2"/>
  <c r="EO94" i="2"/>
  <c r="EO143" i="2"/>
  <c r="EO114" i="2"/>
  <c r="EO189" i="2"/>
  <c r="EO137" i="2"/>
  <c r="EO86" i="2"/>
  <c r="EO162" i="2"/>
  <c r="EO44" i="2"/>
  <c r="EO149" i="2"/>
  <c r="EO34" i="2"/>
  <c r="EO22" i="2"/>
  <c r="EO182" i="2"/>
  <c r="EO29" i="2"/>
  <c r="EO25" i="2"/>
  <c r="EO106" i="2"/>
  <c r="EO92" i="2"/>
  <c r="EO130" i="2"/>
  <c r="EO39" i="2"/>
  <c r="EO47" i="2"/>
  <c r="EO191" i="2"/>
  <c r="EO200" i="2"/>
  <c r="EO120" i="2"/>
  <c r="EO97" i="2"/>
  <c r="EO197" i="2"/>
  <c r="EO24" i="2"/>
  <c r="EO136" i="2"/>
  <c r="EO79" i="2"/>
  <c r="EO38" i="2"/>
  <c r="EO11" i="2"/>
  <c r="EO171" i="2"/>
  <c r="EO98" i="2"/>
  <c r="EO52" i="2"/>
  <c r="EO186" i="2"/>
  <c r="EO153" i="2"/>
  <c r="EO96" i="2"/>
  <c r="EO56" i="2"/>
  <c r="EO132" i="2"/>
  <c r="EO58" i="2"/>
  <c r="EO75" i="2"/>
  <c r="EO36" i="2"/>
  <c r="EO121" i="2"/>
  <c r="EO69" i="2"/>
  <c r="EO85" i="2"/>
  <c r="EO103" i="2"/>
  <c r="EO135" i="2"/>
  <c r="EO192" i="2"/>
  <c r="EO176" i="2"/>
  <c r="EO33" i="2"/>
  <c r="EO139" i="2"/>
  <c r="EO169" i="2"/>
  <c r="EO111" i="2"/>
  <c r="EO17" i="2"/>
  <c r="EO133" i="2"/>
  <c r="EO95" i="2"/>
  <c r="EO142" i="2"/>
  <c r="EO115" i="2"/>
  <c r="EO131" i="2"/>
  <c r="EO146" i="2"/>
  <c r="EO101" i="2"/>
  <c r="EO123" i="2"/>
  <c r="EO129" i="2"/>
  <c r="EO70" i="2"/>
  <c r="EO150" i="2"/>
  <c r="EO30" i="2"/>
  <c r="EO178" i="2"/>
  <c r="EO105" i="2"/>
  <c r="EO88" i="2"/>
  <c r="EO170" i="2"/>
  <c r="EO41" i="2"/>
  <c r="EO43" i="2"/>
  <c r="EO71" i="2"/>
  <c r="EO42" i="2"/>
  <c r="EO184" i="2"/>
  <c r="EO32" i="2"/>
  <c r="EO118" i="2"/>
  <c r="EO174" i="2"/>
  <c r="EO59" i="2"/>
  <c r="EO57" i="2"/>
  <c r="EO154" i="2"/>
  <c r="EO5" i="2"/>
  <c r="EO198" i="2"/>
  <c r="EO99" i="2"/>
  <c r="CD146" i="2"/>
  <c r="CD187" i="2"/>
  <c r="CD25" i="2"/>
  <c r="CD161" i="2"/>
  <c r="CD16" i="2"/>
  <c r="CD131" i="2"/>
  <c r="CD178" i="2"/>
  <c r="CD67" i="2"/>
  <c r="CD162" i="2"/>
  <c r="CD149" i="2"/>
  <c r="CD45" i="2"/>
  <c r="CD82" i="2"/>
  <c r="CD33" i="2"/>
  <c r="CD69" i="2"/>
  <c r="CD77" i="2"/>
  <c r="CD154" i="2"/>
  <c r="CD57" i="2"/>
  <c r="CD129" i="2"/>
  <c r="CD56" i="2"/>
  <c r="CD106" i="2"/>
  <c r="CD27" i="2"/>
  <c r="CD30" i="2"/>
  <c r="CD185" i="2"/>
  <c r="CD110" i="2"/>
  <c r="CD3" i="2"/>
  <c r="C9" i="4" s="1"/>
  <c r="E9" i="4" s="1"/>
  <c r="F9" i="4" s="1"/>
  <c r="G9" i="4" s="1"/>
  <c r="L9" i="4" s="1"/>
  <c r="CD52" i="2"/>
  <c r="CD200" i="2"/>
  <c r="CD152" i="2"/>
  <c r="CD117" i="2"/>
  <c r="CD183" i="2"/>
  <c r="CD95" i="2"/>
  <c r="CD156" i="2"/>
  <c r="CD105" i="2"/>
  <c r="CD197" i="2"/>
  <c r="CD139" i="2"/>
  <c r="CD120" i="2"/>
  <c r="CD184" i="2"/>
  <c r="CD176" i="2"/>
  <c r="CD18" i="2"/>
  <c r="CD181" i="2"/>
  <c r="CD44" i="2"/>
  <c r="CD130" i="2"/>
  <c r="CD158" i="2"/>
  <c r="CD175" i="2"/>
  <c r="CD166" i="2"/>
  <c r="CD190" i="2"/>
  <c r="CD98" i="2"/>
  <c r="CD93" i="2"/>
  <c r="CD191" i="2"/>
  <c r="CD171" i="2"/>
  <c r="CD135" i="2"/>
  <c r="CD70" i="2"/>
  <c r="CD92" i="2"/>
  <c r="CD20" i="2"/>
  <c r="CD59" i="2"/>
  <c r="CD80" i="2"/>
  <c r="CD174" i="2"/>
  <c r="CD168" i="2"/>
  <c r="CD54" i="2"/>
  <c r="CD90" i="2"/>
  <c r="CD163" i="2"/>
  <c r="CD84" i="2"/>
  <c r="CD74" i="2"/>
  <c r="CD60" i="2"/>
  <c r="CD107" i="2"/>
  <c r="CD194" i="2"/>
  <c r="CD147" i="2"/>
  <c r="CD182" i="2"/>
  <c r="CD199" i="2"/>
  <c r="CD196" i="2"/>
  <c r="CD180" i="2"/>
  <c r="CD76" i="2"/>
  <c r="CD17" i="2"/>
  <c r="CD36" i="2"/>
  <c r="CD123" i="2"/>
  <c r="CD136" i="2"/>
  <c r="CD78" i="2"/>
  <c r="CD28" i="2"/>
  <c r="CD10" i="2"/>
  <c r="CD24" i="2"/>
  <c r="CD111" i="2"/>
  <c r="CD88" i="2"/>
  <c r="CD5" i="2"/>
  <c r="CD113" i="2"/>
  <c r="CD121" i="2"/>
  <c r="CD29" i="2"/>
  <c r="CD143" i="2"/>
  <c r="CD103" i="2"/>
  <c r="CD119" i="2"/>
  <c r="CD31" i="2"/>
  <c r="CD109" i="2"/>
  <c r="CD148" i="2"/>
  <c r="CD4" i="2"/>
  <c r="CD61" i="2"/>
  <c r="CD85" i="2"/>
  <c r="CD177" i="2"/>
  <c r="CD47" i="2"/>
  <c r="CD127" i="2"/>
  <c r="CD155" i="2"/>
  <c r="CD142" i="2"/>
  <c r="CD132" i="2"/>
  <c r="CD8" i="2"/>
  <c r="CD170" i="2"/>
  <c r="CD22" i="2"/>
  <c r="CD186" i="2"/>
  <c r="CD48" i="2"/>
  <c r="CD79" i="2"/>
  <c r="CD116" i="2"/>
  <c r="CD108" i="2"/>
  <c r="CD159" i="2"/>
  <c r="CD138" i="2"/>
  <c r="CD21" i="2"/>
  <c r="CD100" i="2"/>
  <c r="CD11" i="2"/>
  <c r="CD160" i="2"/>
  <c r="CD39" i="2"/>
  <c r="CD32" i="2"/>
  <c r="CD201" i="2"/>
  <c r="CD15" i="2"/>
  <c r="CD202" i="2"/>
  <c r="CD157" i="2"/>
  <c r="CD195" i="2"/>
  <c r="CD101" i="2"/>
  <c r="CD114" i="2"/>
  <c r="CD81" i="2"/>
  <c r="CD126" i="2"/>
  <c r="CD40" i="2"/>
  <c r="CD179" i="2"/>
  <c r="CD62" i="2"/>
  <c r="CD203" i="2"/>
  <c r="CD64" i="2"/>
  <c r="CD55" i="2"/>
  <c r="CD65" i="2"/>
  <c r="CD102" i="2"/>
  <c r="CD193" i="2"/>
  <c r="CD192" i="2"/>
  <c r="CD137" i="2"/>
  <c r="CD73" i="2"/>
  <c r="CD173" i="2"/>
  <c r="CD169" i="2"/>
  <c r="CD188" i="2"/>
  <c r="CD134" i="2"/>
  <c r="CD86" i="2"/>
  <c r="CD71" i="2"/>
  <c r="CD153" i="2"/>
  <c r="CD19" i="2"/>
  <c r="CD35" i="2"/>
  <c r="CD124" i="2"/>
  <c r="CD96" i="2"/>
  <c r="CD151" i="2"/>
  <c r="CD42" i="2"/>
  <c r="CD9" i="2"/>
  <c r="CD38" i="2"/>
  <c r="CD89" i="2"/>
  <c r="CD46" i="2"/>
  <c r="CD122" i="2"/>
  <c r="CD140" i="2"/>
  <c r="CD12" i="2"/>
  <c r="CD198" i="2"/>
  <c r="CD104" i="2"/>
  <c r="CD133" i="2"/>
  <c r="CD145" i="2"/>
  <c r="CD167" i="2"/>
  <c r="CD43" i="2"/>
  <c r="CD165" i="2"/>
  <c r="CD13" i="2"/>
  <c r="CD58" i="2"/>
  <c r="CD189" i="2"/>
  <c r="CD37" i="2"/>
  <c r="CD97" i="2"/>
  <c r="CD91" i="2"/>
  <c r="CD66" i="2"/>
  <c r="CD23" i="2"/>
  <c r="CD164" i="2"/>
  <c r="CD72" i="2"/>
  <c r="CD118" i="2"/>
  <c r="CD41" i="2"/>
  <c r="CD14" i="2"/>
  <c r="CD75" i="2"/>
  <c r="CD49" i="2"/>
  <c r="CD99" i="2"/>
  <c r="CD125" i="2"/>
  <c r="CD50" i="2"/>
  <c r="CD6" i="2"/>
  <c r="CD150" i="2"/>
  <c r="CD128" i="2"/>
  <c r="CD26" i="2"/>
  <c r="CD94" i="2"/>
  <c r="CD87" i="2"/>
  <c r="CD63" i="2"/>
  <c r="CD115" i="2"/>
  <c r="CD172" i="2"/>
  <c r="CD68" i="2"/>
  <c r="CD51" i="2"/>
  <c r="CD53" i="2"/>
  <c r="CD144" i="2"/>
  <c r="CD112" i="2"/>
  <c r="CD34" i="2"/>
  <c r="CD141" i="2"/>
  <c r="CD7" i="2"/>
  <c r="CD83" i="2"/>
  <c r="GE11" i="2"/>
  <c r="GE122" i="2"/>
  <c r="GE48" i="2"/>
  <c r="GE90" i="2"/>
  <c r="GE145" i="2"/>
  <c r="GE41" i="2"/>
  <c r="GE16" i="2"/>
  <c r="GE162" i="2"/>
  <c r="GE168" i="2"/>
  <c r="GE18" i="2"/>
  <c r="GE189" i="2"/>
  <c r="GE32" i="2"/>
  <c r="GE82" i="2"/>
  <c r="GE167" i="2"/>
  <c r="GE12" i="2"/>
  <c r="GE158" i="2"/>
  <c r="GE111" i="2"/>
  <c r="GE166" i="2"/>
  <c r="GE69" i="2"/>
  <c r="GE78" i="2"/>
  <c r="GE105" i="2"/>
  <c r="GE188" i="2"/>
  <c r="GE172" i="2"/>
  <c r="GE200" i="2"/>
  <c r="GE163" i="2"/>
  <c r="GE81" i="2"/>
  <c r="GE176" i="2"/>
  <c r="GE6" i="2"/>
  <c r="GE171" i="2"/>
  <c r="GE106" i="2"/>
  <c r="GE4" i="2"/>
  <c r="GE190" i="2"/>
  <c r="GE75" i="2"/>
  <c r="GE170" i="2"/>
  <c r="GE13" i="2"/>
  <c r="GE132" i="2"/>
  <c r="GE89" i="2"/>
  <c r="GE165" i="2"/>
  <c r="GE104" i="2"/>
  <c r="GE98" i="2"/>
  <c r="GE24" i="2"/>
  <c r="GE94" i="2"/>
  <c r="GE169" i="2"/>
  <c r="GE40" i="2"/>
  <c r="GE126" i="2"/>
  <c r="GE36" i="2"/>
  <c r="GE44" i="2"/>
  <c r="GE83" i="2"/>
  <c r="GE14" i="2"/>
  <c r="GE187" i="2"/>
  <c r="GE154" i="2"/>
  <c r="GE161" i="2"/>
  <c r="GE173" i="2"/>
  <c r="GE159" i="2"/>
  <c r="GE156" i="2"/>
  <c r="GE201" i="2"/>
  <c r="GE20" i="2"/>
  <c r="GE177" i="2"/>
  <c r="GE129" i="2"/>
  <c r="GE77" i="2"/>
  <c r="GE113" i="2"/>
  <c r="GE102" i="2"/>
  <c r="GE88" i="2"/>
  <c r="GE93" i="2"/>
  <c r="GE3" i="2"/>
  <c r="C14" i="4" s="1"/>
  <c r="E14" i="4" s="1"/>
  <c r="F14" i="4" s="1"/>
  <c r="G14" i="4" s="1"/>
  <c r="L14" i="4" s="1"/>
  <c r="GE149" i="2"/>
  <c r="GE5" i="2"/>
  <c r="GE91" i="2"/>
  <c r="GE35" i="2"/>
  <c r="GE121" i="2"/>
  <c r="GE182" i="2"/>
  <c r="GE9" i="2"/>
  <c r="GE147" i="2"/>
  <c r="GE194" i="2"/>
  <c r="GE140" i="2"/>
  <c r="GE95" i="2"/>
  <c r="GE63" i="2"/>
  <c r="GE59" i="2"/>
  <c r="GE133" i="2"/>
  <c r="GE198" i="2"/>
  <c r="GE80" i="2"/>
  <c r="GE52" i="2"/>
  <c r="GE108" i="2"/>
  <c r="GE65" i="2"/>
  <c r="GE203" i="2"/>
  <c r="GE142" i="2"/>
  <c r="GE58" i="2"/>
  <c r="GE19" i="2"/>
  <c r="GE134" i="2"/>
  <c r="GE185" i="2"/>
  <c r="GE151" i="2"/>
  <c r="GE136" i="2"/>
  <c r="GE135" i="2"/>
  <c r="GE87" i="2"/>
  <c r="GE100" i="2"/>
  <c r="GE72" i="2"/>
  <c r="GE112" i="2"/>
  <c r="GE79" i="2"/>
  <c r="GE118" i="2"/>
  <c r="GE139" i="2"/>
  <c r="GE128" i="2"/>
  <c r="GE76" i="2"/>
  <c r="GE174" i="2"/>
  <c r="GE131" i="2"/>
  <c r="GE43" i="2"/>
  <c r="GE191" i="2"/>
  <c r="GE164" i="2"/>
  <c r="GE46" i="2"/>
  <c r="GE17" i="2"/>
  <c r="GE99" i="2"/>
  <c r="GE175" i="2"/>
  <c r="GE103" i="2"/>
  <c r="GE150" i="2"/>
  <c r="GE123" i="2"/>
  <c r="GE141" i="2"/>
  <c r="GE61" i="2"/>
  <c r="GE101" i="2"/>
  <c r="GE56" i="2"/>
  <c r="GE125" i="2"/>
  <c r="GE124" i="2"/>
  <c r="GE86" i="2"/>
  <c r="GE54" i="2"/>
  <c r="GE27" i="2"/>
  <c r="GE107" i="2"/>
  <c r="GE23" i="2"/>
  <c r="GE179" i="2"/>
  <c r="GE10" i="2"/>
  <c r="GE116" i="2"/>
  <c r="GE49" i="2"/>
  <c r="GE70" i="2"/>
  <c r="GE92" i="2"/>
  <c r="GE127" i="2"/>
  <c r="GE115" i="2"/>
  <c r="GE144" i="2"/>
  <c r="GE137" i="2"/>
  <c r="GE8" i="2"/>
  <c r="GE25" i="2"/>
  <c r="GE97" i="2"/>
  <c r="GE64" i="2"/>
  <c r="GE155" i="2"/>
  <c r="GE196" i="2"/>
  <c r="GE38" i="2"/>
  <c r="GE85" i="2"/>
  <c r="GE148" i="2"/>
  <c r="GE184" i="2"/>
  <c r="GE117" i="2"/>
  <c r="GE152" i="2"/>
  <c r="GE143" i="2"/>
  <c r="GE110" i="2"/>
  <c r="GE31" i="2"/>
  <c r="GE183" i="2"/>
  <c r="GE42" i="2"/>
  <c r="GE109" i="2"/>
  <c r="GE62" i="2"/>
  <c r="GE45" i="2"/>
  <c r="GE71" i="2"/>
  <c r="GE186" i="2"/>
  <c r="GE15" i="2"/>
  <c r="GE47" i="2"/>
  <c r="GE96" i="2"/>
  <c r="GE120" i="2"/>
  <c r="GE130" i="2"/>
  <c r="GE33" i="2"/>
  <c r="GE22" i="2"/>
  <c r="GE7" i="2"/>
  <c r="GE192" i="2"/>
  <c r="GE55" i="2"/>
  <c r="GE138" i="2"/>
  <c r="GE73" i="2"/>
  <c r="GE178" i="2"/>
  <c r="GE74" i="2"/>
  <c r="GE146" i="2"/>
  <c r="GE51" i="2"/>
  <c r="GE50" i="2"/>
  <c r="GE84" i="2"/>
  <c r="GE157" i="2"/>
  <c r="GE66" i="2"/>
  <c r="GE57" i="2"/>
  <c r="GE181" i="2"/>
  <c r="GE114" i="2"/>
  <c r="GE21" i="2"/>
  <c r="GE195" i="2"/>
  <c r="GE193" i="2"/>
  <c r="GE53" i="2"/>
  <c r="GE29" i="2"/>
  <c r="GE197" i="2"/>
  <c r="GE26" i="2"/>
  <c r="GE68" i="2"/>
  <c r="GE28" i="2"/>
  <c r="GE180" i="2"/>
  <c r="GE153" i="2"/>
  <c r="GE34" i="2"/>
  <c r="GE60" i="2"/>
  <c r="GE119" i="2"/>
  <c r="GE202" i="2"/>
  <c r="GE37" i="2"/>
  <c r="GE160" i="2"/>
  <c r="GE30" i="2"/>
  <c r="GE199" i="2"/>
  <c r="GE39" i="2"/>
  <c r="GE67" i="2"/>
  <c r="CY24" i="2"/>
  <c r="CY93" i="2"/>
  <c r="CY144" i="2"/>
  <c r="CY17" i="2"/>
  <c r="CY26" i="2"/>
  <c r="CY73" i="2"/>
  <c r="CY8" i="2"/>
  <c r="CY59" i="2"/>
  <c r="CY15" i="2"/>
  <c r="CY77" i="2"/>
  <c r="CY120" i="2"/>
  <c r="CY41" i="2"/>
  <c r="CY12" i="2"/>
  <c r="CY3" i="2"/>
  <c r="C10" i="4" s="1"/>
  <c r="E10" i="4" s="1"/>
  <c r="F10" i="4" s="1"/>
  <c r="G10" i="4" s="1"/>
  <c r="L10" i="4" s="1"/>
  <c r="CY134" i="2"/>
  <c r="CY135" i="2"/>
  <c r="CY32" i="2"/>
  <c r="CY79" i="2"/>
  <c r="CY113" i="2"/>
  <c r="CY137" i="2"/>
  <c r="CY58" i="2"/>
  <c r="CY107" i="2"/>
  <c r="CY10" i="2"/>
  <c r="CY112" i="2"/>
  <c r="CY42" i="2"/>
  <c r="CY197" i="2"/>
  <c r="CY129" i="2"/>
  <c r="CY194" i="2"/>
  <c r="CY201" i="2"/>
  <c r="CY83" i="2"/>
  <c r="CY149" i="2"/>
  <c r="CY131" i="2"/>
  <c r="CY146" i="2"/>
  <c r="CY86" i="2"/>
  <c r="CY163" i="2"/>
  <c r="CY48" i="2"/>
  <c r="CY50" i="2"/>
  <c r="CY100" i="2"/>
  <c r="CY123" i="2"/>
  <c r="CY151" i="2"/>
  <c r="CY36" i="2"/>
  <c r="CY133" i="2"/>
  <c r="CY168" i="2"/>
  <c r="CY57" i="2"/>
  <c r="CY188" i="2"/>
  <c r="CY69" i="2"/>
  <c r="CY67" i="2"/>
  <c r="CY128" i="2"/>
  <c r="CY130" i="2"/>
  <c r="CY136" i="2"/>
  <c r="CY37" i="2"/>
  <c r="CY9" i="2"/>
  <c r="CY74" i="2"/>
  <c r="CY95" i="2"/>
  <c r="CY84" i="2"/>
  <c r="CY139" i="2"/>
  <c r="CY181" i="2"/>
  <c r="CY68" i="2"/>
  <c r="CY46" i="2"/>
  <c r="CY187" i="2"/>
  <c r="CY27" i="2"/>
  <c r="CY99" i="2"/>
  <c r="CY109" i="2"/>
  <c r="CY81" i="2"/>
  <c r="CY102" i="2"/>
  <c r="CY154" i="2"/>
  <c r="CY40" i="2"/>
  <c r="CY200" i="2"/>
  <c r="CY60" i="2"/>
  <c r="CY115" i="2"/>
  <c r="CY28" i="2"/>
  <c r="CY6" i="2"/>
  <c r="CY169" i="2"/>
  <c r="CY35" i="2"/>
  <c r="CY30" i="2"/>
  <c r="CY89" i="2"/>
  <c r="CY185" i="2"/>
  <c r="CY116" i="2"/>
  <c r="CY76" i="2"/>
  <c r="CY106" i="2"/>
  <c r="CY126" i="2"/>
  <c r="CY180" i="2"/>
  <c r="CY56" i="2"/>
  <c r="CY142" i="2"/>
  <c r="CY152" i="2"/>
  <c r="CY119" i="2"/>
  <c r="CY182" i="2"/>
  <c r="CY71" i="2"/>
  <c r="CY150" i="2"/>
  <c r="CY193" i="2"/>
  <c r="CY19" i="2"/>
  <c r="CY166" i="2"/>
  <c r="CY170" i="2"/>
  <c r="CY157" i="2"/>
  <c r="CY44" i="2"/>
  <c r="CY132" i="2"/>
  <c r="CY63" i="2"/>
  <c r="CY11" i="2"/>
  <c r="CY87" i="2"/>
  <c r="CY174" i="2"/>
  <c r="CY198" i="2"/>
  <c r="CY49" i="2"/>
  <c r="CY31" i="2"/>
  <c r="CY43" i="2"/>
  <c r="CY117" i="2"/>
  <c r="CY173" i="2"/>
  <c r="CY183" i="2"/>
  <c r="CY38" i="2"/>
  <c r="CY33" i="2"/>
  <c r="CY75" i="2"/>
  <c r="CY98" i="2"/>
  <c r="CY160" i="2"/>
  <c r="CY114" i="2"/>
  <c r="CY13" i="2"/>
  <c r="CY82" i="2"/>
  <c r="CY4" i="2"/>
  <c r="CY55" i="2"/>
  <c r="CY203" i="2"/>
  <c r="CY202" i="2"/>
  <c r="CY94" i="2"/>
  <c r="CY51" i="2"/>
  <c r="CY156" i="2"/>
  <c r="CY111" i="2"/>
  <c r="CY21" i="2"/>
  <c r="CY16" i="2"/>
  <c r="CY85" i="2"/>
  <c r="CY80" i="2"/>
  <c r="CY145" i="2"/>
  <c r="CY108" i="2"/>
  <c r="CY70" i="2"/>
  <c r="CY103" i="2"/>
  <c r="CY158" i="2"/>
  <c r="CY7" i="2"/>
  <c r="CY47" i="2"/>
  <c r="CY92" i="2"/>
  <c r="CY171" i="2"/>
  <c r="CY153" i="2"/>
  <c r="CY22" i="2"/>
  <c r="CY190" i="2"/>
  <c r="CY155" i="2"/>
  <c r="CY96" i="2"/>
  <c r="CY62" i="2"/>
  <c r="CY122" i="2"/>
  <c r="CY184" i="2"/>
  <c r="CY54" i="2"/>
  <c r="CY52" i="2"/>
  <c r="CY125" i="2"/>
  <c r="CY90" i="2"/>
  <c r="CY23" i="2"/>
  <c r="CY34" i="2"/>
  <c r="CY191" i="2"/>
  <c r="CY162" i="2"/>
  <c r="CY176" i="2"/>
  <c r="CY66" i="2"/>
  <c r="CY186" i="2"/>
  <c r="CY45" i="2"/>
  <c r="CY29" i="2"/>
  <c r="CY118" i="2"/>
  <c r="CY165" i="2"/>
  <c r="CY172" i="2"/>
  <c r="CY196" i="2"/>
  <c r="CY39" i="2"/>
  <c r="CY104" i="2"/>
  <c r="CY61" i="2"/>
  <c r="CY18" i="2"/>
  <c r="CY65" i="2"/>
  <c r="CY91" i="2"/>
  <c r="CY161" i="2"/>
  <c r="CY105" i="2"/>
  <c r="CY192" i="2"/>
  <c r="CY5" i="2"/>
  <c r="CY140" i="2"/>
  <c r="CY199" i="2"/>
  <c r="CY53" i="2"/>
  <c r="CY25" i="2"/>
  <c r="CY78" i="2"/>
  <c r="CY143" i="2"/>
  <c r="CY177" i="2"/>
  <c r="CY14" i="2"/>
  <c r="CY121" i="2"/>
  <c r="CY124" i="2"/>
  <c r="CY97" i="2"/>
  <c r="CY178" i="2"/>
  <c r="CY88" i="2"/>
  <c r="CY148" i="2"/>
  <c r="CY179" i="2"/>
  <c r="CY64" i="2"/>
  <c r="CY20" i="2"/>
  <c r="CY110" i="2"/>
  <c r="CY167" i="2"/>
  <c r="CY189" i="2"/>
  <c r="CY101" i="2"/>
  <c r="CY195" i="2"/>
  <c r="CY127" i="2"/>
  <c r="CY138" i="2"/>
  <c r="CY72" i="2"/>
  <c r="CY141" i="2"/>
  <c r="CY175" i="2"/>
  <c r="CY159" i="2"/>
  <c r="CY164" i="2"/>
  <c r="CY14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<sst xmlns="http://schemas.openxmlformats.org/spreadsheetml/2006/main" count="1178" uniqueCount="324">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</sst>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238.96515518245596</c:v>
                </c:pt>
                <c:pt idx="32">
                  <c:v>257.78890626510474</c:v>
                </c:pt>
                <c:pt idx="33">
                  <c:v>276.58158830990754</c:v>
                </c:pt>
                <c:pt idx="34">
                  <c:v>295.34560890488154</c:v>
                </c:pt>
                <c:pt idx="35">
                  <c:v>314.08304469239323</c:v>
                </c:pt>
                <c:pt idx="36">
                  <c:v>230.46511069348841</c:v>
                </c:pt>
                <c:pt idx="37">
                  <c:v>250.04186301596869</c:v>
                </c:pt>
                <c:pt idx="38">
                  <c:v>269.58386372150011</c:v>
                </c:pt>
                <c:pt idx="39">
                  <c:v>289.09398574595832</c:v>
                </c:pt>
                <c:pt idx="40">
                  <c:v>308.57468250394254</c:v>
                </c:pt>
                <c:pt idx="41">
                  <c:v>328.39486727133897</c:v>
                </c:pt>
                <c:pt idx="42">
                  <c:v>348.18865493629545</c:v>
                </c:pt>
                <c:pt idx="43">
                  <c:v>367.95775652370889</c:v>
                </c:pt>
                <c:pt idx="44">
                  <c:v>387.70368425262313</c:v>
                </c:pt>
                <c:pt idx="45">
                  <c:v>407.42778379371674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365.39643285792198</c:v>
                </c:pt>
                <c:pt idx="49">
                  <c:v>385.51079352962591</c:v>
                </c:pt>
                <c:pt idx="50">
                  <c:v>405.60236216041102</c:v>
                </c:pt>
                <c:pt idx="51">
                  <c:v>425.67242592235567</c:v>
                </c:pt>
                <c:pt idx="52">
                  <c:v>445.72214076928839</c:v>
                </c:pt>
                <c:pt idx="53">
                  <c:v>465.7525502351603</c:v>
                </c:pt>
                <c:pt idx="54">
                  <c:v>485.76460083050733</c:v>
                </c:pt>
                <c:pt idx="55">
                  <c:v>505.75915477017446</c:v>
                </c:pt>
                <c:pt idx="56">
                  <c:v>423.1192072464512</c:v>
                </c:pt>
                <c:pt idx="57">
                  <c:v>442.44262584408847</c:v>
                </c:pt>
                <c:pt idx="58">
                  <c:v>461.74796605237293</c:v>
                </c:pt>
                <c:pt idx="59">
                  <c:v>481.0360896062939</c:v>
                </c:pt>
                <c:pt idx="60">
                  <c:v>500.30778354060629</c:v>
                </c:pt>
                <c:pt idx="61">
                  <c:v>519.56376935198091</c:v>
                </c:pt>
                <c:pt idx="62">
                  <c:v>538.80471073269098</c:v>
                </c:pt>
                <c:pt idx="63">
                  <c:v>558.03122014259679</c:v>
                </c:pt>
                <c:pt idx="64">
                  <c:v>577.2438644287339</c:v>
                </c:pt>
                <c:pt idx="65">
                  <c:v>596.44316965824521</c:v>
                </c:pt>
                <c:pt idx="66">
                  <c:v>512.48080321008536</c:v>
                </c:pt>
                <c:pt idx="67">
                  <c:v>530.09365518448112</c:v>
                </c:pt>
                <c:pt idx="68">
                  <c:v>547.69419515815105</c:v>
                </c:pt>
                <c:pt idx="69">
                  <c:v>565.28287423778238</c:v>
                </c:pt>
                <c:pt idx="70">
                  <c:v>582.86011318749979</c:v>
                </c:pt>
                <c:pt idx="71">
                  <c:v>600.42630534197826</c:v>
                </c:pt>
                <c:pt idx="72">
                  <c:v>617.98181916112492</c:v>
                </c:pt>
                <c:pt idx="73">
                  <c:v>635.52700047955352</c:v>
                </c:pt>
                <c:pt idx="74">
                  <c:v>653.06217449490828</c:v>
                </c:pt>
                <c:pt idx="75">
                  <c:v>670.58764753168191</c:v>
                </c:pt>
                <c:pt idx="76">
                  <c:v>584.85270384592593</c:v>
                </c:pt>
                <c:pt idx="77">
                  <c:v>600.42630534197826</c:v>
                </c:pt>
                <c:pt idx="78">
                  <c:v>615.99151338618697</c:v>
                </c:pt>
                <c:pt idx="79">
                  <c:v>631.54856981424325</c:v>
                </c:pt>
                <c:pt idx="80">
                  <c:v>647.09770358364244</c:v>
                </c:pt>
                <c:pt idx="81">
                  <c:v>662.63913175881373</c:v>
                </c:pt>
                <c:pt idx="82">
                  <c:v>678.17306039908851</c:v>
                </c:pt>
                <c:pt idx="83">
                  <c:v>693.69968536113538</c:v>
                </c:pt>
                <c:pt idx="84">
                  <c:v>709.21919302587469</c:v>
                </c:pt>
                <c:pt idx="85">
                  <c:v>724.73176095850556</c:v>
                </c:pt>
                <c:pt idx="86">
                  <c:v>639.32411319685457</c:v>
                </c:pt>
                <c:pt idx="87">
                  <c:v>653.24289845337159</c:v>
                </c:pt>
                <c:pt idx="88">
                  <c:v>667.15557298910073</c:v>
                </c:pt>
                <c:pt idx="89">
                  <c:v>681.06228211658754</c:v>
                </c:pt>
                <c:pt idx="90">
                  <c:v>694.96316473380375</c:v>
                </c:pt>
                <c:pt idx="91">
                  <c:v>708.85835373260954</c:v>
                </c:pt>
                <c:pt idx="92">
                  <c:v>722.74797637354413</c:v>
                </c:pt>
                <c:pt idx="93">
                  <c:v>736.63215463033009</c:v>
                </c:pt>
                <c:pt idx="94">
                  <c:v>750.51100550707417</c:v>
                </c:pt>
                <c:pt idx="95">
                  <c:v>764.38464133080095</c:v>
                </c:pt>
                <c:pt idx="96">
                  <c:v>685.03455148539786</c:v>
                </c:pt>
                <c:pt idx="97">
                  <c:v>697.67046222084525</c:v>
                </c:pt>
                <c:pt idx="98">
                  <c:v>710.3016883971892</c:v>
                </c:pt>
                <c:pt idx="99">
                  <c:v>722.92832501246721</c:v>
                </c:pt>
                <c:pt idx="100">
                  <c:v>735.55046347762789</c:v>
                </c:pt>
                <c:pt idx="101">
                  <c:v>748.16819181248957</c:v>
                </c:pt>
                <c:pt idx="102">
                  <c:v>760.78159482780381</c:v>
                </c:pt>
                <c:pt idx="103">
                  <c:v>773.3907542946223</c:v>
                </c:pt>
                <c:pt idx="104">
                  <c:v>785.99574910205763</c:v>
                </c:pt>
                <c:pt idx="105">
                  <c:v>798.59665540440153</c:v>
                </c:pt>
                <c:pt idx="106">
                  <c:v>724.91209951452549</c:v>
                </c:pt>
                <c:pt idx="107">
                  <c:v>735.91103079239974</c:v>
                </c:pt>
                <c:pt idx="108">
                  <c:v>746.90661499339865</c:v>
                </c:pt>
                <c:pt idx="109">
                  <c:v>757.89890831171022</c:v>
                </c:pt>
                <c:pt idx="110">
                  <c:v>768.88796517943513</c:v>
                </c:pt>
                <c:pt idx="111">
                  <c:v>779.87383834676268</c:v>
                </c:pt>
                <c:pt idx="112">
                  <c:v>790.8565789573986</c:v>
                </c:pt>
                <c:pt idx="113">
                  <c:v>801.83623661958484</c:v>
                </c:pt>
                <c:pt idx="114">
                  <c:v>812.81285947303479</c:v>
                </c:pt>
                <c:pt idx="115">
                  <c:v>823.78649425206356</c:v>
                </c:pt>
                <c:pt idx="116">
                  <c:v>754.29523694491115</c:v>
                </c:pt>
                <c:pt idx="117">
                  <c:v>764.02435221498752</c:v>
                </c:pt>
                <c:pt idx="118">
                  <c:v>773.75095443005819</c:v>
                </c:pt>
                <c:pt idx="119">
                  <c:v>783.47507961966937</c:v>
                </c:pt>
                <c:pt idx="120">
                  <c:v>793.19676284651041</c:v>
                </c:pt>
                <c:pt idx="121">
                  <c:v>802.91603824413949</c:v>
                </c:pt>
                <c:pt idx="122">
                  <c:v>812.6329390527917</c:v>
                </c:pt>
                <c:pt idx="123">
                  <c:v>822.34749765338574</c:v>
                </c:pt>
                <c:pt idx="124">
                  <c:v>832.05974559984099</c:v>
                </c:pt>
                <c:pt idx="125">
                  <c:v>841.7697136498092</c:v>
                </c:pt>
                <c:pt idx="126">
                  <c:v>774.59140820246546</c:v>
                </c:pt>
                <c:pt idx="127">
                  <c:v>782.99493350852742</c:v>
                </c:pt>
                <c:pt idx="128">
                  <c:v>791.39663380356581</c:v>
                </c:pt>
                <c:pt idx="129">
                  <c:v>799.79653118626948</c:v>
                </c:pt>
                <c:pt idx="130">
                  <c:v>808.1946472534828</c:v>
                </c:pt>
                <c:pt idx="131">
                  <c:v>816.59100311681107</c:v>
                </c:pt>
                <c:pt idx="132">
                  <c:v>824.98561941850494</c:v>
                </c:pt>
                <c:pt idx="133">
                  <c:v>833.37851634666629</c:v>
                </c:pt>
                <c:pt idx="134">
                  <c:v>841.76971364980955</c:v>
                </c:pt>
                <c:pt idx="135">
                  <c:v>850.15923065081336</c:v>
                </c:pt>
                <c:pt idx="136">
                  <c:v>858.54708626029299</c:v>
                </c:pt>
                <c:pt idx="137">
                  <c:v>866.93329898942227</c:v>
                </c:pt>
                <c:pt idx="138">
                  <c:v>875.317886962236</c:v>
                </c:pt>
                <c:pt idx="139">
                  <c:v>883.70086792743439</c:v>
                </c:pt>
                <c:pt idx="140">
                  <c:v>892.0822592697192</c:v>
                </c:pt>
                <c:pt idx="141">
                  <c:v>796.61678072259008</c:v>
                </c:pt>
                <c:pt idx="142">
                  <c:v>807.23495204061294</c:v>
                </c:pt>
                <c:pt idx="143">
                  <c:v>817.85030596071203</c:v>
                </c:pt>
                <c:pt idx="144">
                  <c:v>828.46288418357665</c:v>
                </c:pt>
                <c:pt idx="145">
                  <c:v>839.07272725509335</c:v>
                </c:pt>
                <c:pt idx="146">
                  <c:v>849.67987461282803</c:v>
                </c:pt>
                <c:pt idx="147">
                  <c:v>860.28436463007063</c:v>
                </c:pt>
                <c:pt idx="148">
                  <c:v>870.88623465759338</c:v>
                </c:pt>
                <c:pt idx="149">
                  <c:v>881.48552106327486</c:v>
                </c:pt>
                <c:pt idx="150">
                  <c:v>892.08225926971897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174320"/>
        <c:axId val="57174864"/>
      </c:scatterChart>
      <c:valAx>
        <c:axId val="57174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174864"/>
        <c:crosses val="autoZero"/>
        <c:crossBetween val="midCat"/>
      </c:valAx>
      <c:valAx>
        <c:axId val="5717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174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321808"/>
        <c:axId val="716323984"/>
      </c:scatterChart>
      <c:valAx>
        <c:axId val="716321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6323984"/>
        <c:crosses val="autoZero"/>
        <c:crossBetween val="midCat"/>
      </c:valAx>
      <c:valAx>
        <c:axId val="71632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6321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405.13768105411538</c:v>
                </c:pt>
                <c:pt idx="57">
                  <c:v>421.09629212416644</c:v>
                </c:pt>
                <c:pt idx="58">
                  <c:v>437.04188306286568</c:v>
                </c:pt>
                <c:pt idx="59">
                  <c:v>452.97499565311682</c:v>
                </c:pt>
                <c:pt idx="60">
                  <c:v>468.896130467288</c:v>
                </c:pt>
                <c:pt idx="61">
                  <c:v>484.80575132371087</c:v>
                </c:pt>
                <c:pt idx="62">
                  <c:v>500.70428912785314</c:v>
                </c:pt>
                <c:pt idx="63">
                  <c:v>516.59214520035425</c:v>
                </c:pt>
                <c:pt idx="64">
                  <c:v>532.46969417446053</c:v>
                </c:pt>
                <c:pt idx="65">
                  <c:v>548.33728653000821</c:v>
                </c:pt>
                <c:pt idx="66">
                  <c:v>472.12196960826736</c:v>
                </c:pt>
                <c:pt idx="67">
                  <c:v>486.09522926878577</c:v>
                </c:pt>
                <c:pt idx="68">
                  <c:v>500.05996417048794</c:v>
                </c:pt>
                <c:pt idx="69">
                  <c:v>514.01644585203405</c:v>
                </c:pt>
                <c:pt idx="70">
                  <c:v>527.96492990820889</c:v>
                </c:pt>
                <c:pt idx="71">
                  <c:v>541.90565733137839</c:v>
                </c:pt>
                <c:pt idx="72">
                  <c:v>555.83885570776647</c:v>
                </c:pt>
                <c:pt idx="73">
                  <c:v>569.76474028758639</c:v>
                </c:pt>
                <c:pt idx="74">
                  <c:v>583.68351494514388</c:v>
                </c:pt>
                <c:pt idx="75">
                  <c:v>597.5953730426379</c:v>
                </c:pt>
                <c:pt idx="76">
                  <c:v>520.24058909412327</c:v>
                </c:pt>
                <c:pt idx="77">
                  <c:v>532.89867740865941</c:v>
                </c:pt>
                <c:pt idx="78">
                  <c:v>545.55044271381541</c:v>
                </c:pt>
                <c:pt idx="79">
                  <c:v>558.19605227369846</c:v>
                </c:pt>
                <c:pt idx="80">
                  <c:v>570.83566515785844</c:v>
                </c:pt>
                <c:pt idx="81">
                  <c:v>583.46943281911695</c:v>
                </c:pt>
                <c:pt idx="82">
                  <c:v>596.09749961876639</c:v>
                </c:pt>
                <c:pt idx="83">
                  <c:v>608.72000330496235</c:v>
                </c:pt>
                <c:pt idx="84">
                  <c:v>621.33707544939159</c:v>
                </c:pt>
                <c:pt idx="85">
                  <c:v>633.94884184664011</c:v>
                </c:pt>
                <c:pt idx="86">
                  <c:v>555.1959476117446</c:v>
                </c:pt>
                <c:pt idx="87">
                  <c:v>566.33749757672854</c:v>
                </c:pt>
                <c:pt idx="88">
                  <c:v>577.47446592353504</c:v>
                </c:pt>
                <c:pt idx="89">
                  <c:v>588.60695345087686</c:v>
                </c:pt>
                <c:pt idx="90">
                  <c:v>599.73505683441101</c:v>
                </c:pt>
                <c:pt idx="91">
                  <c:v>610.85886887038021</c:v>
                </c:pt>
                <c:pt idx="92">
                  <c:v>621.97847870058933</c:v>
                </c:pt>
                <c:pt idx="93">
                  <c:v>633.09397202046159</c:v>
                </c:pt>
                <c:pt idx="94">
                  <c:v>644.20543127172971</c:v>
                </c:pt>
                <c:pt idx="95">
                  <c:v>655.31293582114586</c:v>
                </c:pt>
                <c:pt idx="96">
                  <c:v>575.54723712647126</c:v>
                </c:pt>
                <c:pt idx="97">
                  <c:v>585.61018050264568</c:v>
                </c:pt>
                <c:pt idx="98">
                  <c:v>595.66952141128706</c:v>
                </c:pt>
                <c:pt idx="99">
                  <c:v>605.72532925827056</c:v>
                </c:pt>
                <c:pt idx="100">
                  <c:v>615.77767095740785</c:v>
                </c:pt>
                <c:pt idx="101">
                  <c:v>625.82661106001262</c:v>
                </c:pt>
                <c:pt idx="102">
                  <c:v>635.8722118757147</c:v>
                </c:pt>
                <c:pt idx="103">
                  <c:v>645.91453358524484</c:v>
                </c:pt>
                <c:pt idx="104">
                  <c:v>655.9536343458409</c:v>
                </c:pt>
                <c:pt idx="105">
                  <c:v>665.98957038987123</c:v>
                </c:pt>
                <c:pt idx="106">
                  <c:v>586.89455079472862</c:v>
                </c:pt>
                <c:pt idx="107">
                  <c:v>595.4555299089252</c:v>
                </c:pt>
                <c:pt idx="108">
                  <c:v>604.01394898353021</c:v>
                </c:pt>
                <c:pt idx="109">
                  <c:v>612.56984940724124</c:v>
                </c:pt>
                <c:pt idx="110">
                  <c:v>621.12327131831091</c:v>
                </c:pt>
                <c:pt idx="111">
                  <c:v>629.6742536593955</c:v>
                </c:pt>
                <c:pt idx="112">
                  <c:v>638.2228342292683</c:v>
                </c:pt>
                <c:pt idx="113">
                  <c:v>646.76904973162016</c:v>
                </c:pt>
                <c:pt idx="114">
                  <c:v>655.31293582114574</c:v>
                </c:pt>
                <c:pt idx="115">
                  <c:v>663.85452714710425</c:v>
                </c:pt>
                <c:pt idx="116">
                  <c:v>592.03144782908828</c:v>
                </c:pt>
                <c:pt idx="117">
                  <c:v>599.30713279218196</c:v>
                </c:pt>
                <c:pt idx="118">
                  <c:v>606.58098171901713</c:v>
                </c:pt>
                <c:pt idx="119">
                  <c:v>613.85301973416642</c:v>
                </c:pt>
                <c:pt idx="120">
                  <c:v>621.1232713183108</c:v>
                </c:pt>
                <c:pt idx="121">
                  <c:v>628.39176033224737</c:v>
                </c:pt>
                <c:pt idx="122">
                  <c:v>635.65851003972955</c:v>
                </c:pt>
                <c:pt idx="123">
                  <c:v>642.92354312920872</c:v>
                </c:pt>
                <c:pt idx="124">
                  <c:v>650.18688173454223</c:v>
                </c:pt>
                <c:pt idx="125">
                  <c:v>657.44854745472685</c:v>
                </c:pt>
                <c:pt idx="126">
                  <c:v>593.31552677912566</c:v>
                </c:pt>
                <c:pt idx="127">
                  <c:v>599.73505683440999</c:v>
                </c:pt>
                <c:pt idx="128">
                  <c:v>606.15315862414161</c:v>
                </c:pt>
                <c:pt idx="129">
                  <c:v>612.56984940724067</c:v>
                </c:pt>
                <c:pt idx="130">
                  <c:v>618.9851460514908</c:v>
                </c:pt>
                <c:pt idx="131">
                  <c:v>625.39906504645353</c:v>
                </c:pt>
                <c:pt idx="132">
                  <c:v>631.81162251582543</c:v>
                </c:pt>
                <c:pt idx="133">
                  <c:v>638.22283422926773</c:v>
                </c:pt>
                <c:pt idx="134">
                  <c:v>644.63271561373642</c:v>
                </c:pt>
                <c:pt idx="135">
                  <c:v>651.04128176433585</c:v>
                </c:pt>
                <c:pt idx="136">
                  <c:v>591.8174290377691</c:v>
                </c:pt>
                <c:pt idx="137">
                  <c:v>594.59954789333881</c:v>
                </c:pt>
                <c:pt idx="138">
                  <c:v>597.38139591040647</c:v>
                </c:pt>
                <c:pt idx="139">
                  <c:v>600.16297452894071</c:v>
                </c:pt>
                <c:pt idx="140">
                  <c:v>602.94428517446511</c:v>
                </c:pt>
                <c:pt idx="141">
                  <c:v>605.72532925827022</c:v>
                </c:pt>
                <c:pt idx="142">
                  <c:v>608.50610817762345</c:v>
                </c:pt>
                <c:pt idx="143">
                  <c:v>611.28662331597161</c:v>
                </c:pt>
                <c:pt idx="144">
                  <c:v>614.06687604314209</c:v>
                </c:pt>
                <c:pt idx="145">
                  <c:v>616.84686771553913</c:v>
                </c:pt>
                <c:pt idx="146">
                  <c:v>621.55087805639778</c:v>
                </c:pt>
                <c:pt idx="147">
                  <c:v>626.25415102719683</c:v>
                </c:pt>
                <c:pt idx="148">
                  <c:v>630.95669294869742</c:v>
                </c:pt>
                <c:pt idx="149">
                  <c:v>635.65851003972955</c:v>
                </c:pt>
                <c:pt idx="150">
                  <c:v>640.35960841959081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594864"/>
        <c:axId val="670600304"/>
      </c:scatterChart>
      <c:valAx>
        <c:axId val="670594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0600304"/>
        <c:crosses val="autoZero"/>
        <c:crossBetween val="midCat"/>
      </c:valAx>
      <c:valAx>
        <c:axId val="67060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0594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593232"/>
        <c:axId val="670593776"/>
      </c:scatterChart>
      <c:valAx>
        <c:axId val="670593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0593776"/>
        <c:crosses val="autoZero"/>
        <c:crossBetween val="midCat"/>
      </c:valAx>
      <c:valAx>
        <c:axId val="670593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0593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150.93502097988929</c:v>
                </c:pt>
                <c:pt idx="22">
                  <c:v>166.57888122303586</c:v>
                </c:pt>
                <c:pt idx="23">
                  <c:v>182.18806689822352</c:v>
                </c:pt>
                <c:pt idx="24">
                  <c:v>197.76596851143412</c:v>
                </c:pt>
                <c:pt idx="25">
                  <c:v>213.3153981069141</c:v>
                </c:pt>
                <c:pt idx="26">
                  <c:v>228.57582257279714</c:v>
                </c:pt>
                <c:pt idx="27">
                  <c:v>243.81294312639758</c:v>
                </c:pt>
                <c:pt idx="28">
                  <c:v>259.02842143420224</c:v>
                </c:pt>
                <c:pt idx="29">
                  <c:v>274.22370791396878</c:v>
                </c:pt>
                <c:pt idx="30">
                  <c:v>289.4000790583874</c:v>
                </c:pt>
                <c:pt idx="31">
                  <c:v>241.187440815473</c:v>
                </c:pt>
                <c:pt idx="32">
                  <c:v>255.88209316670418</c:v>
                </c:pt>
                <c:pt idx="33">
                  <c:v>270.55765774209493</c:v>
                </c:pt>
                <c:pt idx="34">
                  <c:v>285.21531583652148</c:v>
                </c:pt>
                <c:pt idx="35">
                  <c:v>299.85611737495464</c:v>
                </c:pt>
                <c:pt idx="36">
                  <c:v>313.69791468998773</c:v>
                </c:pt>
                <c:pt idx="37">
                  <c:v>327.52617272821135</c:v>
                </c:pt>
                <c:pt idx="38">
                  <c:v>341.34154369544405</c:v>
                </c:pt>
                <c:pt idx="39">
                  <c:v>355.14462268619019</c:v>
                </c:pt>
                <c:pt idx="40">
                  <c:v>368.93595475683128</c:v>
                </c:pt>
                <c:pt idx="41">
                  <c:v>311.34839401232813</c:v>
                </c:pt>
                <c:pt idx="42">
                  <c:v>324.13555271053275</c:v>
                </c:pt>
                <c:pt idx="43">
                  <c:v>336.91156479598618</c:v>
                </c:pt>
                <c:pt idx="44">
                  <c:v>349.67691259476123</c:v>
                </c:pt>
                <c:pt idx="45">
                  <c:v>362.43204033543674</c:v>
                </c:pt>
                <c:pt idx="46">
                  <c:v>374.65732842785491</c:v>
                </c:pt>
                <c:pt idx="47">
                  <c:v>386.87392753668519</c:v>
                </c:pt>
                <c:pt idx="48">
                  <c:v>399.08215074461054</c:v>
                </c:pt>
                <c:pt idx="49">
                  <c:v>411.28229041391364</c:v>
                </c:pt>
                <c:pt idx="50">
                  <c:v>423.47462014479123</c:v>
                </c:pt>
                <c:pt idx="51">
                  <c:v>364.77374091176671</c:v>
                </c:pt>
                <c:pt idx="52">
                  <c:v>376.21737131771482</c:v>
                </c:pt>
                <c:pt idx="53">
                  <c:v>387.6534228804025</c:v>
                </c:pt>
                <c:pt idx="54">
                  <c:v>399.08215074461049</c:v>
                </c:pt>
                <c:pt idx="55">
                  <c:v>410.50379424613106</c:v>
                </c:pt>
                <c:pt idx="56">
                  <c:v>421.39987026288958</c:v>
                </c:pt>
                <c:pt idx="57">
                  <c:v>432.28988076377004</c:v>
                </c:pt>
                <c:pt idx="58">
                  <c:v>443.17400011470886</c:v>
                </c:pt>
                <c:pt idx="59">
                  <c:v>454.05239341686456</c:v>
                </c:pt>
                <c:pt idx="60">
                  <c:v>464.92521721380859</c:v>
                </c:pt>
                <c:pt idx="61">
                  <c:v>406.35127452425991</c:v>
                </c:pt>
                <c:pt idx="62">
                  <c:v>416.47145514591904</c:v>
                </c:pt>
                <c:pt idx="63">
                  <c:v>426.58633509322271</c:v>
                </c:pt>
                <c:pt idx="64">
                  <c:v>436.69605780694877</c:v>
                </c:pt>
                <c:pt idx="65">
                  <c:v>446.8007595428424</c:v>
                </c:pt>
                <c:pt idx="66">
                  <c:v>456.38274791123877</c:v>
                </c:pt>
                <c:pt idx="67">
                  <c:v>465.96043924488578</c:v>
                </c:pt>
                <c:pt idx="68">
                  <c:v>475.53393434312346</c:v>
                </c:pt>
                <c:pt idx="69">
                  <c:v>485.1033296147063</c:v>
                </c:pt>
                <c:pt idx="70">
                  <c:v>494.66871735374849</c:v>
                </c:pt>
                <c:pt idx="71">
                  <c:v>440.32395743657571</c:v>
                </c:pt>
                <c:pt idx="72">
                  <c:v>449.390915778725</c:v>
                </c:pt>
                <c:pt idx="73">
                  <c:v>458.4539606614365</c:v>
                </c:pt>
                <c:pt idx="74">
                  <c:v>467.51318038276736</c:v>
                </c:pt>
                <c:pt idx="75">
                  <c:v>476.56865953860353</c:v>
                </c:pt>
                <c:pt idx="76">
                  <c:v>485.36190589341754</c:v>
                </c:pt>
                <c:pt idx="77">
                  <c:v>494.15177034208205</c:v>
                </c:pt>
                <c:pt idx="78">
                  <c:v>502.93832153954008</c:v>
                </c:pt>
                <c:pt idx="79">
                  <c:v>511.72162554562624</c:v>
                </c:pt>
                <c:pt idx="80">
                  <c:v>520.5017459669815</c:v>
                </c:pt>
                <c:pt idx="81">
                  <c:v>468.289509706199</c:v>
                </c:pt>
                <c:pt idx="82">
                  <c:v>476.82733336513166</c:v>
                </c:pt>
                <c:pt idx="83">
                  <c:v>485.3619058934176</c:v>
                </c:pt>
                <c:pt idx="84">
                  <c:v>493.89329253818352</c:v>
                </c:pt>
                <c:pt idx="85">
                  <c:v>502.42155610790496</c:v>
                </c:pt>
                <c:pt idx="86">
                  <c:v>510.17186383581696</c:v>
                </c:pt>
                <c:pt idx="87">
                  <c:v>517.91968442316318</c:v>
                </c:pt>
                <c:pt idx="88">
                  <c:v>525.66506033509472</c:v>
                </c:pt>
                <c:pt idx="89">
                  <c:v>533.40803268292461</c:v>
                </c:pt>
                <c:pt idx="90">
                  <c:v>541.1486412867431</c:v>
                </c:pt>
                <c:pt idx="91">
                  <c:v>492.08386752016168</c:v>
                </c:pt>
                <c:pt idx="92">
                  <c:v>499.8375599577796</c:v>
                </c:pt>
                <c:pt idx="93">
                  <c:v>507.58870641276661</c:v>
                </c:pt>
                <c:pt idx="94">
                  <c:v>515.33735125988164</c:v>
                </c:pt>
                <c:pt idx="95">
                  <c:v>523.08353743016426</c:v>
                </c:pt>
                <c:pt idx="96">
                  <c:v>530.31112959477809</c:v>
                </c:pt>
                <c:pt idx="97">
                  <c:v>537.53664894399822</c:v>
                </c:pt>
                <c:pt idx="98">
                  <c:v>544.76012727881914</c:v>
                </c:pt>
                <c:pt idx="99">
                  <c:v>551.98159548783872</c:v>
                </c:pt>
                <c:pt idx="100">
                  <c:v>559.20108358528967</c:v>
                </c:pt>
                <c:pt idx="101">
                  <c:v>513.14215334887604</c:v>
                </c:pt>
                <c:pt idx="102">
                  <c:v>519.98535531367281</c:v>
                </c:pt>
                <c:pt idx="103">
                  <c:v>526.82665842707786</c:v>
                </c:pt>
                <c:pt idx="104">
                  <c:v>533.6660908348241</c:v>
                </c:pt>
                <c:pt idx="105">
                  <c:v>540.50367990210327</c:v>
                </c:pt>
                <c:pt idx="106">
                  <c:v>547.33945224502975</c:v>
                </c:pt>
                <c:pt idx="107">
                  <c:v>554.1734337604471</c:v>
                </c:pt>
                <c:pt idx="108">
                  <c:v>561.00564965419142</c:v>
                </c:pt>
                <c:pt idx="109">
                  <c:v>567.83612446790278</c:v>
                </c:pt>
                <c:pt idx="110">
                  <c:v>574.66488210448233</c:v>
                </c:pt>
                <c:pt idx="111">
                  <c:v>530.69826324876692</c:v>
                </c:pt>
                <c:pt idx="112">
                  <c:v>537.02060847710504</c:v>
                </c:pt>
                <c:pt idx="113">
                  <c:v>543.34138935187991</c:v>
                </c:pt>
                <c:pt idx="114">
                  <c:v>549.66062664564015</c:v>
                </c:pt>
                <c:pt idx="115">
                  <c:v>555.97834061416427</c:v>
                </c:pt>
                <c:pt idx="116">
                  <c:v>562.29455101517237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587.54473564171485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598672"/>
        <c:axId val="670594320"/>
      </c:scatterChart>
      <c:valAx>
        <c:axId val="670598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0594320"/>
        <c:crosses val="autoZero"/>
        <c:crossBetween val="midCat"/>
      </c:valAx>
      <c:valAx>
        <c:axId val="67059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059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84.394653410882839</c:v>
                </c:pt>
                <c:pt idx="17">
                  <c:v>108.47898225111794</c:v>
                </c:pt>
                <c:pt idx="18">
                  <c:v>132.43105909022719</c:v>
                </c:pt>
                <c:pt idx="19">
                  <c:v>156.27829200254382</c:v>
                </c:pt>
                <c:pt idx="20">
                  <c:v>180.03897202289943</c:v>
                </c:pt>
                <c:pt idx="21">
                  <c:v>205.41063383823121</c:v>
                </c:pt>
                <c:pt idx="22">
                  <c:v>230.70979579577696</c:v>
                </c:pt>
                <c:pt idx="23">
                  <c:v>255.94552693965855</c:v>
                </c:pt>
                <c:pt idx="24">
                  <c:v>281.12495930069457</c:v>
                </c:pt>
                <c:pt idx="25">
                  <c:v>306.25384197959721</c:v>
                </c:pt>
                <c:pt idx="26">
                  <c:v>210.94315486182052</c:v>
                </c:pt>
                <c:pt idx="27">
                  <c:v>235.40539801641569</c:v>
                </c:pt>
                <c:pt idx="28">
                  <c:v>259.80964246306223</c:v>
                </c:pt>
                <c:pt idx="29">
                  <c:v>284.16210054487732</c:v>
                </c:pt>
                <c:pt idx="30">
                  <c:v>308.46783220083086</c:v>
                </c:pt>
                <c:pt idx="31">
                  <c:v>330.45275291424451</c:v>
                </c:pt>
                <c:pt idx="32">
                  <c:v>352.40541718901858</c:v>
                </c:pt>
                <c:pt idx="33">
                  <c:v>374.32811573713349</c:v>
                </c:pt>
                <c:pt idx="34">
                  <c:v>396.2228491600813</c:v>
                </c:pt>
                <c:pt idx="35">
                  <c:v>418.09137902152241</c:v>
                </c:pt>
                <c:pt idx="36">
                  <c:v>318.5796160576927</c:v>
                </c:pt>
                <c:pt idx="37">
                  <c:v>337.86441268071212</c:v>
                </c:pt>
                <c:pt idx="38">
                  <c:v>357.12498806665644</c:v>
                </c:pt>
                <c:pt idx="39">
                  <c:v>376.36283173143835</c:v>
                </c:pt>
                <c:pt idx="40">
                  <c:v>395.57926853763865</c:v>
                </c:pt>
                <c:pt idx="41">
                  <c:v>412.20358038568492</c:v>
                </c:pt>
                <c:pt idx="42">
                  <c:v>428.8134278174395</c:v>
                </c:pt>
                <c:pt idx="43">
                  <c:v>445.40944978214952</c:v>
                </c:pt>
                <c:pt idx="44">
                  <c:v>461.99223374704587</c:v>
                </c:pt>
                <c:pt idx="45">
                  <c:v>478.56232158259263</c:v>
                </c:pt>
                <c:pt idx="46">
                  <c:v>392.93696243046719</c:v>
                </c:pt>
                <c:pt idx="47">
                  <c:v>407.39725092409685</c:v>
                </c:pt>
                <c:pt idx="48">
                  <c:v>421.84645320649815</c:v>
                </c:pt>
                <c:pt idx="49">
                  <c:v>436.28500243236414</c:v>
                </c:pt>
                <c:pt idx="50">
                  <c:v>450.7133007522707</c:v>
                </c:pt>
                <c:pt idx="51">
                  <c:v>463.14005644065509</c:v>
                </c:pt>
                <c:pt idx="52">
                  <c:v>475.55970127795899</c:v>
                </c:pt>
                <c:pt idx="53">
                  <c:v>487.97244712622177</c:v>
                </c:pt>
                <c:pt idx="54">
                  <c:v>500.37849419092498</c:v>
                </c:pt>
                <c:pt idx="55">
                  <c:v>512.77803194152796</c:v>
                </c:pt>
                <c:pt idx="56">
                  <c:v>464.52411486759246</c:v>
                </c:pt>
                <c:pt idx="57">
                  <c:v>475.12108258788476</c:v>
                </c:pt>
                <c:pt idx="58">
                  <c:v>485.71302236336152</c:v>
                </c:pt>
                <c:pt idx="59">
                  <c:v>496.30005930433055</c:v>
                </c:pt>
                <c:pt idx="60">
                  <c:v>506.88231274768879</c:v>
                </c:pt>
                <c:pt idx="61">
                  <c:v>515.70851280829277</c:v>
                </c:pt>
                <c:pt idx="62">
                  <c:v>524.53152544253942</c:v>
                </c:pt>
                <c:pt idx="63">
                  <c:v>533.35141183484177</c:v>
                </c:pt>
                <c:pt idx="64">
                  <c:v>542.16823098066709</c:v>
                </c:pt>
                <c:pt idx="65">
                  <c:v>550.98203979993968</c:v>
                </c:pt>
                <c:pt idx="66">
                  <c:v>512.10430825653827</c:v>
                </c:pt>
                <c:pt idx="67">
                  <c:v>519.68262684712829</c:v>
                </c:pt>
                <c:pt idx="68">
                  <c:v>527.2586152730355</c:v>
                </c:pt>
                <c:pt idx="69">
                  <c:v>534.83231174765194</c:v>
                </c:pt>
                <c:pt idx="70">
                  <c:v>542.40375331351447</c:v>
                </c:pt>
                <c:pt idx="71">
                  <c:v>549.43479260711786</c:v>
                </c:pt>
                <c:pt idx="72">
                  <c:v>556.46394525822063</c:v>
                </c:pt>
                <c:pt idx="73">
                  <c:v>563.4912384664442</c:v>
                </c:pt>
                <c:pt idx="74">
                  <c:v>570.51669869748378</c:v>
                </c:pt>
                <c:pt idx="75">
                  <c:v>577.54035171190242</c:v>
                </c:pt>
                <c:pt idx="76">
                  <c:v>583.52081267868198</c:v>
                </c:pt>
                <c:pt idx="77">
                  <c:v>589.49999610729913</c:v>
                </c:pt>
                <c:pt idx="78">
                  <c:v>595.47791678717317</c:v>
                </c:pt>
                <c:pt idx="79">
                  <c:v>601.45458918647978</c:v>
                </c:pt>
                <c:pt idx="80">
                  <c:v>607.43002746232321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595408"/>
        <c:axId val="937073424"/>
      </c:scatterChart>
      <c:valAx>
        <c:axId val="670595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7073424"/>
        <c:crosses val="autoZero"/>
        <c:crossBetween val="midCat"/>
      </c:valAx>
      <c:valAx>
        <c:axId val="93707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0595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425.00928400602908</c:v>
                </c:pt>
                <c:pt idx="62">
                  <c:v>435.61690924842759</c:v>
                </c:pt>
                <c:pt idx="63">
                  <c:v>446.21899178570357</c:v>
                </c:pt>
                <c:pt idx="64">
                  <c:v>456.81568190014019</c:v>
                </c:pt>
                <c:pt idx="65">
                  <c:v>467.40712233198559</c:v>
                </c:pt>
                <c:pt idx="66">
                  <c:v>434.29126237791075</c:v>
                </c:pt>
                <c:pt idx="67">
                  <c:v>444.23151648566937</c:v>
                </c:pt>
                <c:pt idx="68">
                  <c:v>454.16700698147952</c:v>
                </c:pt>
                <c:pt idx="69">
                  <c:v>464.09785279227236</c:v>
                </c:pt>
                <c:pt idx="70">
                  <c:v>474.02416733906375</c:v>
                </c:pt>
                <c:pt idx="71">
                  <c:v>449.53102985794334</c:v>
                </c:pt>
                <c:pt idx="72">
                  <c:v>458.13989619719513</c:v>
                </c:pt>
                <c:pt idx="73">
                  <c:v>466.74530850225307</c:v>
                </c:pt>
                <c:pt idx="74">
                  <c:v>475.34733945827821</c:v>
                </c:pt>
                <c:pt idx="75">
                  <c:v>483.94605890429199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067984"/>
        <c:axId val="937076144"/>
      </c:scatterChart>
      <c:valAx>
        <c:axId val="937067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7076144"/>
        <c:crosses val="autoZero"/>
        <c:crossBetween val="midCat"/>
      </c:valAx>
      <c:valAx>
        <c:axId val="9370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7067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2.3838405188329927</c:v>
                </c:pt>
                <c:pt idx="2">
                  <c:v>3.2814354120312434</c:v>
                </c:pt>
                <c:pt idx="3">
                  <c:v>4.5184416668343035</c:v>
                </c:pt>
                <c:pt idx="4">
                  <c:v>6.2237134506951959</c:v>
                </c:pt>
                <c:pt idx="5">
                  <c:v>8.5752041428476442</c:v>
                </c:pt>
                <c:pt idx="6">
                  <c:v>11.818739178387807</c:v>
                </c:pt>
                <c:pt idx="7">
                  <c:v>16.293989034362514</c:v>
                </c:pt>
                <c:pt idx="8">
                  <c:v>22.470411760451736</c:v>
                </c:pt>
                <c:pt idx="9">
                  <c:v>30.997002400327091</c:v>
                </c:pt>
                <c:pt idx="10">
                  <c:v>42.771167371304301</c:v>
                </c:pt>
                <c:pt idx="11">
                  <c:v>55.093353157740296</c:v>
                </c:pt>
                <c:pt idx="12">
                  <c:v>67.342775086397822</c:v>
                </c:pt>
                <c:pt idx="13">
                  <c:v>79.534624123149641</c:v>
                </c:pt>
                <c:pt idx="14">
                  <c:v>91.679006439536593</c:v>
                </c:pt>
                <c:pt idx="15">
                  <c:v>103.78311366213529</c:v>
                </c:pt>
                <c:pt idx="16">
                  <c:v>117.54699592937901</c:v>
                </c:pt>
                <c:pt idx="17">
                  <c:v>131.27150660369628</c:v>
                </c:pt>
                <c:pt idx="18">
                  <c:v>144.96134716666674</c:v>
                </c:pt>
                <c:pt idx="19">
                  <c:v>158.62025622860287</c:v>
                </c:pt>
                <c:pt idx="20">
                  <c:v>172.25127460514977</c:v>
                </c:pt>
                <c:pt idx="21">
                  <c:v>133.33647668733366</c:v>
                </c:pt>
                <c:pt idx="22">
                  <c:v>146.83418450773257</c:v>
                </c:pt>
                <c:pt idx="23">
                  <c:v>160.30224470570306</c:v>
                </c:pt>
                <c:pt idx="24">
                  <c:v>173.74350098129582</c:v>
                </c:pt>
                <c:pt idx="25">
                  <c:v>187.16032039920265</c:v>
                </c:pt>
                <c:pt idx="26">
                  <c:v>199.99702805410388</c:v>
                </c:pt>
                <c:pt idx="27">
                  <c:v>212.81464053810495</c:v>
                </c:pt>
                <c:pt idx="28">
                  <c:v>225.61447053517372</c:v>
                </c:pt>
                <c:pt idx="29">
                  <c:v>238.39766949671878</c:v>
                </c:pt>
                <c:pt idx="30">
                  <c:v>251.16525521594735</c:v>
                </c:pt>
                <c:pt idx="31">
                  <c:v>210.40112494961298</c:v>
                </c:pt>
                <c:pt idx="32">
                  <c:v>222.46247518327698</c:v>
                </c:pt>
                <c:pt idx="33">
                  <c:v>234.50882798734798</c:v>
                </c:pt>
                <c:pt idx="34">
                  <c:v>246.54106271806896</c:v>
                </c:pt>
                <c:pt idx="35">
                  <c:v>258.55996582862014</c:v>
                </c:pt>
                <c:pt idx="36">
                  <c:v>269.45848413939979</c:v>
                </c:pt>
                <c:pt idx="37">
                  <c:v>280.34708223777631</c:v>
                </c:pt>
                <c:pt idx="38">
                  <c:v>291.22619994880858</c:v>
                </c:pt>
                <c:pt idx="39">
                  <c:v>302.09624153420719</c:v>
                </c:pt>
                <c:pt idx="40">
                  <c:v>312.95757977167335</c:v>
                </c:pt>
                <c:pt idx="41">
                  <c:v>269.82774901110952</c:v>
                </c:pt>
                <c:pt idx="42">
                  <c:v>280.16260989796984</c:v>
                </c:pt>
                <c:pt idx="43">
                  <c:v>290.48892382040066</c:v>
                </c:pt>
                <c:pt idx="44">
                  <c:v>300.80703762598421</c:v>
                </c:pt>
                <c:pt idx="45">
                  <c:v>311.1172724097255</c:v>
                </c:pt>
                <c:pt idx="46">
                  <c:v>320.68426777479971</c:v>
                </c:pt>
                <c:pt idx="47">
                  <c:v>330.24494932408123</c:v>
                </c:pt>
                <c:pt idx="48">
                  <c:v>339.79952573014128</c:v>
                </c:pt>
                <c:pt idx="49">
                  <c:v>349.34819296557845</c:v>
                </c:pt>
                <c:pt idx="50">
                  <c:v>358.89113540947909</c:v>
                </c:pt>
                <c:pt idx="51">
                  <c:v>317.37334103889964</c:v>
                </c:pt>
                <c:pt idx="52">
                  <c:v>326.38465122876119</c:v>
                </c:pt>
                <c:pt idx="53">
                  <c:v>335.39046709231275</c:v>
                </c:pt>
                <c:pt idx="54">
                  <c:v>344.39095706701551</c:v>
                </c:pt>
                <c:pt idx="55">
                  <c:v>353.38628006183126</c:v>
                </c:pt>
                <c:pt idx="56">
                  <c:v>361.82630081896724</c:v>
                </c:pt>
                <c:pt idx="57">
                  <c:v>370.2620180662629</c:v>
                </c:pt>
                <c:pt idx="58">
                  <c:v>378.69354374330584</c:v>
                </c:pt>
                <c:pt idx="59">
                  <c:v>387.12098439513375</c:v>
                </c:pt>
                <c:pt idx="60">
                  <c:v>395.54444154654948</c:v>
                </c:pt>
                <c:pt idx="61">
                  <c:v>358.34073354376909</c:v>
                </c:pt>
                <c:pt idx="62">
                  <c:v>366.04469025405251</c:v>
                </c:pt>
                <c:pt idx="63">
                  <c:v>373.74510665685131</c:v>
                </c:pt>
                <c:pt idx="64">
                  <c:v>381.44206603793481</c:v>
                </c:pt>
                <c:pt idx="65">
                  <c:v>389.13564804516938</c:v>
                </c:pt>
                <c:pt idx="66">
                  <c:v>396.4597988325782</c:v>
                </c:pt>
                <c:pt idx="67">
                  <c:v>403.78101857356387</c:v>
                </c:pt>
                <c:pt idx="68">
                  <c:v>411.0993679468541</c:v>
                </c:pt>
                <c:pt idx="69">
                  <c:v>418.41490529303337</c:v>
                </c:pt>
                <c:pt idx="70">
                  <c:v>425.72768674484354</c:v>
                </c:pt>
                <c:pt idx="71">
                  <c:v>389.68506241530105</c:v>
                </c:pt>
                <c:pt idx="72">
                  <c:v>396.64286479058637</c:v>
                </c:pt>
                <c:pt idx="73">
                  <c:v>403.59802331039555</c:v>
                </c:pt>
                <c:pt idx="74">
                  <c:v>410.55058999768443</c:v>
                </c:pt>
                <c:pt idx="75">
                  <c:v>417.50061496835559</c:v>
                </c:pt>
                <c:pt idx="76">
                  <c:v>423.89974675677809</c:v>
                </c:pt>
                <c:pt idx="77">
                  <c:v>430.29679977258508</c:v>
                </c:pt>
                <c:pt idx="78">
                  <c:v>436.69180930289571</c:v>
                </c:pt>
                <c:pt idx="79">
                  <c:v>443.08480951625421</c:v>
                </c:pt>
                <c:pt idx="80">
                  <c:v>449.47583351407462</c:v>
                </c:pt>
                <c:pt idx="81">
                  <c:v>415.67190471277991</c:v>
                </c:pt>
                <c:pt idx="82">
                  <c:v>422.07163708031635</c:v>
                </c:pt>
                <c:pt idx="83">
                  <c:v>428.46928038017376</c:v>
                </c:pt>
                <c:pt idx="84">
                  <c:v>434.8648702289716</c:v>
                </c:pt>
                <c:pt idx="85">
                  <c:v>441.25844110945701</c:v>
                </c:pt>
                <c:pt idx="86">
                  <c:v>447.10225323882645</c:v>
                </c:pt>
                <c:pt idx="87">
                  <c:v>452.94443037891705</c:v>
                </c:pt>
                <c:pt idx="88">
                  <c:v>458.78499660902838</c:v>
                </c:pt>
                <c:pt idx="89">
                  <c:v>464.62397534491453</c:v>
                </c:pt>
                <c:pt idx="90">
                  <c:v>470.46138936536408</c:v>
                </c:pt>
                <c:pt idx="91">
                  <c:v>438.70125287214233</c:v>
                </c:pt>
                <c:pt idx="92">
                  <c:v>444.36317137204304</c:v>
                </c:pt>
                <c:pt idx="93">
                  <c:v>450.02354466170203</c:v>
                </c:pt>
                <c:pt idx="94">
                  <c:v>455.68239493388279</c:v>
                </c:pt>
                <c:pt idx="95">
                  <c:v>461.33974378476461</c:v>
                </c:pt>
                <c:pt idx="96">
                  <c:v>466.63076177086674</c:v>
                </c:pt>
                <c:pt idx="97">
                  <c:v>471.92050099448198</c:v>
                </c:pt>
                <c:pt idx="98">
                  <c:v>477.20897782226371</c:v>
                </c:pt>
                <c:pt idx="99">
                  <c:v>482.49620822825045</c:v>
                </c:pt>
                <c:pt idx="100">
                  <c:v>487.78220780757982</c:v>
                </c:pt>
                <c:pt idx="101">
                  <c:v>459.05873402014305</c:v>
                </c:pt>
                <c:pt idx="102">
                  <c:v>464.07663790646956</c:v>
                </c:pt>
                <c:pt idx="103">
                  <c:v>469.09338466294099</c:v>
                </c:pt>
                <c:pt idx="104">
                  <c:v>474.1089884204423</c:v>
                </c:pt>
                <c:pt idx="105">
                  <c:v>479.12346298625124</c:v>
                </c:pt>
                <c:pt idx="106">
                  <c:v>484.13682185483509</c:v>
                </c:pt>
                <c:pt idx="107">
                  <c:v>489.14907821817474</c:v>
                </c:pt>
                <c:pt idx="108">
                  <c:v>494.16024497564467</c:v>
                </c:pt>
                <c:pt idx="109">
                  <c:v>499.17033474347181</c:v>
                </c:pt>
                <c:pt idx="110">
                  <c:v>504.17935986379183</c:v>
                </c:pt>
                <c:pt idx="111">
                  <c:v>4.0650021179971913E-12</c:v>
                </c:pt>
                <c:pt idx="112">
                  <c:v>4.0650021179971913E-12</c:v>
                </c:pt>
                <c:pt idx="113">
                  <c:v>4.0650021179971913E-12</c:v>
                </c:pt>
                <c:pt idx="114">
                  <c:v>4.0650021179971913E-12</c:v>
                </c:pt>
                <c:pt idx="115">
                  <c:v>4.0650021179971913E-12</c:v>
                </c:pt>
                <c:pt idx="116">
                  <c:v>4.0650021179971913E-12</c:v>
                </c:pt>
                <c:pt idx="117">
                  <c:v>4.0650021179971913E-12</c:v>
                </c:pt>
                <c:pt idx="118">
                  <c:v>4.0650021179971913E-12</c:v>
                </c:pt>
                <c:pt idx="119">
                  <c:v>4.0650021179971913E-12</c:v>
                </c:pt>
                <c:pt idx="120">
                  <c:v>4.0650021179971913E-12</c:v>
                </c:pt>
                <c:pt idx="121">
                  <c:v>4.0650021179971913E-12</c:v>
                </c:pt>
                <c:pt idx="122">
                  <c:v>4.0650021179971913E-12</c:v>
                </c:pt>
                <c:pt idx="123">
                  <c:v>4.0650021179971913E-12</c:v>
                </c:pt>
                <c:pt idx="124">
                  <c:v>4.0650021179971913E-12</c:v>
                </c:pt>
                <c:pt idx="125">
                  <c:v>4.0650021179971913E-12</c:v>
                </c:pt>
                <c:pt idx="126">
                  <c:v>4.0650021179971913E-12</c:v>
                </c:pt>
                <c:pt idx="127">
                  <c:v>4.0650021179971913E-12</c:v>
                </c:pt>
                <c:pt idx="128">
                  <c:v>4.0650021179971913E-12</c:v>
                </c:pt>
                <c:pt idx="129">
                  <c:v>4.0650021179971913E-12</c:v>
                </c:pt>
                <c:pt idx="130">
                  <c:v>4.0650021179971913E-12</c:v>
                </c:pt>
                <c:pt idx="131">
                  <c:v>4.0650021179971913E-12</c:v>
                </c:pt>
                <c:pt idx="132">
                  <c:v>4.0650021179971913E-12</c:v>
                </c:pt>
                <c:pt idx="133">
                  <c:v>4.0650021179971913E-12</c:v>
                </c:pt>
                <c:pt idx="134">
                  <c:v>4.0650021179971913E-12</c:v>
                </c:pt>
                <c:pt idx="135">
                  <c:v>4.0650021179971913E-12</c:v>
                </c:pt>
                <c:pt idx="136">
                  <c:v>4.0650021179971913E-12</c:v>
                </c:pt>
                <c:pt idx="137">
                  <c:v>4.0650021179971913E-12</c:v>
                </c:pt>
                <c:pt idx="138">
                  <c:v>4.0650021179971913E-12</c:v>
                </c:pt>
                <c:pt idx="139">
                  <c:v>4.0650021179971913E-12</c:v>
                </c:pt>
                <c:pt idx="140">
                  <c:v>4.0650021179971913E-12</c:v>
                </c:pt>
                <c:pt idx="141">
                  <c:v>4.0650021179971913E-12</c:v>
                </c:pt>
                <c:pt idx="142">
                  <c:v>4.0650021179971913E-12</c:v>
                </c:pt>
                <c:pt idx="143">
                  <c:v>4.0650021179971913E-12</c:v>
                </c:pt>
                <c:pt idx="144">
                  <c:v>4.0650021179971913E-12</c:v>
                </c:pt>
                <c:pt idx="145">
                  <c:v>4.0650021179971913E-12</c:v>
                </c:pt>
                <c:pt idx="146">
                  <c:v>4.0650021179971913E-12</c:v>
                </c:pt>
                <c:pt idx="147">
                  <c:v>4.0650021179971913E-12</c:v>
                </c:pt>
                <c:pt idx="148">
                  <c:v>4.0650021179971913E-12</c:v>
                </c:pt>
                <c:pt idx="149">
                  <c:v>4.0650021179971913E-12</c:v>
                </c:pt>
                <c:pt idx="150">
                  <c:v>4.0650021179971913E-12</c:v>
                </c:pt>
                <c:pt idx="151">
                  <c:v>4.0650021179971913E-12</c:v>
                </c:pt>
                <c:pt idx="152">
                  <c:v>4.0650021179971913E-12</c:v>
                </c:pt>
                <c:pt idx="153">
                  <c:v>4.0650021179971913E-12</c:v>
                </c:pt>
                <c:pt idx="154">
                  <c:v>4.0650021179971913E-12</c:v>
                </c:pt>
                <c:pt idx="155">
                  <c:v>4.0650021179971913E-12</c:v>
                </c:pt>
                <c:pt idx="156">
                  <c:v>4.0650021179971913E-12</c:v>
                </c:pt>
                <c:pt idx="157">
                  <c:v>4.0650021179971913E-12</c:v>
                </c:pt>
                <c:pt idx="158">
                  <c:v>4.0650021179971913E-12</c:v>
                </c:pt>
                <c:pt idx="159">
                  <c:v>4.0650021179971913E-12</c:v>
                </c:pt>
                <c:pt idx="160">
                  <c:v>4.0650021179971913E-12</c:v>
                </c:pt>
                <c:pt idx="161">
                  <c:v>4.0650021179971913E-12</c:v>
                </c:pt>
                <c:pt idx="162">
                  <c:v>4.0650021179971913E-12</c:v>
                </c:pt>
                <c:pt idx="163">
                  <c:v>4.0650021179971913E-12</c:v>
                </c:pt>
                <c:pt idx="164">
                  <c:v>4.0650021179971913E-12</c:v>
                </c:pt>
                <c:pt idx="165">
                  <c:v>4.0650021179971913E-12</c:v>
                </c:pt>
                <c:pt idx="166">
                  <c:v>4.0650021179971913E-12</c:v>
                </c:pt>
                <c:pt idx="167">
                  <c:v>4.0650021179971913E-12</c:v>
                </c:pt>
                <c:pt idx="168">
                  <c:v>4.0650021179971913E-12</c:v>
                </c:pt>
                <c:pt idx="169">
                  <c:v>4.0650021179971913E-12</c:v>
                </c:pt>
                <c:pt idx="170">
                  <c:v>4.0650021179971913E-12</c:v>
                </c:pt>
                <c:pt idx="171">
                  <c:v>4.0650021179971913E-12</c:v>
                </c:pt>
                <c:pt idx="172">
                  <c:v>4.0650021179971913E-12</c:v>
                </c:pt>
                <c:pt idx="173">
                  <c:v>4.0650021179971913E-12</c:v>
                </c:pt>
                <c:pt idx="174">
                  <c:v>4.0650021179971913E-12</c:v>
                </c:pt>
                <c:pt idx="175">
                  <c:v>4.0650021179971913E-12</c:v>
                </c:pt>
                <c:pt idx="176">
                  <c:v>4.0650021179971913E-12</c:v>
                </c:pt>
                <c:pt idx="177">
                  <c:v>4.0650021179971913E-12</c:v>
                </c:pt>
                <c:pt idx="178">
                  <c:v>4.0650021179971913E-12</c:v>
                </c:pt>
                <c:pt idx="179">
                  <c:v>4.0650021179971913E-12</c:v>
                </c:pt>
                <c:pt idx="180">
                  <c:v>4.0650021179971913E-12</c:v>
                </c:pt>
                <c:pt idx="181">
                  <c:v>4.0650021179971913E-12</c:v>
                </c:pt>
                <c:pt idx="182">
                  <c:v>4.0650021179971913E-12</c:v>
                </c:pt>
                <c:pt idx="183">
                  <c:v>4.0650021179971913E-12</c:v>
                </c:pt>
                <c:pt idx="184">
                  <c:v>4.0650021179971913E-12</c:v>
                </c:pt>
                <c:pt idx="185">
                  <c:v>4.0650021179971913E-12</c:v>
                </c:pt>
                <c:pt idx="186">
                  <c:v>4.0650021179971913E-12</c:v>
                </c:pt>
                <c:pt idx="187">
                  <c:v>4.0650021179971913E-12</c:v>
                </c:pt>
                <c:pt idx="188">
                  <c:v>4.0650021179971913E-12</c:v>
                </c:pt>
                <c:pt idx="189">
                  <c:v>4.0650021179971913E-12</c:v>
                </c:pt>
                <c:pt idx="190">
                  <c:v>4.0650021179971913E-12</c:v>
                </c:pt>
                <c:pt idx="191">
                  <c:v>4.0650021179971913E-12</c:v>
                </c:pt>
                <c:pt idx="192">
                  <c:v>4.0650021179971913E-12</c:v>
                </c:pt>
                <c:pt idx="193">
                  <c:v>4.0650021179971913E-12</c:v>
                </c:pt>
                <c:pt idx="194">
                  <c:v>4.0650021179971913E-12</c:v>
                </c:pt>
                <c:pt idx="195">
                  <c:v>4.0650021179971913E-12</c:v>
                </c:pt>
                <c:pt idx="196">
                  <c:v>4.0650021179971913E-12</c:v>
                </c:pt>
                <c:pt idx="197">
                  <c:v>4.0650021179971913E-12</c:v>
                </c:pt>
                <c:pt idx="198">
                  <c:v>4.0650021179971913E-12</c:v>
                </c:pt>
                <c:pt idx="199">
                  <c:v>4.0650021179971913E-12</c:v>
                </c:pt>
                <c:pt idx="200">
                  <c:v>4.0650021179971913E-12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071248"/>
        <c:axId val="937070160"/>
      </c:scatterChart>
      <c:valAx>
        <c:axId val="937071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7070160"/>
        <c:crosses val="autoZero"/>
        <c:crossBetween val="midCat"/>
      </c:valAx>
      <c:valAx>
        <c:axId val="93707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7071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160.95580359158961</c:v>
                </c:pt>
                <c:pt idx="27">
                  <c:v>171.52240247513092</c:v>
                </c:pt>
                <c:pt idx="28">
                  <c:v>182.07368538348692</c:v>
                </c:pt>
                <c:pt idx="29">
                  <c:v>192.61066580735996</c:v>
                </c:pt>
                <c:pt idx="30">
                  <c:v>203.13423715529461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227.64138943591354</c:v>
                </c:pt>
                <c:pt idx="37">
                  <c:v>238.12554101232834</c:v>
                </c:pt>
                <c:pt idx="38">
                  <c:v>248.59917684690132</c:v>
                </c:pt>
                <c:pt idx="39">
                  <c:v>259.06280274212457</c:v>
                </c:pt>
                <c:pt idx="40">
                  <c:v>269.51688027254562</c:v>
                </c:pt>
                <c:pt idx="41">
                  <c:v>233.5837311632458</c:v>
                </c:pt>
                <c:pt idx="42">
                  <c:v>244.7600317103846</c:v>
                </c:pt>
                <c:pt idx="43">
                  <c:v>255.92473775915414</c:v>
                </c:pt>
                <c:pt idx="44">
                  <c:v>267.07842670720612</c:v>
                </c:pt>
                <c:pt idx="45">
                  <c:v>278.22162375497288</c:v>
                </c:pt>
                <c:pt idx="46">
                  <c:v>288.31148567604208</c:v>
                </c:pt>
                <c:pt idx="47">
                  <c:v>298.39345366223563</c:v>
                </c:pt>
                <c:pt idx="48">
                  <c:v>308.46783220083091</c:v>
                </c:pt>
                <c:pt idx="49">
                  <c:v>318.53490425391578</c:v>
                </c:pt>
                <c:pt idx="50">
                  <c:v>328.59493342700102</c:v>
                </c:pt>
                <c:pt idx="51">
                  <c:v>289.35480857103533</c:v>
                </c:pt>
                <c:pt idx="52">
                  <c:v>298.7409706836865</c:v>
                </c:pt>
                <c:pt idx="53">
                  <c:v>308.12056303476038</c:v>
                </c:pt>
                <c:pt idx="54">
                  <c:v>317.49381395809911</c:v>
                </c:pt>
                <c:pt idx="55">
                  <c:v>326.86093719547284</c:v>
                </c:pt>
                <c:pt idx="56">
                  <c:v>336.22213322966519</c:v>
                </c:pt>
                <c:pt idx="57">
                  <c:v>345.57759046125392</c:v>
                </c:pt>
                <c:pt idx="58">
                  <c:v>354.92748625123812</c:v>
                </c:pt>
                <c:pt idx="59">
                  <c:v>364.27198784801112</c:v>
                </c:pt>
                <c:pt idx="60">
                  <c:v>373.61125321420695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359.77344653568503</c:v>
                </c:pt>
                <c:pt idx="65">
                  <c:v>368.42340983207094</c:v>
                </c:pt>
                <c:pt idx="66">
                  <c:v>376.72320412097594</c:v>
                </c:pt>
                <c:pt idx="67">
                  <c:v>385.01901724916075</c:v>
                </c:pt>
                <c:pt idx="68">
                  <c:v>393.31094714884671</c:v>
                </c:pt>
                <c:pt idx="69">
                  <c:v>401.5990872835086</c:v>
                </c:pt>
                <c:pt idx="70">
                  <c:v>409.88352694182072</c:v>
                </c:pt>
                <c:pt idx="71">
                  <c:v>369.46110530100697</c:v>
                </c:pt>
                <c:pt idx="72">
                  <c:v>377.41467255842139</c:v>
                </c:pt>
                <c:pt idx="73">
                  <c:v>385.36459119538364</c:v>
                </c:pt>
                <c:pt idx="74">
                  <c:v>393.31094714884671</c:v>
                </c:pt>
                <c:pt idx="75">
                  <c:v>401.25382259763978</c:v>
                </c:pt>
                <c:pt idx="76">
                  <c:v>408.50304030623056</c:v>
                </c:pt>
                <c:pt idx="77">
                  <c:v>415.74947956836513</c:v>
                </c:pt>
                <c:pt idx="78">
                  <c:v>422.99319567578368</c:v>
                </c:pt>
                <c:pt idx="79">
                  <c:v>430.23424187074437</c:v>
                </c:pt>
                <c:pt idx="80">
                  <c:v>437.47266945596539</c:v>
                </c:pt>
                <c:pt idx="81">
                  <c:v>397.80082102983096</c:v>
                </c:pt>
                <c:pt idx="82">
                  <c:v>404.70618113638216</c:v>
                </c:pt>
                <c:pt idx="83">
                  <c:v>411.60899407848507</c:v>
                </c:pt>
                <c:pt idx="84">
                  <c:v>418.50930863032568</c:v>
                </c:pt>
                <c:pt idx="85">
                  <c:v>425.40717182534803</c:v>
                </c:pt>
                <c:pt idx="86">
                  <c:v>431.61319033230438</c:v>
                </c:pt>
                <c:pt idx="87">
                  <c:v>437.81729201638319</c:v>
                </c:pt>
                <c:pt idx="88">
                  <c:v>444.01950789221627</c:v>
                </c:pt>
                <c:pt idx="89">
                  <c:v>450.21986803667045</c:v>
                </c:pt>
                <c:pt idx="90">
                  <c:v>456.41840163001308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070704"/>
        <c:axId val="716317456"/>
      </c:scatterChart>
      <c:valAx>
        <c:axId val="937070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6317456"/>
        <c:crosses val="autoZero"/>
        <c:crossBetween val="midCat"/>
      </c:valAx>
      <c:valAx>
        <c:axId val="71631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7070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224.48055915021379</c:v>
                </c:pt>
                <c:pt idx="32">
                  <c:v>241.14783811393806</c:v>
                </c:pt>
                <c:pt idx="33">
                  <c:v>257.78890626510469</c:v>
                </c:pt>
                <c:pt idx="34">
                  <c:v>274.40569374429145</c:v>
                </c:pt>
                <c:pt idx="35">
                  <c:v>290.99987776518356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308.40105034381344</c:v>
                </c:pt>
                <c:pt idx="42">
                  <c:v>325.78042147316609</c:v>
                </c:pt>
                <c:pt idx="43">
                  <c:v>343.13931760637462</c:v>
                </c:pt>
                <c:pt idx="44">
                  <c:v>360.47892004811712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392.22152076799483</c:v>
                </c:pt>
                <c:pt idx="52">
                  <c:v>408.68888090830461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458.00747845053729</c:v>
                </c:pt>
                <c:pt idx="56">
                  <c:v>386.86643058534702</c:v>
                </c:pt>
                <c:pt idx="57">
                  <c:v>402.10369334769052</c:v>
                </c:pt>
                <c:pt idx="58">
                  <c:v>417.32846841107926</c:v>
                </c:pt>
                <c:pt idx="59">
                  <c:v>432.54127540328199</c:v>
                </c:pt>
                <c:pt idx="60">
                  <c:v>447.74259442675481</c:v>
                </c:pt>
                <c:pt idx="61">
                  <c:v>462.93287033290017</c:v>
                </c:pt>
                <c:pt idx="62">
                  <c:v>478.11251640616291</c:v>
                </c:pt>
                <c:pt idx="63">
                  <c:v>493.281917555973</c:v>
                </c:pt>
                <c:pt idx="64">
                  <c:v>508.44143309569409</c:v>
                </c:pt>
                <c:pt idx="65">
                  <c:v>523.59139917298614</c:v>
                </c:pt>
                <c:pt idx="66">
                  <c:v>450.82258294436627</c:v>
                </c:pt>
                <c:pt idx="67">
                  <c:v>464.16404310302778</c:v>
                </c:pt>
                <c:pt idx="68">
                  <c:v>477.49732710594373</c:v>
                </c:pt>
                <c:pt idx="69">
                  <c:v>490.82269538774068</c:v>
                </c:pt>
                <c:pt idx="70">
                  <c:v>504.14039309116282</c:v>
                </c:pt>
                <c:pt idx="71">
                  <c:v>517.45065135367167</c:v>
                </c:pt>
                <c:pt idx="72">
                  <c:v>530.75368845480546</c:v>
                </c:pt>
                <c:pt idx="73">
                  <c:v>544.04971084254692</c:v>
                </c:pt>
                <c:pt idx="74">
                  <c:v>557.33891405416796</c:v>
                </c:pt>
                <c:pt idx="75">
                  <c:v>570.62148354470435</c:v>
                </c:pt>
                <c:pt idx="76">
                  <c:v>496.7653710658638</c:v>
                </c:pt>
                <c:pt idx="77">
                  <c:v>508.85101573406132</c:v>
                </c:pt>
                <c:pt idx="78">
                  <c:v>520.93059595978139</c:v>
                </c:pt>
                <c:pt idx="79">
                  <c:v>533.00427216719845</c:v>
                </c:pt>
                <c:pt idx="80">
                  <c:v>545.07219692102899</c:v>
                </c:pt>
                <c:pt idx="81">
                  <c:v>557.13451548073328</c:v>
                </c:pt>
                <c:pt idx="82">
                  <c:v>569.19136630423463</c:v>
                </c:pt>
                <c:pt idx="83">
                  <c:v>581.24288150675193</c:v>
                </c:pt>
                <c:pt idx="84">
                  <c:v>593.28918727960865</c:v>
                </c:pt>
                <c:pt idx="85">
                  <c:v>605.33040427327262</c:v>
                </c:pt>
                <c:pt idx="86">
                  <c:v>530.13985807620031</c:v>
                </c:pt>
                <c:pt idx="87">
                  <c:v>540.77748384329095</c:v>
                </c:pt>
                <c:pt idx="88">
                  <c:v>551.41071534837454</c:v>
                </c:pt>
                <c:pt idx="89">
                  <c:v>562.03964926820106</c:v>
                </c:pt>
                <c:pt idx="90">
                  <c:v>572.66437832506824</c:v>
                </c:pt>
                <c:pt idx="91">
                  <c:v>583.28499152050153</c:v>
                </c:pt>
                <c:pt idx="92">
                  <c:v>593.90157435102833</c:v>
                </c:pt>
                <c:pt idx="93">
                  <c:v>604.5142090077278</c:v>
                </c:pt>
                <c:pt idx="94">
                  <c:v>615.12297456104193</c:v>
                </c:pt>
                <c:pt idx="95">
                  <c:v>625.72794713217752</c:v>
                </c:pt>
                <c:pt idx="96">
                  <c:v>549.57065854842915</c:v>
                </c:pt>
                <c:pt idx="97">
                  <c:v>559.17843064711394</c:v>
                </c:pt>
                <c:pt idx="98">
                  <c:v>568.78274759401654</c:v>
                </c:pt>
                <c:pt idx="99">
                  <c:v>578.38367595679699</c:v>
                </c:pt>
                <c:pt idx="100">
                  <c:v>587.98127991295848</c:v>
                </c:pt>
                <c:pt idx="101">
                  <c:v>597.57562137411821</c:v>
                </c:pt>
                <c:pt idx="102">
                  <c:v>607.16676010187734</c:v>
                </c:pt>
                <c:pt idx="103">
                  <c:v>616.75475381599483</c:v>
                </c:pt>
                <c:pt idx="104">
                  <c:v>626.33965829548413</c:v>
                </c:pt>
                <c:pt idx="105">
                  <c:v>635.92152747320245</c:v>
                </c:pt>
                <c:pt idx="106">
                  <c:v>560.40470463156862</c:v>
                </c:pt>
                <c:pt idx="107">
                  <c:v>568.57843593837208</c:v>
                </c:pt>
                <c:pt idx="108">
                  <c:v>576.74971189331598</c:v>
                </c:pt>
                <c:pt idx="109">
                  <c:v>584.91857219258907</c:v>
                </c:pt>
                <c:pt idx="110">
                  <c:v>593.0850553330697</c:v>
                </c:pt>
                <c:pt idx="111">
                  <c:v>601.24919866493178</c:v>
                </c:pt>
                <c:pt idx="112">
                  <c:v>609.41103844124279</c:v>
                </c:pt>
                <c:pt idx="113">
                  <c:v>617.5706098647687</c:v>
                </c:pt>
                <c:pt idx="114">
                  <c:v>625.72794713217729</c:v>
                </c:pt>
                <c:pt idx="115">
                  <c:v>633.88308347581449</c:v>
                </c:pt>
                <c:pt idx="116">
                  <c:v>565.30924032241239</c:v>
                </c:pt>
                <c:pt idx="117">
                  <c:v>572.25581156512055</c:v>
                </c:pt>
                <c:pt idx="118">
                  <c:v>579.20062185262395</c:v>
                </c:pt>
                <c:pt idx="119">
                  <c:v>586.14369528207624</c:v>
                </c:pt>
                <c:pt idx="120">
                  <c:v>593.08505533306959</c:v>
                </c:pt>
                <c:pt idx="121">
                  <c:v>600.02472489066076</c:v>
                </c:pt>
                <c:pt idx="122">
                  <c:v>606.96272626727875</c:v>
                </c:pt>
                <c:pt idx="123">
                  <c:v>613.89908122357576</c:v>
                </c:pt>
                <c:pt idx="124">
                  <c:v>620.83381098828875</c:v>
                </c:pt>
                <c:pt idx="125">
                  <c:v>627.76693627716634</c:v>
                </c:pt>
                <c:pt idx="126">
                  <c:v>566.53523487867551</c:v>
                </c:pt>
                <c:pt idx="127">
                  <c:v>572.66437832506745</c:v>
                </c:pt>
                <c:pt idx="128">
                  <c:v>578.79215191198807</c:v>
                </c:pt>
                <c:pt idx="129">
                  <c:v>584.91857219258861</c:v>
                </c:pt>
                <c:pt idx="130">
                  <c:v>591.04365534487772</c:v>
                </c:pt>
                <c:pt idx="131">
                  <c:v>597.16741718410913</c:v>
                </c:pt>
                <c:pt idx="132">
                  <c:v>603.28987317463339</c:v>
                </c:pt>
                <c:pt idx="133">
                  <c:v>609.41103844124234</c:v>
                </c:pt>
                <c:pt idx="134">
                  <c:v>615.53092778003713</c:v>
                </c:pt>
                <c:pt idx="135">
                  <c:v>621.64955566883805</c:v>
                </c:pt>
                <c:pt idx="136">
                  <c:v>565.1049024937389</c:v>
                </c:pt>
                <c:pt idx="137">
                  <c:v>567.76117396419534</c:v>
                </c:pt>
                <c:pt idx="138">
                  <c:v>570.41718567155237</c:v>
                </c:pt>
                <c:pt idx="139">
                  <c:v>573.07293899689353</c:v>
                </c:pt>
                <c:pt idx="140">
                  <c:v>575.72843530744865</c:v>
                </c:pt>
                <c:pt idx="141">
                  <c:v>578.38367595679642</c:v>
                </c:pt>
                <c:pt idx="142">
                  <c:v>581.03866228506524</c:v>
                </c:pt>
                <c:pt idx="143">
                  <c:v>583.69339561912932</c:v>
                </c:pt>
                <c:pt idx="144">
                  <c:v>586.34787727279911</c:v>
                </c:pt>
                <c:pt idx="145">
                  <c:v>589.00210854701174</c:v>
                </c:pt>
                <c:pt idx="146">
                  <c:v>593.49331776439783</c:v>
                </c:pt>
                <c:pt idx="147">
                  <c:v>597.98381976500718</c:v>
                </c:pt>
                <c:pt idx="148">
                  <c:v>602.47362061112665</c:v>
                </c:pt>
                <c:pt idx="149">
                  <c:v>606.96272626727875</c:v>
                </c:pt>
                <c:pt idx="150">
                  <c:v>611.45114260252558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321264"/>
        <c:axId val="716323440"/>
      </c:scatterChart>
      <c:valAx>
        <c:axId val="716321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6323440"/>
        <c:crosses val="autoZero"/>
        <c:crossBetween val="midCat"/>
      </c:valAx>
      <c:valAx>
        <c:axId val="7163234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6321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3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3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3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3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3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3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3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3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3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3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3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3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3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3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3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3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3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3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115" zoomScaleNormal="115" workbookViewId="0">
      <selection activeCell="E18" sqref="E1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89" t="s">
        <v>190</v>
      </c>
      <c r="D1" s="289"/>
      <c r="E1" s="28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4" t="s">
        <v>192</v>
      </c>
      <c r="C3" s="295"/>
      <c r="D3" s="295"/>
      <c r="E3" s="295"/>
      <c r="F3" s="296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0" t="s">
        <v>231</v>
      </c>
      <c r="B5" s="300"/>
      <c r="C5" s="26">
        <v>6.22</v>
      </c>
      <c r="D5" s="301" t="s">
        <v>229</v>
      </c>
      <c r="E5" s="302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5.8" x14ac:dyDescent="0.3">
      <c r="A7" s="298" t="s">
        <v>226</v>
      </c>
      <c r="B7" s="298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25</v>
      </c>
      <c r="C9" s="35">
        <v>0.3</v>
      </c>
      <c r="D9" s="36">
        <f t="shared" ref="D9:D18" si="0">C9*$C$5</f>
        <v>1.8659999999999999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0.15</v>
      </c>
      <c r="D10" s="36">
        <f t="shared" si="0"/>
        <v>0.93299999999999994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22</v>
      </c>
      <c r="C11" s="35">
        <v>0.1</v>
      </c>
      <c r="D11" s="36">
        <f t="shared" si="0"/>
        <v>0.622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6</v>
      </c>
      <c r="C12" s="35">
        <v>0.1</v>
      </c>
      <c r="D12" s="36">
        <f t="shared" si="0"/>
        <v>0.622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23</v>
      </c>
      <c r="C13" s="35">
        <v>8.4000000000000005E-2</v>
      </c>
      <c r="D13" s="36">
        <f t="shared" si="0"/>
        <v>0.52248000000000006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29</v>
      </c>
      <c r="C14" s="35">
        <v>7.0000000000000007E-2</v>
      </c>
      <c r="D14" s="36">
        <f t="shared" si="0"/>
        <v>0.43540000000000001</v>
      </c>
      <c r="E14" s="37">
        <v>75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50</v>
      </c>
      <c r="C15" s="35">
        <v>0.05</v>
      </c>
      <c r="D15" s="36">
        <f t="shared" si="0"/>
        <v>0.311</v>
      </c>
      <c r="E15" s="37">
        <v>110</v>
      </c>
      <c r="F15" s="38" t="str">
        <f t="array" ref="F15">IF(E15="","",IF(INDEX(A:A,MAX(IF(ISNUMBER($A$192:$A$211),ROW($A$192:$A$211),"")))&lt;&gt;E15,"Corrigez : révolution incorrecte","OK"))</f>
        <v>OK</v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5</v>
      </c>
      <c r="C16" s="35">
        <v>0.05</v>
      </c>
      <c r="D16" s="36">
        <f t="shared" si="0"/>
        <v>0.311</v>
      </c>
      <c r="E16" s="37">
        <v>90</v>
      </c>
      <c r="F16" s="38" t="str">
        <f t="array" ref="F16">IF(E16="","",IF(INDEX(A:A,MAX(IF(ISNUMBER($A$218:$A$237),ROW($A$218:$A$237),"")))&lt;&gt;E16,"Corrigez : révolution incorrecte","OK"))</f>
        <v>OK</v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1</v>
      </c>
      <c r="C17" s="35">
        <v>0.05</v>
      </c>
      <c r="D17" s="36">
        <f t="shared" si="0"/>
        <v>0.311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6"/>
      <c r="B19" s="39" t="s">
        <v>175</v>
      </c>
      <c r="C19" s="40">
        <f>SUM(C9:C18)</f>
        <v>0.95399999999999996</v>
      </c>
      <c r="D19" s="41">
        <f>SUM(D9:D18)</f>
        <v>5.9338800000000003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7" t="s">
        <v>232</v>
      </c>
      <c r="B22" s="297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3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9" t="s">
        <v>227</v>
      </c>
      <c r="B30" s="299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3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Hêtre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f>32</f>
        <v>32</v>
      </c>
      <c r="C36" s="61"/>
      <c r="D36" s="61"/>
      <c r="E36" s="54"/>
      <c r="F36" s="54"/>
      <c r="G36" s="54"/>
      <c r="H36" s="54"/>
      <c r="I36" s="52">
        <f>IFERROR(B36/A36,"")</f>
        <v>1.6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f>76</f>
        <v>76</v>
      </c>
      <c r="C37" s="61">
        <v>1</v>
      </c>
      <c r="D37" s="61">
        <f>7</f>
        <v>7</v>
      </c>
      <c r="E37" s="54"/>
      <c r="F37" s="54"/>
      <c r="G37" s="54"/>
      <c r="H37" s="54">
        <v>1</v>
      </c>
      <c r="I37" s="56">
        <f t="shared" ref="I37:I44" si="1">IF(A37&lt;&gt;0,(B37-(B36-D36))/(A37-A36),"")</f>
        <v>8.8000000000000007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f>116</f>
        <v>116</v>
      </c>
      <c r="C38" s="61"/>
      <c r="D38" s="61"/>
      <c r="E38" s="54"/>
      <c r="F38" s="54"/>
      <c r="G38" s="54"/>
      <c r="H38" s="54"/>
      <c r="I38" s="56">
        <f t="shared" si="1"/>
        <v>9.4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f>139+28</f>
        <v>167</v>
      </c>
      <c r="C39" s="61">
        <v>2</v>
      </c>
      <c r="D39" s="61">
        <f>28+28</f>
        <v>56</v>
      </c>
      <c r="E39" s="54"/>
      <c r="F39" s="54"/>
      <c r="G39" s="54"/>
      <c r="H39" s="54"/>
      <c r="I39" s="52">
        <f t="shared" si="1"/>
        <v>10.199999999999999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f>164</f>
        <v>164</v>
      </c>
      <c r="C40" s="61"/>
      <c r="D40" s="61"/>
      <c r="E40" s="54"/>
      <c r="F40" s="54"/>
      <c r="G40" s="54"/>
      <c r="H40" s="54"/>
      <c r="I40" s="52">
        <f t="shared" si="1"/>
        <v>10.6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f>190+28</f>
        <v>218</v>
      </c>
      <c r="C41" s="61">
        <v>3</v>
      </c>
      <c r="D41" s="61">
        <f>28+28</f>
        <v>56</v>
      </c>
      <c r="E41" s="54"/>
      <c r="F41" s="54"/>
      <c r="G41" s="54"/>
      <c r="H41" s="54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f>217</f>
        <v>217</v>
      </c>
      <c r="C42" s="61"/>
      <c r="D42" s="61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1">
        <f>244+28</f>
        <v>272</v>
      </c>
      <c r="C43" s="61">
        <v>4</v>
      </c>
      <c r="D43" s="61">
        <f>28+28</f>
        <v>56</v>
      </c>
      <c r="E43" s="54"/>
      <c r="F43" s="54"/>
      <c r="G43" s="54"/>
      <c r="H43" s="54"/>
      <c r="I43" s="52">
        <f t="shared" si="1"/>
        <v>11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65</v>
      </c>
      <c r="B44" s="61">
        <f>294+28</f>
        <v>322</v>
      </c>
      <c r="C44" s="53">
        <v>5</v>
      </c>
      <c r="D44" s="61">
        <f>28+28</f>
        <v>56</v>
      </c>
      <c r="E44" s="54"/>
      <c r="F44" s="54"/>
      <c r="G44" s="54"/>
      <c r="H44" s="54"/>
      <c r="I44" s="52">
        <f t="shared" si="1"/>
        <v>10.6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75</v>
      </c>
      <c r="B45" s="61">
        <f>335+28</f>
        <v>363</v>
      </c>
      <c r="C45" s="53">
        <v>6</v>
      </c>
      <c r="D45" s="61">
        <f>28+28</f>
        <v>56</v>
      </c>
      <c r="E45" s="54"/>
      <c r="F45" s="54"/>
      <c r="G45" s="54"/>
      <c r="H45" s="54"/>
      <c r="I45" s="52">
        <f t="shared" ref="I45:I55" si="2">IF(A45&lt;&gt;0,(B45-(B44-D44))/(A45-A44),"")</f>
        <v>9.6999999999999993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85</v>
      </c>
      <c r="B46" s="61">
        <f>365+28</f>
        <v>393</v>
      </c>
      <c r="C46" s="53">
        <v>7</v>
      </c>
      <c r="D46" s="61">
        <f>27+28</f>
        <v>55</v>
      </c>
      <c r="E46" s="54"/>
      <c r="F46" s="54"/>
      <c r="G46" s="54"/>
      <c r="H46" s="54"/>
      <c r="I46" s="52">
        <f t="shared" si="2"/>
        <v>8.6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95</v>
      </c>
      <c r="B47" s="61">
        <f>389+26</f>
        <v>415</v>
      </c>
      <c r="C47" s="53">
        <v>8</v>
      </c>
      <c r="D47" s="61">
        <f>25+26</f>
        <v>51</v>
      </c>
      <c r="E47" s="54"/>
      <c r="F47" s="54"/>
      <c r="G47" s="54"/>
      <c r="H47" s="54"/>
      <c r="I47" s="52">
        <f t="shared" si="2"/>
        <v>7.7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105</v>
      </c>
      <c r="B48" s="61">
        <f>410+24</f>
        <v>434</v>
      </c>
      <c r="C48" s="53">
        <v>9</v>
      </c>
      <c r="D48" s="61">
        <f>23+24</f>
        <v>47</v>
      </c>
      <c r="E48" s="54"/>
      <c r="F48" s="54"/>
      <c r="G48" s="54"/>
      <c r="H48" s="54"/>
      <c r="I48" s="52">
        <f t="shared" si="2"/>
        <v>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115</v>
      </c>
      <c r="B49" s="61">
        <f>426+22</f>
        <v>448</v>
      </c>
      <c r="C49" s="53">
        <v>10</v>
      </c>
      <c r="D49" s="61">
        <f>22+22</f>
        <v>44</v>
      </c>
      <c r="E49" s="54"/>
      <c r="F49" s="54"/>
      <c r="G49" s="54"/>
      <c r="H49" s="54"/>
      <c r="I49" s="52">
        <f t="shared" si="2"/>
        <v>6.1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125</v>
      </c>
      <c r="B50" s="61">
        <f>437+21</f>
        <v>458</v>
      </c>
      <c r="C50" s="53">
        <v>11</v>
      </c>
      <c r="D50" s="61">
        <f>21+21</f>
        <v>42</v>
      </c>
      <c r="E50" s="54"/>
      <c r="F50" s="54"/>
      <c r="G50" s="54"/>
      <c r="H50" s="54"/>
      <c r="I50" s="52">
        <f t="shared" si="2"/>
        <v>5.4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140</v>
      </c>
      <c r="B51" s="61">
        <f>446+20+20</f>
        <v>486</v>
      </c>
      <c r="C51" s="53">
        <v>12</v>
      </c>
      <c r="D51" s="61">
        <f>19+20+20</f>
        <v>59</v>
      </c>
      <c r="E51" s="54"/>
      <c r="F51" s="54"/>
      <c r="G51" s="54"/>
      <c r="H51" s="54"/>
      <c r="I51" s="52">
        <f t="shared" si="2"/>
        <v>4.666666666666667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150</v>
      </c>
      <c r="B52" s="61">
        <f>448+19+19</f>
        <v>486</v>
      </c>
      <c r="C52" s="53">
        <v>13</v>
      </c>
      <c r="D52" s="61">
        <f>B52</f>
        <v>486</v>
      </c>
      <c r="E52" s="54"/>
      <c r="F52" s="54"/>
      <c r="G52" s="54"/>
      <c r="H52" s="54"/>
      <c r="I52" s="52">
        <f t="shared" si="2"/>
        <v>5.9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61"/>
      <c r="E53" s="54"/>
      <c r="F53" s="54"/>
      <c r="G53" s="54"/>
      <c r="H53" s="54"/>
      <c r="I53" s="52" t="str">
        <f t="shared" si="2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61"/>
      <c r="E54" s="54"/>
      <c r="F54" s="54"/>
      <c r="G54" s="54"/>
      <c r="H54" s="54"/>
      <c r="I54" s="52" t="str">
        <f t="shared" si="2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61"/>
      <c r="E55" s="54"/>
      <c r="F55" s="54"/>
      <c r="G55" s="54"/>
      <c r="H55" s="54"/>
      <c r="I55" s="52" t="str">
        <f t="shared" si="2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f>42+0</f>
        <v>42</v>
      </c>
      <c r="C62" s="53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62+8</f>
        <v>70</v>
      </c>
      <c r="C63" s="53">
        <v>1</v>
      </c>
      <c r="D63" s="61">
        <f>8</f>
        <v>8</v>
      </c>
      <c r="E63" s="54"/>
      <c r="F63" s="54"/>
      <c r="G63" s="54"/>
      <c r="H63" s="54">
        <v>1</v>
      </c>
      <c r="I63" s="52">
        <f t="shared" ref="I63:I81" si="3"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76+21</f>
        <v>97</v>
      </c>
      <c r="C64" s="53"/>
      <c r="D64" s="61"/>
      <c r="E64" s="54"/>
      <c r="F64" s="54"/>
      <c r="G64" s="54"/>
      <c r="H64" s="54"/>
      <c r="I64" s="52">
        <f t="shared" si="3"/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95+21+21</f>
        <v>137</v>
      </c>
      <c r="C65" s="61">
        <v>2</v>
      </c>
      <c r="D65" s="61">
        <f>21+21</f>
        <v>42</v>
      </c>
      <c r="E65" s="54"/>
      <c r="F65" s="54"/>
      <c r="G65" s="54"/>
      <c r="H65" s="54"/>
      <c r="I65" s="52">
        <f t="shared" si="3"/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116+21</f>
        <v>137</v>
      </c>
      <c r="C66" s="61"/>
      <c r="D66" s="61"/>
      <c r="E66" s="54"/>
      <c r="F66" s="54"/>
      <c r="G66" s="54"/>
      <c r="H66" s="54"/>
      <c r="I66" s="52">
        <f t="shared" si="3"/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137+21+21</f>
        <v>179</v>
      </c>
      <c r="C67" s="61">
        <v>3</v>
      </c>
      <c r="D67" s="61">
        <f>21+21</f>
        <v>42</v>
      </c>
      <c r="E67" s="54"/>
      <c r="F67" s="54"/>
      <c r="G67" s="54"/>
      <c r="H67" s="54"/>
      <c r="I67" s="52">
        <f t="shared" si="3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157+21</f>
        <v>178</v>
      </c>
      <c r="C68" s="61"/>
      <c r="D68" s="61"/>
      <c r="E68" s="54"/>
      <c r="F68" s="54"/>
      <c r="G68" s="54"/>
      <c r="H68" s="54"/>
      <c r="I68" s="52">
        <f t="shared" si="3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176+21+21</f>
        <v>218</v>
      </c>
      <c r="C69" s="61">
        <v>4</v>
      </c>
      <c r="D69" s="61">
        <f>21+21</f>
        <v>42</v>
      </c>
      <c r="E69" s="54"/>
      <c r="F69" s="54"/>
      <c r="G69" s="54"/>
      <c r="H69" s="54"/>
      <c r="I69" s="52">
        <f t="shared" si="3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61">
        <f>208+21+21</f>
        <v>250</v>
      </c>
      <c r="C70" s="61">
        <v>5</v>
      </c>
      <c r="D70" s="61">
        <f>21+21</f>
        <v>42</v>
      </c>
      <c r="E70" s="54"/>
      <c r="F70" s="54"/>
      <c r="G70" s="54"/>
      <c r="H70" s="54"/>
      <c r="I70" s="52">
        <f t="shared" si="3"/>
        <v>7.4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75</v>
      </c>
      <c r="B71" s="61">
        <f>231+21+21</f>
        <v>273</v>
      </c>
      <c r="C71" s="61">
        <v>6</v>
      </c>
      <c r="D71" s="61">
        <f>21+21</f>
        <v>42</v>
      </c>
      <c r="E71" s="54"/>
      <c r="F71" s="54"/>
      <c r="G71" s="54"/>
      <c r="H71" s="54"/>
      <c r="I71" s="52">
        <f t="shared" si="3"/>
        <v>6.5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85</v>
      </c>
      <c r="B72" s="61">
        <f>248+21+21</f>
        <v>290</v>
      </c>
      <c r="C72" s="61">
        <v>7</v>
      </c>
      <c r="D72" s="61">
        <f>21+21</f>
        <v>42</v>
      </c>
      <c r="E72" s="54"/>
      <c r="F72" s="54"/>
      <c r="G72" s="54"/>
      <c r="H72" s="54"/>
      <c r="I72" s="52">
        <f t="shared" si="3"/>
        <v>5.9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95</v>
      </c>
      <c r="B73" s="61">
        <f>258+21+21</f>
        <v>300</v>
      </c>
      <c r="C73" s="61">
        <v>8</v>
      </c>
      <c r="D73" s="61">
        <f>21+21</f>
        <v>42</v>
      </c>
      <c r="E73" s="54"/>
      <c r="F73" s="54"/>
      <c r="G73" s="54"/>
      <c r="H73" s="54"/>
      <c r="I73" s="52">
        <f t="shared" si="3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105</v>
      </c>
      <c r="B74" s="61">
        <f>264+20+21</f>
        <v>305</v>
      </c>
      <c r="C74" s="61">
        <v>9</v>
      </c>
      <c r="D74" s="61">
        <f>20+21</f>
        <v>41</v>
      </c>
      <c r="E74" s="57"/>
      <c r="F74" s="57"/>
      <c r="G74" s="57"/>
      <c r="H74" s="57"/>
      <c r="I74" s="52">
        <f t="shared" si="3"/>
        <v>4.7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115</v>
      </c>
      <c r="B75" s="61">
        <f>267+18+19</f>
        <v>304</v>
      </c>
      <c r="C75" s="61">
        <v>10</v>
      </c>
      <c r="D75" s="61">
        <f>18+19</f>
        <v>37</v>
      </c>
      <c r="E75" s="57"/>
      <c r="F75" s="57"/>
      <c r="G75" s="57"/>
      <c r="H75" s="57"/>
      <c r="I75" s="52">
        <f t="shared" si="3"/>
        <v>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125</v>
      </c>
      <c r="B76" s="61">
        <f>268+16+17</f>
        <v>301</v>
      </c>
      <c r="C76" s="61">
        <v>11</v>
      </c>
      <c r="D76" s="61">
        <f>16+17</f>
        <v>33</v>
      </c>
      <c r="E76" s="57"/>
      <c r="F76" s="57"/>
      <c r="G76" s="57"/>
      <c r="H76" s="57"/>
      <c r="I76" s="52">
        <f t="shared" si="3"/>
        <v>3.4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135</v>
      </c>
      <c r="B77" s="61">
        <f>269+14+15</f>
        <v>298</v>
      </c>
      <c r="C77" s="61">
        <v>12</v>
      </c>
      <c r="D77" s="61">
        <f>14+15</f>
        <v>29</v>
      </c>
      <c r="E77" s="57"/>
      <c r="F77" s="57"/>
      <c r="G77" s="57"/>
      <c r="H77" s="57"/>
      <c r="I77" s="52">
        <f t="shared" si="3"/>
        <v>3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145</v>
      </c>
      <c r="B78" s="61">
        <f>269+13</f>
        <v>282</v>
      </c>
      <c r="C78" s="61"/>
      <c r="D78" s="61"/>
      <c r="E78" s="57"/>
      <c r="F78" s="57"/>
      <c r="G78" s="57"/>
      <c r="H78" s="57"/>
      <c r="I78" s="52">
        <f t="shared" si="3"/>
        <v>1.3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150</v>
      </c>
      <c r="B79" s="61">
        <f>268+12+13</f>
        <v>293</v>
      </c>
      <c r="C79" s="61">
        <v>13</v>
      </c>
      <c r="D79" s="61">
        <f>B79</f>
        <v>293</v>
      </c>
      <c r="E79" s="57"/>
      <c r="F79" s="57"/>
      <c r="G79" s="57"/>
      <c r="H79" s="57"/>
      <c r="I79" s="52">
        <f t="shared" si="3"/>
        <v>2.2000000000000002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8"/>
      <c r="B80" s="61"/>
      <c r="C80" s="61"/>
      <c r="D80" s="61"/>
      <c r="E80" s="57"/>
      <c r="F80" s="57"/>
      <c r="G80" s="57"/>
      <c r="H80" s="57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8"/>
      <c r="B81" s="61"/>
      <c r="C81" s="61"/>
      <c r="D81" s="61"/>
      <c r="E81" s="57"/>
      <c r="F81" s="57"/>
      <c r="G81" s="57"/>
      <c r="H81" s="57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plane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1">
        <f>22.3+15.1</f>
        <v>37.4</v>
      </c>
      <c r="C88" s="61"/>
      <c r="D88" s="61"/>
      <c r="E88" s="54"/>
      <c r="F88" s="54"/>
      <c r="G88" s="54"/>
      <c r="H88" s="54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1">
        <f>52+28+15.1</f>
        <v>95.1</v>
      </c>
      <c r="C89" s="61">
        <v>1</v>
      </c>
      <c r="D89" s="61">
        <f>28+15.1</f>
        <v>43.1</v>
      </c>
      <c r="E89" s="54"/>
      <c r="F89" s="54"/>
      <c r="G89" s="54"/>
      <c r="H89" s="54">
        <v>1</v>
      </c>
      <c r="I89" s="56">
        <f t="shared" ref="I89:I107" si="4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1">
        <f>86.5+28</f>
        <v>114.5</v>
      </c>
      <c r="C90" s="61"/>
      <c r="D90" s="61"/>
      <c r="E90" s="54"/>
      <c r="F90" s="54"/>
      <c r="G90" s="54"/>
      <c r="H90" s="54"/>
      <c r="I90" s="56">
        <f t="shared" si="4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1">
        <f>118.5+28+28</f>
        <v>174.5</v>
      </c>
      <c r="C91" s="61">
        <v>2</v>
      </c>
      <c r="D91" s="61">
        <f>28+28</f>
        <v>56</v>
      </c>
      <c r="E91" s="54"/>
      <c r="F91" s="54">
        <v>0.2</v>
      </c>
      <c r="G91" s="54"/>
      <c r="H91" s="54">
        <v>0.8</v>
      </c>
      <c r="I91" s="56">
        <f t="shared" si="4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1">
        <f>144.4+28</f>
        <v>172.4</v>
      </c>
      <c r="C92" s="61"/>
      <c r="D92" s="61"/>
      <c r="E92" s="54"/>
      <c r="F92" s="54"/>
      <c r="G92" s="54"/>
      <c r="H92" s="54"/>
      <c r="I92" s="56">
        <f t="shared" si="4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1">
        <f>163.6+28+28</f>
        <v>219.6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4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1">
        <v>45</v>
      </c>
      <c r="B94" s="61">
        <f>182.8+21.8</f>
        <v>204.60000000000002</v>
      </c>
      <c r="C94" s="61"/>
      <c r="D94" s="61"/>
      <c r="E94" s="54"/>
      <c r="F94" s="54"/>
      <c r="G94" s="54"/>
      <c r="H94" s="54"/>
      <c r="I94" s="56">
        <f t="shared" si="4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>
        <v>50</v>
      </c>
      <c r="B95" s="61">
        <f>201.9+16.5+21.8</f>
        <v>240.20000000000002</v>
      </c>
      <c r="C95" s="61">
        <v>4</v>
      </c>
      <c r="D95" s="61">
        <f>16.5+21.8</f>
        <v>38.299999999999997</v>
      </c>
      <c r="E95" s="54"/>
      <c r="F95" s="54"/>
      <c r="G95" s="54"/>
      <c r="H95" s="54"/>
      <c r="I95" s="56">
        <f t="shared" si="4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>
        <v>55</v>
      </c>
      <c r="B96" s="61">
        <f>219.1+13.4</f>
        <v>232.5</v>
      </c>
      <c r="C96" s="61"/>
      <c r="D96" s="61"/>
      <c r="E96" s="54"/>
      <c r="F96" s="54"/>
      <c r="G96" s="54"/>
      <c r="H96" s="54"/>
      <c r="I96" s="56">
        <f t="shared" si="4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>
        <v>60</v>
      </c>
      <c r="B97" s="61">
        <f>233.1+11.8+13.4</f>
        <v>258.3</v>
      </c>
      <c r="C97" s="61">
        <v>5</v>
      </c>
      <c r="D97" s="61">
        <f>11.8+13.4</f>
        <v>25.200000000000003</v>
      </c>
      <c r="E97" s="54"/>
      <c r="F97" s="54"/>
      <c r="G97" s="54"/>
      <c r="H97" s="54"/>
      <c r="I97" s="56">
        <f t="shared" si="4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>
        <v>65</v>
      </c>
      <c r="B98" s="61">
        <f>243.9+10.9</f>
        <v>254.8</v>
      </c>
      <c r="C98" s="61"/>
      <c r="D98" s="61"/>
      <c r="E98" s="54"/>
      <c r="F98" s="54"/>
      <c r="G98" s="54"/>
      <c r="H98" s="54"/>
      <c r="I98" s="56">
        <f t="shared" si="4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>
        <v>70</v>
      </c>
      <c r="B99" s="61">
        <f>252.7+10+10.9</f>
        <v>273.59999999999997</v>
      </c>
      <c r="C99" s="61">
        <v>6</v>
      </c>
      <c r="D99" s="61">
        <f>10+10.9</f>
        <v>20.9</v>
      </c>
      <c r="E99" s="54"/>
      <c r="F99" s="54"/>
      <c r="G99" s="54"/>
      <c r="H99" s="54"/>
      <c r="I99" s="56">
        <f t="shared" si="4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>
        <v>75</v>
      </c>
      <c r="B100" s="61">
        <f>260.6+9.1</f>
        <v>269.70000000000005</v>
      </c>
      <c r="C100" s="61"/>
      <c r="D100" s="61"/>
      <c r="E100" s="54"/>
      <c r="F100" s="54"/>
      <c r="G100" s="54"/>
      <c r="H100" s="54"/>
      <c r="I100" s="56">
        <f t="shared" si="4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>
        <v>80</v>
      </c>
      <c r="B101" s="61">
        <f>267.3+8.2+9.1</f>
        <v>284.60000000000002</v>
      </c>
      <c r="C101" s="61">
        <v>7</v>
      </c>
      <c r="D101" s="61">
        <f>B101</f>
        <v>284.60000000000002</v>
      </c>
      <c r="E101" s="54"/>
      <c r="F101" s="54"/>
      <c r="G101" s="54"/>
      <c r="H101" s="54"/>
      <c r="I101" s="56">
        <f t="shared" si="4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/>
      <c r="B102" s="61"/>
      <c r="C102" s="61"/>
      <c r="D102" s="61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1"/>
      <c r="B103" s="61"/>
      <c r="C103" s="61"/>
      <c r="D103" s="61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1"/>
      <c r="B104" s="61"/>
      <c r="C104" s="61"/>
      <c r="D104" s="61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61"/>
      <c r="C105" s="61"/>
      <c r="D105" s="61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61"/>
      <c r="C106" s="61"/>
      <c r="D106" s="61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61"/>
      <c r="C107" s="61"/>
      <c r="D107" s="61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Charme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1">
        <f>(74)/1.56</f>
        <v>47.435897435897431</v>
      </c>
      <c r="C114" s="61"/>
      <c r="D114" s="61"/>
      <c r="E114" s="54"/>
      <c r="F114" s="54"/>
      <c r="G114" s="54"/>
      <c r="H114" s="54"/>
      <c r="I114" s="56">
        <f>IFERROR(B114/A114,"")</f>
        <v>3.1623931623931623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1">
        <f>(118+14)/1.56</f>
        <v>84.615384615384613</v>
      </c>
      <c r="C115" s="61">
        <v>1</v>
      </c>
      <c r="D115" s="61">
        <f>(19+14)/1.56</f>
        <v>21.153846153846153</v>
      </c>
      <c r="E115" s="54"/>
      <c r="F115" s="54"/>
      <c r="G115" s="54"/>
      <c r="H115" s="54">
        <v>1</v>
      </c>
      <c r="I115" s="56">
        <f t="shared" ref="I115:I133" si="5">IF(A115&lt;&gt;0,(B115-(B114-D114))/(A115-A114),"")</f>
        <v>7.4358974358974361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1">
        <f>(158)/1.56</f>
        <v>101.28205128205128</v>
      </c>
      <c r="C116" s="61"/>
      <c r="D116" s="61"/>
      <c r="E116" s="54"/>
      <c r="F116" s="54"/>
      <c r="G116" s="54"/>
      <c r="H116" s="54"/>
      <c r="I116" s="56">
        <f t="shared" si="5"/>
        <v>7.5641025641025648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1">
        <f>(193+23)/1.56</f>
        <v>138.46153846153845</v>
      </c>
      <c r="C117" s="61">
        <v>2</v>
      </c>
      <c r="D117" s="61">
        <f>(25+23)/1.56</f>
        <v>30.769230769230766</v>
      </c>
      <c r="E117" s="54"/>
      <c r="F117" s="54"/>
      <c r="G117" s="54"/>
      <c r="H117" s="54">
        <v>1</v>
      </c>
      <c r="I117" s="56">
        <f t="shared" si="5"/>
        <v>7.4358974358974335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1">
        <f>(224)/1.56</f>
        <v>143.58974358974359</v>
      </c>
      <c r="C118" s="61"/>
      <c r="D118" s="61"/>
      <c r="E118" s="54"/>
      <c r="F118" s="54"/>
      <c r="G118" s="54"/>
      <c r="H118" s="54"/>
      <c r="I118" s="56">
        <f t="shared" si="5"/>
        <v>7.1794871794871824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1">
        <f>(250+27)/1.56</f>
        <v>177.56410256410257</v>
      </c>
      <c r="C119" s="61">
        <v>3</v>
      </c>
      <c r="D119" s="61">
        <f>(27+27)/1.56</f>
        <v>34.615384615384613</v>
      </c>
      <c r="E119" s="54"/>
      <c r="F119" s="54"/>
      <c r="G119" s="54"/>
      <c r="H119" s="54"/>
      <c r="I119" s="56">
        <f t="shared" si="5"/>
        <v>6.7948717948717956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1">
        <f>(272)/1.56</f>
        <v>174.35897435897436</v>
      </c>
      <c r="C120" s="61"/>
      <c r="D120" s="61"/>
      <c r="E120" s="54"/>
      <c r="F120" s="54"/>
      <c r="G120" s="54"/>
      <c r="H120" s="54"/>
      <c r="I120" s="56">
        <f t="shared" si="5"/>
        <v>6.2820512820512819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61">
        <f>(292+27)/1.56</f>
        <v>204.48717948717947</v>
      </c>
      <c r="C121" s="61">
        <v>4</v>
      </c>
      <c r="D121" s="61">
        <f>(27+27)/1.56</f>
        <v>34.615384615384613</v>
      </c>
      <c r="E121" s="54"/>
      <c r="F121" s="54"/>
      <c r="G121" s="54"/>
      <c r="H121" s="54"/>
      <c r="I121" s="56">
        <f t="shared" si="5"/>
        <v>6.025641025641022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61">
        <f>(309)/1.56</f>
        <v>198.07692307692307</v>
      </c>
      <c r="C122" s="61"/>
      <c r="D122" s="61"/>
      <c r="E122" s="54"/>
      <c r="F122" s="54"/>
      <c r="G122" s="54"/>
      <c r="H122" s="54"/>
      <c r="I122" s="56">
        <f t="shared" si="5"/>
        <v>5.6410256410256405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61">
        <f>(324+27)/1.56</f>
        <v>225</v>
      </c>
      <c r="C123" s="61">
        <v>5</v>
      </c>
      <c r="D123" s="61">
        <f>(26+27)/1.56</f>
        <v>33.974358974358971</v>
      </c>
      <c r="E123" s="54"/>
      <c r="F123" s="54"/>
      <c r="G123" s="54"/>
      <c r="H123" s="54"/>
      <c r="I123" s="56">
        <f t="shared" si="5"/>
        <v>5.3846153846153868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61">
        <f>(337)/1.56</f>
        <v>216.02564102564102</v>
      </c>
      <c r="C124" s="61"/>
      <c r="D124" s="61"/>
      <c r="E124" s="54"/>
      <c r="F124" s="54"/>
      <c r="G124" s="54"/>
      <c r="H124" s="54"/>
      <c r="I124" s="56">
        <f t="shared" si="5"/>
        <v>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61">
        <f>(349+25)/1.56</f>
        <v>239.74358974358972</v>
      </c>
      <c r="C125" s="61">
        <v>6</v>
      </c>
      <c r="D125" s="61">
        <f>(24+25)/1.56</f>
        <v>31.410256410256409</v>
      </c>
      <c r="E125" s="54"/>
      <c r="F125" s="54"/>
      <c r="G125" s="54"/>
      <c r="H125" s="54"/>
      <c r="I125" s="56">
        <f t="shared" si="5"/>
        <v>4.7435897435897401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61">
        <f>(360)/1.56</f>
        <v>230.76923076923077</v>
      </c>
      <c r="C126" s="61"/>
      <c r="D126" s="61"/>
      <c r="E126" s="54"/>
      <c r="F126" s="54"/>
      <c r="G126" s="54"/>
      <c r="H126" s="54"/>
      <c r="I126" s="56">
        <f t="shared" si="5"/>
        <v>4.4871794871794917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61">
        <f>(370+24)/1.56</f>
        <v>252.56410256410257</v>
      </c>
      <c r="C127" s="61">
        <v>7</v>
      </c>
      <c r="D127" s="61">
        <f>(23+24)/1.56</f>
        <v>30.128205128205128</v>
      </c>
      <c r="E127" s="54"/>
      <c r="F127" s="54"/>
      <c r="G127" s="54"/>
      <c r="H127" s="54"/>
      <c r="I127" s="56">
        <f t="shared" si="5"/>
        <v>4.3589743589743595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85</v>
      </c>
      <c r="B128" s="61">
        <f>(380)/1.56</f>
        <v>243.58974358974359</v>
      </c>
      <c r="C128" s="61"/>
      <c r="D128" s="61"/>
      <c r="E128" s="54"/>
      <c r="F128" s="54"/>
      <c r="G128" s="54"/>
      <c r="H128" s="54"/>
      <c r="I128" s="56">
        <f t="shared" si="5"/>
        <v>4.2307692307692317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61">
        <f>(388+22)/1.56</f>
        <v>262.82051282051282</v>
      </c>
      <c r="C129" s="61">
        <v>8</v>
      </c>
      <c r="D129" s="61">
        <f>(22+22)/1.56</f>
        <v>28.205128205128204</v>
      </c>
      <c r="E129" s="54"/>
      <c r="F129" s="54"/>
      <c r="G129" s="54"/>
      <c r="H129" s="54"/>
      <c r="I129" s="56">
        <f t="shared" si="5"/>
        <v>3.8461538461538454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95</v>
      </c>
      <c r="B130" s="61">
        <f>(396)/1.56</f>
        <v>253.84615384615384</v>
      </c>
      <c r="C130" s="61"/>
      <c r="D130" s="61"/>
      <c r="E130" s="54"/>
      <c r="F130" s="54"/>
      <c r="G130" s="54"/>
      <c r="H130" s="54"/>
      <c r="I130" s="56">
        <f t="shared" si="5"/>
        <v>3.8461538461538454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100</v>
      </c>
      <c r="B131" s="61">
        <f>(403+21)/1.56</f>
        <v>271.79487179487177</v>
      </c>
      <c r="C131" s="61">
        <v>9</v>
      </c>
      <c r="D131" s="61">
        <f>(20+21)/1.56</f>
        <v>26.282051282051281</v>
      </c>
      <c r="E131" s="54"/>
      <c r="F131" s="54"/>
      <c r="G131" s="54"/>
      <c r="H131" s="54"/>
      <c r="I131" s="56">
        <f t="shared" si="5"/>
        <v>3.5897435897435854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110</v>
      </c>
      <c r="B132" s="61">
        <f>(416+20)/1.56</f>
        <v>279.4871794871795</v>
      </c>
      <c r="C132" s="61"/>
      <c r="D132" s="61">
        <f>(19+20)/1.56</f>
        <v>25</v>
      </c>
      <c r="E132" s="54"/>
      <c r="F132" s="54"/>
      <c r="G132" s="54"/>
      <c r="H132" s="54"/>
      <c r="I132" s="56">
        <f t="shared" si="5"/>
        <v>3.3974358974359005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120</v>
      </c>
      <c r="B133" s="61">
        <f>(427+19)/1.56</f>
        <v>285.89743589743591</v>
      </c>
      <c r="C133" s="61">
        <v>10</v>
      </c>
      <c r="D133" s="61">
        <f>B133</f>
        <v>285.89743589743591</v>
      </c>
      <c r="E133" s="54"/>
      <c r="F133" s="54"/>
      <c r="G133" s="54"/>
      <c r="H133" s="54"/>
      <c r="I133" s="56">
        <f t="shared" si="5"/>
        <v>3.141025641025641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Erable sycomore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1">
        <f>11.1</f>
        <v>11.1</v>
      </c>
      <c r="C140" s="61"/>
      <c r="D140" s="61"/>
      <c r="E140" s="54"/>
      <c r="F140" s="54"/>
      <c r="G140" s="54"/>
      <c r="H140" s="54"/>
      <c r="I140" s="59">
        <f>IFERROR(B140/A140,"")</f>
        <v>1.1099999999999999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1">
        <f>33+31.5</f>
        <v>64.5</v>
      </c>
      <c r="C141" s="61">
        <v>1</v>
      </c>
      <c r="D141" s="61">
        <v>31.5</v>
      </c>
      <c r="E141" s="54"/>
      <c r="F141" s="54"/>
      <c r="G141" s="54"/>
      <c r="H141" s="54">
        <v>1</v>
      </c>
      <c r="I141" s="59">
        <f t="shared" ref="I141:I159" si="6">IF(A141&lt;&gt;0,(B141-(B140-D140))/(A141-A140),"")</f>
        <v>10.68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20</v>
      </c>
      <c r="B142" s="61">
        <f>66.8+35</f>
        <v>101.8</v>
      </c>
      <c r="C142" s="61"/>
      <c r="D142" s="61"/>
      <c r="E142" s="54"/>
      <c r="F142" s="54"/>
      <c r="G142" s="54"/>
      <c r="H142" s="54"/>
      <c r="I142" s="59">
        <f t="shared" si="6"/>
        <v>13.76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25</v>
      </c>
      <c r="B143" s="61">
        <f>105.5+35+35</f>
        <v>175.5</v>
      </c>
      <c r="C143" s="61">
        <v>2</v>
      </c>
      <c r="D143" s="61">
        <f>35+35</f>
        <v>70</v>
      </c>
      <c r="E143" s="54"/>
      <c r="F143" s="54"/>
      <c r="G143" s="54"/>
      <c r="H143" s="54">
        <v>1</v>
      </c>
      <c r="I143" s="59">
        <f t="shared" si="6"/>
        <v>14.74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30</v>
      </c>
      <c r="B144" s="61">
        <f>141.8+35</f>
        <v>176.8</v>
      </c>
      <c r="C144" s="61"/>
      <c r="D144" s="61"/>
      <c r="E144" s="54"/>
      <c r="F144" s="54"/>
      <c r="G144" s="54"/>
      <c r="H144" s="54"/>
      <c r="I144" s="59">
        <f t="shared" si="6"/>
        <v>14.260000000000002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35</v>
      </c>
      <c r="B145" s="61">
        <f>171.4+35+35</f>
        <v>241.4</v>
      </c>
      <c r="C145" s="61">
        <v>3</v>
      </c>
      <c r="D145" s="61">
        <f>35+35</f>
        <v>70</v>
      </c>
      <c r="E145" s="54"/>
      <c r="F145" s="54"/>
      <c r="G145" s="54"/>
      <c r="H145" s="54"/>
      <c r="I145" s="59">
        <f t="shared" si="6"/>
        <v>12.919999999999998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40</v>
      </c>
      <c r="B146" s="61">
        <f>193.1+35</f>
        <v>228.1</v>
      </c>
      <c r="C146" s="61"/>
      <c r="D146" s="61"/>
      <c r="E146" s="54"/>
      <c r="F146" s="54"/>
      <c r="G146" s="54"/>
      <c r="H146" s="54"/>
      <c r="I146" s="59">
        <f t="shared" si="6"/>
        <v>11.339999999999998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279">
        <v>45</v>
      </c>
      <c r="B147" s="61">
        <f>218+24.2+35</f>
        <v>277.2</v>
      </c>
      <c r="C147" s="61">
        <v>4</v>
      </c>
      <c r="D147" s="61">
        <f>24.2+35</f>
        <v>59.2</v>
      </c>
      <c r="E147" s="54"/>
      <c r="F147" s="54"/>
      <c r="G147" s="54"/>
      <c r="H147" s="54"/>
      <c r="I147" s="59">
        <f>IF(A147&lt;&gt;0,(B147-(B146-D146))/(A147-A146),"")</f>
        <v>9.8199999999999985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279">
        <v>50</v>
      </c>
      <c r="B148" s="61">
        <f>241.8+18.9</f>
        <v>260.7</v>
      </c>
      <c r="C148" s="61"/>
      <c r="D148" s="61"/>
      <c r="E148" s="54"/>
      <c r="F148" s="54"/>
      <c r="G148" s="54"/>
      <c r="H148" s="54"/>
      <c r="I148" s="59">
        <f t="shared" si="6"/>
        <v>8.5399999999999974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279">
        <v>55</v>
      </c>
      <c r="B149" s="61">
        <f>262.6+16+18.9</f>
        <v>297.5</v>
      </c>
      <c r="C149" s="61">
        <v>5</v>
      </c>
      <c r="D149" s="61">
        <f>16+18.9</f>
        <v>34.9</v>
      </c>
      <c r="E149" s="54"/>
      <c r="F149" s="54"/>
      <c r="G149" s="54"/>
      <c r="H149" s="54"/>
      <c r="I149" s="59">
        <f t="shared" si="6"/>
        <v>7.3600000000000021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279">
        <v>60</v>
      </c>
      <c r="B150" s="61">
        <f>279.8+14.2</f>
        <v>294</v>
      </c>
      <c r="C150" s="61"/>
      <c r="D150" s="61"/>
      <c r="E150" s="54"/>
      <c r="F150" s="54"/>
      <c r="G150" s="54"/>
      <c r="H150" s="54"/>
      <c r="I150" s="59">
        <f t="shared" si="6"/>
        <v>6.2799999999999958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279">
        <v>65</v>
      </c>
      <c r="B151" s="61">
        <f>292.6+13.4+14.2</f>
        <v>320.2</v>
      </c>
      <c r="C151" s="61">
        <v>6</v>
      </c>
      <c r="D151" s="61">
        <f>13.4+14.2</f>
        <v>27.6</v>
      </c>
      <c r="E151" s="54"/>
      <c r="F151" s="54"/>
      <c r="G151" s="54"/>
      <c r="H151" s="54"/>
      <c r="I151" s="59">
        <f t="shared" si="6"/>
        <v>5.2399999999999975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279">
        <v>70</v>
      </c>
      <c r="B152" s="61">
        <f>302.6+12.5</f>
        <v>315.10000000000002</v>
      </c>
      <c r="C152" s="61"/>
      <c r="D152" s="61"/>
      <c r="E152" s="54"/>
      <c r="F152" s="54"/>
      <c r="G152" s="54"/>
      <c r="H152" s="54"/>
      <c r="I152" s="59">
        <f t="shared" si="6"/>
        <v>4.5000000000000115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279">
        <v>75</v>
      </c>
      <c r="B153" s="61">
        <f>311.9+11.6+12.5</f>
        <v>336</v>
      </c>
      <c r="C153" s="61"/>
      <c r="D153" s="61"/>
      <c r="E153" s="54"/>
      <c r="F153" s="54"/>
      <c r="G153" s="54"/>
      <c r="H153" s="54"/>
      <c r="I153" s="59">
        <f t="shared" si="6"/>
        <v>4.1799999999999953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279">
        <v>80</v>
      </c>
      <c r="B154" s="61">
        <f>319+10.7+11.6+12.5</f>
        <v>353.8</v>
      </c>
      <c r="C154" s="61">
        <v>7</v>
      </c>
      <c r="D154" s="61">
        <f>B154</f>
        <v>353.8</v>
      </c>
      <c r="E154" s="54"/>
      <c r="F154" s="54"/>
      <c r="G154" s="54"/>
      <c r="H154" s="54"/>
      <c r="I154" s="59">
        <f t="shared" si="6"/>
        <v>3.5600000000000023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61"/>
      <c r="C155" s="61"/>
      <c r="D155" s="61"/>
      <c r="E155" s="54"/>
      <c r="F155" s="54"/>
      <c r="G155" s="54"/>
      <c r="H155" s="54"/>
      <c r="I155" s="59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61"/>
      <c r="C156" s="61"/>
      <c r="D156" s="61"/>
      <c r="E156" s="54"/>
      <c r="F156" s="54"/>
      <c r="G156" s="54"/>
      <c r="H156" s="54"/>
      <c r="I156" s="59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61"/>
      <c r="C157" s="61"/>
      <c r="D157" s="61"/>
      <c r="E157" s="54"/>
      <c r="F157" s="54"/>
      <c r="G157" s="54"/>
      <c r="H157" s="54"/>
      <c r="I157" s="59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61"/>
      <c r="C158" s="61"/>
      <c r="D158" s="61"/>
      <c r="E158" s="54"/>
      <c r="F158" s="54"/>
      <c r="G158" s="54"/>
      <c r="H158" s="54"/>
      <c r="I158" s="59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/>
      <c r="B159" s="61"/>
      <c r="C159" s="61"/>
      <c r="D159" s="61"/>
      <c r="E159" s="54"/>
      <c r="F159" s="54"/>
      <c r="G159" s="54"/>
      <c r="H159" s="54"/>
      <c r="I159" s="59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Merisier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25</v>
      </c>
      <c r="B166" s="61">
        <f>89</f>
        <v>89</v>
      </c>
      <c r="C166" s="61">
        <v>1</v>
      </c>
      <c r="D166" s="61">
        <f>28</f>
        <v>28</v>
      </c>
      <c r="E166" s="54"/>
      <c r="F166" s="54"/>
      <c r="G166" s="54"/>
      <c r="H166" s="54">
        <v>1</v>
      </c>
      <c r="I166" s="52">
        <f>IFERROR(B166/A166,"")</f>
        <v>3.56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30</v>
      </c>
      <c r="B167" s="61">
        <f>132</f>
        <v>132</v>
      </c>
      <c r="C167" s="61">
        <v>2</v>
      </c>
      <c r="D167" s="61">
        <f>24</f>
        <v>24</v>
      </c>
      <c r="E167" s="54"/>
      <c r="F167" s="54"/>
      <c r="G167" s="54"/>
      <c r="H167" s="54">
        <v>1</v>
      </c>
      <c r="I167" s="52">
        <f t="shared" ref="I167:I185" si="7">IF(A167&lt;&gt;0,(B167-(B166-D166))/(A167-A166),"")</f>
        <v>14.2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35</v>
      </c>
      <c r="B168" s="61">
        <f>173</f>
        <v>173</v>
      </c>
      <c r="C168" s="61">
        <v>3</v>
      </c>
      <c r="D168" s="61">
        <f>27</f>
        <v>27</v>
      </c>
      <c r="E168" s="54"/>
      <c r="F168" s="54"/>
      <c r="G168" s="54"/>
      <c r="H168" s="54"/>
      <c r="I168" s="52">
        <f t="shared" si="7"/>
        <v>13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40</v>
      </c>
      <c r="B169" s="61">
        <f>208</f>
        <v>208</v>
      </c>
      <c r="C169" s="61">
        <v>4</v>
      </c>
      <c r="D169" s="61">
        <f>32</f>
        <v>32</v>
      </c>
      <c r="E169" s="54"/>
      <c r="F169" s="54"/>
      <c r="G169" s="54"/>
      <c r="H169" s="54"/>
      <c r="I169" s="52">
        <f t="shared" si="7"/>
        <v>12.4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45</v>
      </c>
      <c r="B170" s="61">
        <f>233</f>
        <v>233</v>
      </c>
      <c r="C170" s="61">
        <v>5</v>
      </c>
      <c r="D170" s="61">
        <f>31</f>
        <v>31</v>
      </c>
      <c r="E170" s="54"/>
      <c r="F170" s="54"/>
      <c r="G170" s="54"/>
      <c r="H170" s="54"/>
      <c r="I170" s="52">
        <f t="shared" si="7"/>
        <v>11.4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50</v>
      </c>
      <c r="B171" s="61">
        <f>253</f>
        <v>253</v>
      </c>
      <c r="C171" s="61">
        <v>6</v>
      </c>
      <c r="D171" s="61">
        <f>30</f>
        <v>30</v>
      </c>
      <c r="E171" s="54"/>
      <c r="F171" s="54"/>
      <c r="G171" s="54"/>
      <c r="H171" s="54"/>
      <c r="I171" s="52">
        <f t="shared" si="7"/>
        <v>10.199999999999999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55</v>
      </c>
      <c r="B172" s="61">
        <f>264</f>
        <v>264</v>
      </c>
      <c r="C172" s="61">
        <v>7</v>
      </c>
      <c r="D172" s="61">
        <f>30</f>
        <v>30</v>
      </c>
      <c r="E172" s="54"/>
      <c r="F172" s="54"/>
      <c r="G172" s="54"/>
      <c r="H172" s="54"/>
      <c r="I172" s="52">
        <f t="shared" si="7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60</v>
      </c>
      <c r="B173" s="61">
        <f>271</f>
        <v>271</v>
      </c>
      <c r="C173" s="61">
        <v>8</v>
      </c>
      <c r="D173" s="61">
        <f>27</f>
        <v>27</v>
      </c>
      <c r="E173" s="54"/>
      <c r="F173" s="54"/>
      <c r="G173" s="54"/>
      <c r="H173" s="54"/>
      <c r="I173" s="52">
        <f t="shared" si="7"/>
        <v>7.4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65</v>
      </c>
      <c r="B174" s="61">
        <f>276</f>
        <v>276</v>
      </c>
      <c r="C174" s="61">
        <v>9</v>
      </c>
      <c r="D174" s="61">
        <f>26</f>
        <v>26</v>
      </c>
      <c r="E174" s="54"/>
      <c r="F174" s="54"/>
      <c r="G174" s="54"/>
      <c r="H174" s="54"/>
      <c r="I174" s="52">
        <f t="shared" si="7"/>
        <v>6.4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70</v>
      </c>
      <c r="B175" s="61">
        <f>280</f>
        <v>280</v>
      </c>
      <c r="C175" s="61">
        <v>10</v>
      </c>
      <c r="D175" s="61">
        <f>20</f>
        <v>20</v>
      </c>
      <c r="E175" s="54"/>
      <c r="F175" s="54"/>
      <c r="G175" s="54"/>
      <c r="H175" s="54"/>
      <c r="I175" s="52">
        <f t="shared" si="7"/>
        <v>6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75</v>
      </c>
      <c r="B176" s="61">
        <f>286</f>
        <v>286</v>
      </c>
      <c r="C176" s="61">
        <v>11</v>
      </c>
      <c r="D176" s="61">
        <f>B176</f>
        <v>286</v>
      </c>
      <c r="E176" s="54"/>
      <c r="F176" s="54"/>
      <c r="G176" s="54"/>
      <c r="H176" s="54"/>
      <c r="I176" s="52">
        <f t="shared" si="7"/>
        <v>5.2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61"/>
      <c r="C177" s="61"/>
      <c r="D177" s="61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61"/>
      <c r="C178" s="61"/>
      <c r="D178" s="61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61"/>
      <c r="C179" s="61"/>
      <c r="D179" s="61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61"/>
      <c r="C180" s="61"/>
      <c r="D180" s="61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61"/>
      <c r="C181" s="61"/>
      <c r="D181" s="61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61"/>
      <c r="C182" s="61"/>
      <c r="D182" s="61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61"/>
      <c r="C183" s="61"/>
      <c r="D183" s="61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61"/>
      <c r="C184" s="61"/>
      <c r="D184" s="61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61"/>
      <c r="C185" s="61"/>
      <c r="D185" s="61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Tilleul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10</v>
      </c>
      <c r="B192" s="61">
        <f>(43)/1.56</f>
        <v>27.564102564102562</v>
      </c>
      <c r="C192" s="61"/>
      <c r="D192" s="61"/>
      <c r="E192" s="54"/>
      <c r="F192" s="54"/>
      <c r="G192" s="54"/>
      <c r="H192" s="54"/>
      <c r="I192" s="52">
        <f>IFERROR(B192/A192,"")</f>
        <v>2.7564102564102564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15</v>
      </c>
      <c r="B193" s="61">
        <f>(96+11)/1.56</f>
        <v>68.589743589743591</v>
      </c>
      <c r="C193" s="61"/>
      <c r="D193" s="61"/>
      <c r="E193" s="61"/>
      <c r="F193" s="54"/>
      <c r="G193" s="54"/>
      <c r="H193" s="54"/>
      <c r="I193" s="52">
        <f t="shared" ref="I193:I211" si="8">IF(A193&lt;&gt;0,(B193-(B192-D192))/(A193-A192),"")</f>
        <v>8.2051282051282062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20</v>
      </c>
      <c r="B194" s="61">
        <f>(149+20+11)/1.56</f>
        <v>115.38461538461539</v>
      </c>
      <c r="C194" s="61">
        <v>1</v>
      </c>
      <c r="D194" s="61">
        <f>(25+20+11)/1.56</f>
        <v>35.897435897435898</v>
      </c>
      <c r="E194" s="61"/>
      <c r="F194" s="54"/>
      <c r="G194" s="54"/>
      <c r="H194" s="54">
        <v>1</v>
      </c>
      <c r="I194" s="52">
        <f t="shared" si="8"/>
        <v>9.3589743589743595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25</v>
      </c>
      <c r="B195" s="61">
        <f>(196)/1.56</f>
        <v>125.64102564102564</v>
      </c>
      <c r="C195" s="61"/>
      <c r="D195" s="61"/>
      <c r="E195" s="61"/>
      <c r="F195" s="54"/>
      <c r="G195" s="54"/>
      <c r="H195" s="54"/>
      <c r="I195" s="52">
        <f t="shared" si="8"/>
        <v>9.2307692307692299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30</v>
      </c>
      <c r="B196" s="61">
        <f>(237+28)/1.56</f>
        <v>169.87179487179486</v>
      </c>
      <c r="C196" s="61">
        <v>2</v>
      </c>
      <c r="D196" s="61">
        <f>(29+28)/1.56</f>
        <v>36.53846153846154</v>
      </c>
      <c r="E196" s="61"/>
      <c r="F196" s="54"/>
      <c r="G196" s="54"/>
      <c r="H196" s="54">
        <v>1</v>
      </c>
      <c r="I196" s="52">
        <f t="shared" si="8"/>
        <v>8.8461538461538449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35</v>
      </c>
      <c r="B197" s="61">
        <f>(273)/1.56</f>
        <v>175</v>
      </c>
      <c r="C197" s="61"/>
      <c r="D197" s="61"/>
      <c r="E197" s="61"/>
      <c r="F197" s="54"/>
      <c r="G197" s="54"/>
      <c r="H197" s="54"/>
      <c r="I197" s="52">
        <f t="shared" si="8"/>
        <v>8.3333333333333375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40</v>
      </c>
      <c r="B198" s="61">
        <f>(303+29)/1.56</f>
        <v>212.82051282051282</v>
      </c>
      <c r="C198" s="61">
        <v>3</v>
      </c>
      <c r="D198" s="61">
        <f>(29+29)/1.56</f>
        <v>37.179487179487175</v>
      </c>
      <c r="E198" s="61"/>
      <c r="F198" s="54"/>
      <c r="G198" s="54"/>
      <c r="H198" s="54"/>
      <c r="I198" s="52">
        <f t="shared" si="8"/>
        <v>7.5641025641025639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45</v>
      </c>
      <c r="B199" s="61">
        <f>(330)/1.56</f>
        <v>211.53846153846152</v>
      </c>
      <c r="C199" s="61"/>
      <c r="D199" s="61"/>
      <c r="E199" s="61"/>
      <c r="F199" s="54"/>
      <c r="G199" s="54"/>
      <c r="H199" s="54"/>
      <c r="I199" s="52">
        <f t="shared" si="8"/>
        <v>7.1794871794871771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50</v>
      </c>
      <c r="B200" s="61">
        <f>(354+28)/1.56</f>
        <v>244.87179487179486</v>
      </c>
      <c r="C200" s="61">
        <v>4</v>
      </c>
      <c r="D200" s="61">
        <f>(27+28)/1.56</f>
        <v>35.256410256410255</v>
      </c>
      <c r="E200" s="61"/>
      <c r="F200" s="54"/>
      <c r="G200" s="54"/>
      <c r="H200" s="54"/>
      <c r="I200" s="52">
        <f t="shared" si="8"/>
        <v>6.6666666666666687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55</v>
      </c>
      <c r="B201" s="61">
        <f>(376)/1.56</f>
        <v>241.02564102564102</v>
      </c>
      <c r="C201" s="61"/>
      <c r="D201" s="61"/>
      <c r="E201" s="61"/>
      <c r="F201" s="54"/>
      <c r="G201" s="54"/>
      <c r="H201" s="54"/>
      <c r="I201" s="52">
        <f t="shared" si="8"/>
        <v>6.2820512820512819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60</v>
      </c>
      <c r="B202" s="61">
        <f>(398+24)/1.56</f>
        <v>270.5128205128205</v>
      </c>
      <c r="C202" s="61">
        <v>5</v>
      </c>
      <c r="D202" s="61">
        <f>(25+24)/1.56</f>
        <v>31.410256410256409</v>
      </c>
      <c r="E202" s="61"/>
      <c r="F202" s="54"/>
      <c r="G202" s="54"/>
      <c r="H202" s="54"/>
      <c r="I202" s="52">
        <f t="shared" si="8"/>
        <v>5.8974358974358951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65</v>
      </c>
      <c r="B203" s="61">
        <f>(415)/1.56</f>
        <v>266.02564102564099</v>
      </c>
      <c r="C203" s="61"/>
      <c r="D203" s="61"/>
      <c r="E203" s="61"/>
      <c r="F203" s="54"/>
      <c r="G203" s="54"/>
      <c r="H203" s="54"/>
      <c r="I203" s="52">
        <f t="shared" si="8"/>
        <v>5.3846153846153815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70</v>
      </c>
      <c r="B204" s="61">
        <f>(431+24)/1.56</f>
        <v>291.66666666666663</v>
      </c>
      <c r="C204" s="61">
        <v>6</v>
      </c>
      <c r="D204" s="61">
        <f>(23+24)/1.56</f>
        <v>30.128205128205128</v>
      </c>
      <c r="E204" s="61"/>
      <c r="F204" s="54"/>
      <c r="G204" s="54"/>
      <c r="H204" s="54"/>
      <c r="I204" s="52">
        <f t="shared" si="8"/>
        <v>5.1282051282051269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75</v>
      </c>
      <c r="B205" s="61">
        <f>(446)/1.56</f>
        <v>285.89743589743591</v>
      </c>
      <c r="C205" s="61"/>
      <c r="D205" s="61"/>
      <c r="E205" s="61"/>
      <c r="F205" s="54"/>
      <c r="G205" s="54"/>
      <c r="H205" s="54"/>
      <c r="I205" s="52">
        <f t="shared" si="8"/>
        <v>4.8717948717948847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80</v>
      </c>
      <c r="B206" s="61">
        <f>(459+22)/1.56</f>
        <v>308.33333333333331</v>
      </c>
      <c r="C206" s="61">
        <v>7</v>
      </c>
      <c r="D206" s="61">
        <f>(22+22)/1.56</f>
        <v>28.205128205128204</v>
      </c>
      <c r="E206" s="61"/>
      <c r="F206" s="54"/>
      <c r="G206" s="54"/>
      <c r="H206" s="54"/>
      <c r="I206" s="52">
        <f t="shared" si="8"/>
        <v>4.4871794871794801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85</v>
      </c>
      <c r="B207" s="61">
        <f>(472)/1.56</f>
        <v>302.56410256410254</v>
      </c>
      <c r="C207" s="61"/>
      <c r="D207" s="61"/>
      <c r="E207" s="61"/>
      <c r="F207" s="54"/>
      <c r="G207" s="54"/>
      <c r="H207" s="54"/>
      <c r="I207" s="52">
        <f t="shared" si="8"/>
        <v>4.4871794871794917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90</v>
      </c>
      <c r="B208" s="61">
        <f>(483+21)/1.56</f>
        <v>323.07692307692304</v>
      </c>
      <c r="C208" s="61">
        <v>8</v>
      </c>
      <c r="D208" s="61">
        <f>(20+21)/1.56</f>
        <v>26.282051282051281</v>
      </c>
      <c r="E208" s="61"/>
      <c r="F208" s="54"/>
      <c r="G208" s="54"/>
      <c r="H208" s="54"/>
      <c r="I208" s="52">
        <f t="shared" si="8"/>
        <v>4.1025641025640995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95</v>
      </c>
      <c r="B209" s="61">
        <f>(494)/1.56</f>
        <v>316.66666666666663</v>
      </c>
      <c r="C209" s="61"/>
      <c r="D209" s="61"/>
      <c r="E209" s="61"/>
      <c r="F209" s="54"/>
      <c r="G209" s="54"/>
      <c r="H209" s="54"/>
      <c r="I209" s="52">
        <f t="shared" si="8"/>
        <v>3.9743589743589722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100</v>
      </c>
      <c r="B210" s="61">
        <f>(504+19)/1.56</f>
        <v>335.25641025641022</v>
      </c>
      <c r="C210" s="61">
        <v>9</v>
      </c>
      <c r="D210" s="61">
        <f>(18+19)/1.56</f>
        <v>23.717948717948715</v>
      </c>
      <c r="E210" s="61"/>
      <c r="F210" s="54"/>
      <c r="G210" s="54"/>
      <c r="H210" s="54"/>
      <c r="I210" s="52">
        <f t="shared" si="8"/>
        <v>3.7179487179487181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110</v>
      </c>
      <c r="B211" s="61">
        <f>(523+18)/1.56</f>
        <v>346.79487179487177</v>
      </c>
      <c r="C211" s="61">
        <v>10</v>
      </c>
      <c r="D211" s="61">
        <f>B211</f>
        <v>346.79487179487177</v>
      </c>
      <c r="E211" s="61"/>
      <c r="F211" s="54"/>
      <c r="G211" s="54"/>
      <c r="H211" s="54"/>
      <c r="I211" s="52">
        <f t="shared" si="8"/>
        <v>3.5256410256410278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Bouleau verruqueux</v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1">
        <f>42</f>
        <v>42</v>
      </c>
      <c r="C218" s="61"/>
      <c r="D218" s="61"/>
      <c r="E218" s="54"/>
      <c r="F218" s="54"/>
      <c r="G218" s="54"/>
      <c r="H218" s="54"/>
      <c r="I218" s="56">
        <f>IFERROR(B218/A218,"")</f>
        <v>2.8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1">
        <f>54+15</f>
        <v>69</v>
      </c>
      <c r="C219" s="61">
        <v>1</v>
      </c>
      <c r="D219" s="61">
        <f>15</f>
        <v>15</v>
      </c>
      <c r="E219" s="54"/>
      <c r="F219" s="54"/>
      <c r="G219" s="54"/>
      <c r="H219" s="54">
        <v>1</v>
      </c>
      <c r="I219" s="56">
        <f t="shared" ref="I219:I237" si="9">IF(A219&lt;&gt;0,(B219-(B218-D218))/(A219-A218),"")</f>
        <v>5.4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1">
        <f>73+10</f>
        <v>83</v>
      </c>
      <c r="C220" s="61"/>
      <c r="D220" s="61"/>
      <c r="E220" s="54"/>
      <c r="F220" s="54"/>
      <c r="G220" s="54"/>
      <c r="H220" s="54"/>
      <c r="I220" s="56">
        <f t="shared" si="9"/>
        <v>5.8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30</v>
      </c>
      <c r="B221" s="61">
        <f>92+11+10</f>
        <v>113</v>
      </c>
      <c r="C221" s="61">
        <v>2</v>
      </c>
      <c r="D221" s="61">
        <f>11+10</f>
        <v>21</v>
      </c>
      <c r="E221" s="54"/>
      <c r="F221" s="54"/>
      <c r="G221" s="54"/>
      <c r="H221" s="54">
        <v>1</v>
      </c>
      <c r="I221" s="56">
        <f t="shared" si="9"/>
        <v>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35</v>
      </c>
      <c r="B222" s="61">
        <f>109+12</f>
        <v>121</v>
      </c>
      <c r="C222" s="61"/>
      <c r="D222" s="61"/>
      <c r="E222" s="54"/>
      <c r="F222" s="54"/>
      <c r="G222" s="54"/>
      <c r="H222" s="54"/>
      <c r="I222" s="56">
        <f t="shared" si="9"/>
        <v>5.8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40</v>
      </c>
      <c r="B223" s="61">
        <f>126+13+12</f>
        <v>151</v>
      </c>
      <c r="C223" s="61">
        <v>3</v>
      </c>
      <c r="D223" s="61">
        <f>14+13</f>
        <v>27</v>
      </c>
      <c r="E223" s="54"/>
      <c r="F223" s="54"/>
      <c r="G223" s="54"/>
      <c r="H223" s="54"/>
      <c r="I223" s="56">
        <f t="shared" si="9"/>
        <v>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45</v>
      </c>
      <c r="B224" s="61">
        <f>142+14</f>
        <v>156</v>
      </c>
      <c r="C224" s="61"/>
      <c r="D224" s="61"/>
      <c r="E224" s="54"/>
      <c r="F224" s="54"/>
      <c r="G224" s="54"/>
      <c r="H224" s="54"/>
      <c r="I224" s="56">
        <f t="shared" si="9"/>
        <v>6.4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50</v>
      </c>
      <c r="B225" s="61">
        <f>157+14+14</f>
        <v>185</v>
      </c>
      <c r="C225" s="61">
        <v>4</v>
      </c>
      <c r="D225" s="61">
        <f>14+14</f>
        <v>28</v>
      </c>
      <c r="E225" s="54"/>
      <c r="F225" s="54"/>
      <c r="G225" s="54"/>
      <c r="H225" s="54"/>
      <c r="I225" s="56">
        <f t="shared" si="9"/>
        <v>5.8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55</v>
      </c>
      <c r="B226" s="61">
        <f>170+14</f>
        <v>184</v>
      </c>
      <c r="C226" s="61"/>
      <c r="D226" s="61"/>
      <c r="E226" s="54"/>
      <c r="F226" s="54"/>
      <c r="G226" s="54"/>
      <c r="H226" s="54"/>
      <c r="I226" s="56">
        <f t="shared" si="9"/>
        <v>5.4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60</v>
      </c>
      <c r="B227" s="61">
        <f>183+14+14</f>
        <v>211</v>
      </c>
      <c r="C227" s="61">
        <v>5</v>
      </c>
      <c r="D227" s="61">
        <f>14+14</f>
        <v>28</v>
      </c>
      <c r="E227" s="54"/>
      <c r="F227" s="54"/>
      <c r="G227" s="54"/>
      <c r="H227" s="54"/>
      <c r="I227" s="56">
        <f t="shared" si="9"/>
        <v>5.4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65</v>
      </c>
      <c r="B228" s="61">
        <f>194+14</f>
        <v>208</v>
      </c>
      <c r="C228" s="61"/>
      <c r="D228" s="61"/>
      <c r="E228" s="54"/>
      <c r="F228" s="54"/>
      <c r="G228" s="54"/>
      <c r="H228" s="54"/>
      <c r="I228" s="56">
        <f t="shared" si="9"/>
        <v>5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70</v>
      </c>
      <c r="B229" s="61">
        <f>204+14+14</f>
        <v>232</v>
      </c>
      <c r="C229" s="61">
        <v>6</v>
      </c>
      <c r="D229" s="61">
        <f>14+14</f>
        <v>28</v>
      </c>
      <c r="E229" s="54"/>
      <c r="F229" s="54"/>
      <c r="G229" s="54"/>
      <c r="H229" s="54"/>
      <c r="I229" s="56">
        <f t="shared" si="9"/>
        <v>4.8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75</v>
      </c>
      <c r="B230" s="61">
        <f>213+14</f>
        <v>227</v>
      </c>
      <c r="C230" s="61"/>
      <c r="D230" s="61"/>
      <c r="E230" s="54"/>
      <c r="F230" s="54"/>
      <c r="G230" s="54"/>
      <c r="H230" s="54"/>
      <c r="I230" s="56">
        <f t="shared" si="9"/>
        <v>4.5999999999999996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80</v>
      </c>
      <c r="B231" s="61">
        <f>221+13+14</f>
        <v>248</v>
      </c>
      <c r="C231" s="61">
        <v>7</v>
      </c>
      <c r="D231" s="61">
        <f>13+14</f>
        <v>27</v>
      </c>
      <c r="E231" s="54"/>
      <c r="F231" s="54"/>
      <c r="G231" s="54"/>
      <c r="H231" s="54"/>
      <c r="I231" s="56">
        <f t="shared" si="9"/>
        <v>4.2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85</v>
      </c>
      <c r="B232" s="61">
        <f>228+13</f>
        <v>241</v>
      </c>
      <c r="C232" s="61"/>
      <c r="D232" s="61"/>
      <c r="E232" s="57"/>
      <c r="F232" s="57"/>
      <c r="G232" s="57"/>
      <c r="H232" s="57"/>
      <c r="I232" s="56">
        <f t="shared" si="9"/>
        <v>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90</v>
      </c>
      <c r="B233" s="61">
        <f>234+12+13</f>
        <v>259</v>
      </c>
      <c r="C233" s="61">
        <v>8</v>
      </c>
      <c r="D233" s="61">
        <f>B233</f>
        <v>259</v>
      </c>
      <c r="E233" s="57"/>
      <c r="F233" s="57"/>
      <c r="G233" s="57"/>
      <c r="H233" s="57"/>
      <c r="I233" s="56">
        <f t="shared" si="9"/>
        <v>3.6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Alisier torminal</v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20</v>
      </c>
      <c r="B244" s="61">
        <v>42</v>
      </c>
      <c r="C244" s="61"/>
      <c r="D244" s="61"/>
      <c r="E244" s="54"/>
      <c r="F244" s="54"/>
      <c r="G244" s="54"/>
      <c r="H244" s="54"/>
      <c r="I244" s="56">
        <f>IFERROR(B244/A244,"")</f>
        <v>2.1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25</v>
      </c>
      <c r="B245" s="61">
        <v>70</v>
      </c>
      <c r="C245" s="61">
        <v>1</v>
      </c>
      <c r="D245" s="61">
        <v>8</v>
      </c>
      <c r="E245" s="54"/>
      <c r="F245" s="54"/>
      <c r="G245" s="54"/>
      <c r="H245" s="54">
        <v>1</v>
      </c>
      <c r="I245" s="56">
        <f>IF(A245&lt;&gt;0,(B245-(B244-D244))/(A245-A244),"")</f>
        <v>5.6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30</v>
      </c>
      <c r="B246" s="61">
        <v>97</v>
      </c>
      <c r="C246" s="61"/>
      <c r="D246" s="61"/>
      <c r="E246" s="54"/>
      <c r="F246" s="54"/>
      <c r="G246" s="54"/>
      <c r="H246" s="54"/>
      <c r="I246" s="56">
        <f>IF(A246&lt;&gt;0,(B246-(B245-D245))/(A246-A245),"")</f>
        <v>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35</v>
      </c>
      <c r="B247" s="61">
        <v>137</v>
      </c>
      <c r="C247" s="61">
        <v>2</v>
      </c>
      <c r="D247" s="61">
        <v>42</v>
      </c>
      <c r="E247" s="54"/>
      <c r="F247" s="54"/>
      <c r="G247" s="54"/>
      <c r="H247" s="54"/>
      <c r="I247" s="56">
        <f t="shared" ref="I247:I263" si="10">IF(A247&lt;&gt;0,(B247-(B246-D246))/(A247-A246),"")</f>
        <v>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40</v>
      </c>
      <c r="B248" s="61">
        <v>137</v>
      </c>
      <c r="C248" s="61"/>
      <c r="D248" s="61"/>
      <c r="E248" s="54"/>
      <c r="F248" s="54"/>
      <c r="G248" s="54"/>
      <c r="H248" s="54"/>
      <c r="I248" s="56">
        <f t="shared" si="10"/>
        <v>8.4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45</v>
      </c>
      <c r="B249" s="61">
        <v>179</v>
      </c>
      <c r="C249" s="61">
        <v>3</v>
      </c>
      <c r="D249" s="61">
        <v>42</v>
      </c>
      <c r="E249" s="54"/>
      <c r="F249" s="54"/>
      <c r="G249" s="54"/>
      <c r="H249" s="54"/>
      <c r="I249" s="56">
        <f t="shared" si="10"/>
        <v>8.4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61">
        <v>50</v>
      </c>
      <c r="B250" s="61">
        <v>178</v>
      </c>
      <c r="C250" s="61"/>
      <c r="D250" s="61"/>
      <c r="E250" s="54"/>
      <c r="F250" s="54"/>
      <c r="G250" s="54"/>
      <c r="H250" s="54"/>
      <c r="I250" s="56">
        <f t="shared" si="10"/>
        <v>8.1999999999999993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61">
        <v>55</v>
      </c>
      <c r="B251" s="61">
        <v>218</v>
      </c>
      <c r="C251" s="61">
        <v>4</v>
      </c>
      <c r="D251" s="61">
        <v>42</v>
      </c>
      <c r="E251" s="54"/>
      <c r="F251" s="54"/>
      <c r="G251" s="54"/>
      <c r="H251" s="54"/>
      <c r="I251" s="56">
        <f t="shared" si="10"/>
        <v>8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61">
        <v>65</v>
      </c>
      <c r="B252" s="61">
        <v>250</v>
      </c>
      <c r="C252" s="61">
        <v>5</v>
      </c>
      <c r="D252" s="61">
        <v>42</v>
      </c>
      <c r="E252" s="54"/>
      <c r="F252" s="54"/>
      <c r="G252" s="54"/>
      <c r="H252" s="54"/>
      <c r="I252" s="56">
        <f t="shared" si="10"/>
        <v>7.4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61">
        <v>75</v>
      </c>
      <c r="B253" s="61">
        <v>273</v>
      </c>
      <c r="C253" s="61">
        <v>6</v>
      </c>
      <c r="D253" s="61">
        <v>42</v>
      </c>
      <c r="E253" s="54"/>
      <c r="F253" s="54"/>
      <c r="G253" s="54"/>
      <c r="H253" s="54"/>
      <c r="I253" s="56">
        <f t="shared" si="10"/>
        <v>6.5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61">
        <v>85</v>
      </c>
      <c r="B254" s="61">
        <v>290</v>
      </c>
      <c r="C254" s="61">
        <v>7</v>
      </c>
      <c r="D254" s="61">
        <v>42</v>
      </c>
      <c r="E254" s="54"/>
      <c r="F254" s="54"/>
      <c r="G254" s="54"/>
      <c r="H254" s="54"/>
      <c r="I254" s="56">
        <f t="shared" si="10"/>
        <v>5.9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61">
        <v>95</v>
      </c>
      <c r="B255" s="61">
        <v>300</v>
      </c>
      <c r="C255" s="61">
        <v>8</v>
      </c>
      <c r="D255" s="61">
        <v>42</v>
      </c>
      <c r="E255" s="54"/>
      <c r="F255" s="54"/>
      <c r="G255" s="54"/>
      <c r="H255" s="54"/>
      <c r="I255" s="56">
        <f t="shared" si="10"/>
        <v>5.2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61">
        <v>105</v>
      </c>
      <c r="B256" s="61">
        <v>305</v>
      </c>
      <c r="C256" s="61">
        <v>9</v>
      </c>
      <c r="D256" s="61">
        <v>41</v>
      </c>
      <c r="E256" s="54"/>
      <c r="F256" s="54"/>
      <c r="G256" s="54"/>
      <c r="H256" s="54"/>
      <c r="I256" s="56">
        <f t="shared" si="10"/>
        <v>4.7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61">
        <v>115</v>
      </c>
      <c r="B257" s="61">
        <v>304</v>
      </c>
      <c r="C257" s="61">
        <v>10</v>
      </c>
      <c r="D257" s="61">
        <v>37</v>
      </c>
      <c r="E257" s="54"/>
      <c r="F257" s="54"/>
      <c r="G257" s="54"/>
      <c r="H257" s="54"/>
      <c r="I257" s="56">
        <f t="shared" si="10"/>
        <v>4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125</v>
      </c>
      <c r="B258" s="53">
        <v>301</v>
      </c>
      <c r="C258" s="53">
        <v>11</v>
      </c>
      <c r="D258" s="53">
        <v>33</v>
      </c>
      <c r="E258" s="54"/>
      <c r="F258" s="54"/>
      <c r="G258" s="54"/>
      <c r="H258" s="54"/>
      <c r="I258" s="56">
        <f t="shared" si="10"/>
        <v>3.4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135</v>
      </c>
      <c r="B259" s="53">
        <v>298</v>
      </c>
      <c r="C259" s="53">
        <v>12</v>
      </c>
      <c r="D259" s="53">
        <v>29</v>
      </c>
      <c r="E259" s="54"/>
      <c r="F259" s="54"/>
      <c r="G259" s="54"/>
      <c r="H259" s="54"/>
      <c r="I259" s="56">
        <f t="shared" si="10"/>
        <v>3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>
        <v>145</v>
      </c>
      <c r="B260" s="53">
        <v>282</v>
      </c>
      <c r="C260" s="53"/>
      <c r="D260" s="53"/>
      <c r="E260" s="54"/>
      <c r="F260" s="54"/>
      <c r="G260" s="54"/>
      <c r="H260" s="54"/>
      <c r="I260" s="56">
        <f t="shared" si="10"/>
        <v>1.3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>
        <v>150</v>
      </c>
      <c r="B261" s="53">
        <v>293</v>
      </c>
      <c r="C261" s="53">
        <v>13</v>
      </c>
      <c r="D261" s="53">
        <v>293</v>
      </c>
      <c r="E261" s="54"/>
      <c r="F261" s="54"/>
      <c r="G261" s="54"/>
      <c r="H261" s="54"/>
      <c r="I261" s="56">
        <f t="shared" si="10"/>
        <v>2.2000000000000002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4"/>
      <c r="F262" s="54"/>
      <c r="G262" s="54"/>
      <c r="H262" s="54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4"/>
      <c r="F263" s="54"/>
      <c r="G263" s="54"/>
      <c r="H263" s="54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8" sqref="B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3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3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1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Hêtre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Chêne pubescent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Erable plane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Charme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Erable sycomore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>Merisier</v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>Tilleul</v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>Bouleau verruqueux</v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>Alisier torminal</v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598.73855311281966</v>
      </c>
      <c r="T3" s="60">
        <f>IF('Données projet'!E9&gt;30,$R$33-$H$33,LOOKUP('Données projet'!$E$9,$A$3:$A$203,R3:R203)-LOOKUP('Données projet'!$E$9,$A$3:$A$203,$H$3:$H$203))</f>
        <v>275.88160405468193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515.72324585399997</v>
      </c>
      <c r="AO3" s="60">
        <f>IF('Données projet'!E10&gt;30,$AM$33-$H$33,LOOKUP('Données projet'!$E$10,$A$3:$A$203,AM3:AM203)-LOOKUP('Données projet'!$E$10,$A$3:$A$203,$H$3:$H$203))</f>
        <v>273.35778700650792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336.25341821407534</v>
      </c>
      <c r="BJ3" s="60">
        <f>IF('Données projet'!E11&gt;30,$BH$33-$H$33,LOOKUP('Données projet'!$E$11,$A$3:$A$203,BH3:BH203)-LOOKUP('Données projet'!$E$11,$A$3:$A$203,$H$3:$H$203))</f>
        <v>360.3246221345039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438.41611139377829</v>
      </c>
      <c r="CE3" s="60">
        <f>IF('Données projet'!E12&gt;30,$CC$33-$H$33,LOOKUP('Données projet'!$E$12,$A$3:$A$203,CC3:CC203)-LOOKUP('Données projet'!$E$12,$A$3:$A$203,$H$3:$H$203))</f>
        <v>345.17417065809605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395.27840703467933</v>
      </c>
      <c r="CZ3" s="60">
        <f>IF('Données projet'!E13&gt;30,$CX$33-$H$33,LOOKUP('Données projet'!$E$13,$A$3:$A$203,CX3:CX203)-LOOKUP('Données projet'!$E$13,$A$3:$A$203,$H$3:$H$203))</f>
        <v>364.24192380053944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308.76306523144956</v>
      </c>
      <c r="DU3" s="60">
        <f>IF('Données projet'!E14&gt;30,$DS$33-$H$33,LOOKUP('Données projet'!$E$14,$A$3:$A$203,DS3:DS203)-LOOKUP('Données projet'!$E$14,$A$3:$A$203,$H$3:$H$203))</f>
        <v>283.28099819802776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375.49921531693559</v>
      </c>
      <c r="EP3" s="60">
        <f>IF('Données projet'!E15&gt;30,$EN$33-$H$33,LOOKUP('Données projet'!$E$15,$A$3:$A$203,EN3:EN203)-LOOKUP('Données projet'!$E$15,$A$3:$A$203,$H$3:$H$203))</f>
        <v>306.93934681565599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308.58270639204238</v>
      </c>
      <c r="FK3" s="60">
        <f>IF('Données projet'!E16&gt;30,$FI$33-$H$33,LOOKUP('Données projet'!$E$16,$A$3:$A$203,FI3:FI203)-LOOKUP('Données projet'!$E$16,$A$3:$A$203,$H$3:$H$203))</f>
        <v>258.90832875500325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165</v>
      </c>
      <c r="GE3" s="60">
        <f ca="1">AVERAGE(OFFSET($GD$3,0,0,'Données projet'!$E$17+1,1))-AVERAGE(OFFSET($H$3,0,0,'Données projet'!$E$17+1,1))</f>
        <v>495.77880062178235</v>
      </c>
      <c r="GF3" s="60">
        <f>IF('Données projet'!E17&gt;30,$GD$33-$H$33,LOOKUP('Données projet'!$E$17,$A$3:$A$203,GD3:GD203)-LOOKUP('Données projet'!$E$17,$A$3:$A$203,$H$3:$H$203))</f>
        <v>263.55891737750301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1.6</v>
      </c>
      <c r="N4" s="14">
        <f>IF('Données projet'!$A$36&gt;35,N3+M4-V3,IF(A4&lt;'Données projet'!$A$36,$K$205^A4,IF(A4='Données projet'!$A$36,'Données projet'!$B$36,N3+M4-V3)))</f>
        <v>1.189207115002721</v>
      </c>
      <c r="O4" s="14">
        <f>N4*VLOOKUP('Données projet'!$B$9,Paramètres!$A$1:$I$89,3,0)*VLOOKUP('Données projet'!$B$9,Paramètres!$A$1:$I$89,5,0)</f>
        <v>1.0203397046723348</v>
      </c>
      <c r="P4" s="14">
        <f>EXP(-1.0587+0.8836*LN(O4)+0.284)</f>
        <v>0.46911460970544039</v>
      </c>
      <c r="Q4" s="22">
        <f t="shared" ref="Q4:Q34" si="2">(O4+P4)*0.475*44/12</f>
        <v>2.594132930874625</v>
      </c>
      <c r="R4" s="60">
        <f t="shared" si="0"/>
        <v>170.40656688379846</v>
      </c>
      <c r="S4" s="60">
        <f ca="1">AVERAGE(OFFSET($R$3,0,0,'Données projet'!$E$9+1,1))-AVERAGE(OFFSET($H$3,0,0,'Données projet'!$E$9+1,1))</f>
        <v>598.73855311281966</v>
      </c>
      <c r="T4" s="60">
        <f>$T$3</f>
        <v>275.88160405468193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0">
        <f t="shared" ref="AM4:AM67" si="5">AL4+(AD4+AE4)*44/12</f>
        <v>170.89982938223079</v>
      </c>
      <c r="AN4" s="60">
        <f ca="1">AVERAGE(OFFSET($AM$3,0,0,'Données projet'!$E$10+1,1))-AVERAGE(OFFSET($H$3,0,0,'Données projet'!$E$10+1,1))</f>
        <v>515.72324585399997</v>
      </c>
      <c r="AO4" s="60">
        <f>$AO$3</f>
        <v>273.35778700650792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1.0128680717834275</v>
      </c>
      <c r="BF4" s="14">
        <f>EXP(-1.0587+0.8836*LN(BE4)+0.284)</f>
        <v>0.46607798613582108</v>
      </c>
      <c r="BG4" s="22">
        <f t="shared" ref="BG4:BG67" si="7">(BE4+BF4)*0.475*44/12</f>
        <v>2.5758310508760247</v>
      </c>
      <c r="BH4" s="60">
        <f t="shared" ref="BH4:BH67" si="8">BG4+(AY4+AZ4)*44/12</f>
        <v>170.38826500379986</v>
      </c>
      <c r="BI4" s="60">
        <f ca="1">AVERAGE(OFFSET($BH$3,0,0,'Données projet'!$E$11+1,1))-AVERAGE(OFFSET($H$3,0,0,'Données projet'!$E$11+1,1))</f>
        <v>336.25341821407534</v>
      </c>
      <c r="BJ4" s="60">
        <f>$BJ$3</f>
        <v>360.3246221345039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3.1623931623931623</v>
      </c>
      <c r="BY4" s="13">
        <f>IF('Données projet'!$A$114&gt;35,BY3+BX4-CG3,IF(A4&lt;'Données projet'!$A$114,$BV$205^A4,IF(A4='Données projet'!$A$114,'Données projet'!$B$114,BY3+BX4-CG3)))</f>
        <v>1.2934226882877784</v>
      </c>
      <c r="BZ4" s="14">
        <f>BY4*VLOOKUP('Données projet'!$B$12,Paramètres!$A$1:$I$89,3,0)*VLOOKUP('Données projet'!$B$12,Paramètres!$A$1:$I$89,5,0)</f>
        <v>1.2308210301746498</v>
      </c>
      <c r="CA4" s="14">
        <f>EXP(-1.0587+0.8836*LN(BZ4)+0.284)</f>
        <v>0.55366654932289705</v>
      </c>
      <c r="CB4" s="22">
        <f t="shared" ref="CB4:CB67" si="10">(BZ4+CA4)*0.475*44/12</f>
        <v>3.1079825342915606</v>
      </c>
      <c r="CC4" s="60">
        <f t="shared" ref="CC4:CC67" si="11">CB4+(BT4+BU4)*44/12</f>
        <v>170.92041648721539</v>
      </c>
      <c r="CD4" s="60">
        <f ca="1">AVERAGE(OFFSET($CC$3,0,0,'Données projet'!$E$12+1,1))-AVERAGE(OFFSET($H$3,0,0,'Données projet'!$E$12+1,1))</f>
        <v>438.41611139377829</v>
      </c>
      <c r="CE4" s="60">
        <f>$CE$3</f>
        <v>345.17417065809605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1.1099999999999999</v>
      </c>
      <c r="CT4" s="13">
        <f>IF('Données projet'!$A$140&gt;35,CT3+CS4-DB3,IF(A4&lt;'Données projet'!$A$140,$CQ$205^A4,IF(A4='Données projet'!$A$140,'Données projet'!$B$140,CT3+CS4-DB3)))</f>
        <v>1.2721323532877689</v>
      </c>
      <c r="CU4" s="18">
        <f>CT4*VLOOKUP('Données projet'!$B$13,Paramètres!$A$1:$I$89,3,0)*VLOOKUP('Données projet'!$B$13,Paramètres!$A$1:$I$89,5,0)</f>
        <v>1.0121085002757488</v>
      </c>
      <c r="CV4" s="14">
        <f>EXP(-1.0587+0.8836*LN(CU4)+0.284)</f>
        <v>0.46576913511432322</v>
      </c>
      <c r="CW4" s="22">
        <f t="shared" ref="CW4:CW67" si="13">(CU4+CV4)*0.475*44/12</f>
        <v>2.5739702149710419</v>
      </c>
      <c r="CX4" s="60">
        <f t="shared" ref="CX4:CX67" si="14">CW4+(CO4+CP4)*44/12</f>
        <v>170.38640416789488</v>
      </c>
      <c r="CY4" s="60">
        <f ca="1">AVERAGE(OFFSET($CX$3,0,0,'Données projet'!$E$13+1,1))-AVERAGE(OFFSET($H$3,0,0,'Données projet'!$E$13+1,1))</f>
        <v>395.27840703467933</v>
      </c>
      <c r="CZ4" s="60">
        <f>$CZ$3</f>
        <v>364.24192380053944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3.56</v>
      </c>
      <c r="DO4" s="13">
        <f>IF('Données projet'!$A$166&gt;35,DO3+DN4-DW3,IF(A4&lt;'Données projet'!$A$166,$DL$205^A4,IF(A4='Données projet'!$A$166,'Données projet'!$B$166,DO3+DN4-DW3)))</f>
        <v>1.1966732973638288</v>
      </c>
      <c r="DP4" s="18">
        <f>DO4*VLOOKUP('Données projet'!$B$14,Paramètres!$A$1:$I$89,3,0)*VLOOKUP('Données projet'!$B$14,Paramètres!$A$1:$I$89,5,0)</f>
        <v>0.93340517194378647</v>
      </c>
      <c r="DQ4" s="14">
        <f>EXP(-1.0587+0.8836*LN(DP4)+0.284)</f>
        <v>0.43361679609549247</v>
      </c>
      <c r="DR4" s="22">
        <f t="shared" ref="DR4:DR67" si="16">(DP4+DQ4)*0.475*44/12</f>
        <v>2.3808965943350775</v>
      </c>
      <c r="DS4" s="60">
        <f t="shared" ref="DS4:DS67" si="17">DR4+(DJ4+DK4)*44/12</f>
        <v>170.19333054725891</v>
      </c>
      <c r="DT4" s="60">
        <f ca="1">AVERAGE(OFFSET($DS$3,0,0,'Données projet'!$E$14+1,1))-AVERAGE(OFFSET($H$3,0,0,'Données projet'!$E$14+1,1))</f>
        <v>308.76306523144956</v>
      </c>
      <c r="DU4" s="60">
        <f>$DU$3</f>
        <v>283.28099819802776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2.7564102564102564</v>
      </c>
      <c r="EJ4" s="13">
        <f>IF('Données projet'!$A$192&gt;35,EJ3+EI4-ER3,IF(A4&lt;'Données projet'!$A$192,$EG$205^A4,IF(A4='Données projet'!$A$192,'Données projet'!$B$192,EJ3+EI4-ER3)))</f>
        <v>1.3932671119677325</v>
      </c>
      <c r="EK4" s="18">
        <f>EJ4*VLOOKUP('Données projet'!$B$15,Paramètres!$A$1:$I$89,3,0)*VLOOKUP('Données projet'!$B$15,Paramètres!$A$1:$I$89,5,0)</f>
        <v>0.93460357870795485</v>
      </c>
      <c r="EL4" s="14">
        <f>EXP(-1.0587+0.8836*LN(EK4)+0.284)</f>
        <v>0.43410868090907445</v>
      </c>
      <c r="EM4" s="22">
        <f t="shared" ref="EM4:EM67" si="19">(EK4+EL4)*0.475*44/12</f>
        <v>2.3838405188329927</v>
      </c>
      <c r="EN4" s="60">
        <f t="shared" ref="EN4:EN67" si="20">EM4+(EE4+EF4)*44/12</f>
        <v>170.19627447175682</v>
      </c>
      <c r="EO4" s="60">
        <f ca="1">AVERAGE(OFFSET($EN$3,0,0,'Données projet'!$E$15+1,1))-AVERAGE(OFFSET($H$3,0,0,'Données projet'!$E$15+1,1))</f>
        <v>375.49921531693559</v>
      </c>
      <c r="EP4" s="60">
        <f>$EP$3</f>
        <v>306.93934681565599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2.8</v>
      </c>
      <c r="FE4" s="13">
        <f>IF('Données projet'!$A$218&gt;35,FE3+FD4-FM3,IF(A4&lt;'Données projet'!$A$218,$FB$205^A4,IF(A4='Données projet'!$A$218,'Données projet'!$B$218,FE3+FD4-FM3)))</f>
        <v>1.282970348825361</v>
      </c>
      <c r="FF4" s="18">
        <f>FE4*VLOOKUP('Données projet'!$B$16,Paramètres!$A$1:$I$89,3,0)*VLOOKUP('Données projet'!$B$16,Paramètres!$A$1:$I$89,5,0)</f>
        <v>1.040745546967133</v>
      </c>
      <c r="FG4" s="14">
        <f>EXP(-1.0587+0.8836*LN(FF4)+0.284)</f>
        <v>0.47739483859767334</v>
      </c>
      <c r="FH4" s="22">
        <f t="shared" ref="FH4:FH67" si="22">(FF4+FG4)*0.475*44/12</f>
        <v>2.6440945048587046</v>
      </c>
      <c r="FI4" s="60">
        <f t="shared" ref="FI4:FI67" si="23">FH4+(EZ4+FA4)*44/12</f>
        <v>170.45652845778255</v>
      </c>
      <c r="FJ4" s="60">
        <f ca="1">AVERAGE(OFFSET($FI$3,0,0,'Données projet'!$E$16+1,1))-AVERAGE(OFFSET($H$3,0,0,'Données projet'!$E$16+1,1))</f>
        <v>308.58270639204238</v>
      </c>
      <c r="FK4" s="60">
        <f>$FK$3</f>
        <v>258.90832875500325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2.1</v>
      </c>
      <c r="FZ4" s="13">
        <f>IF('Données projet'!$A$244&gt;35,FZ3+FY4-GH3,IF(A4&lt;'Données projet'!$A$244,$FW$205^A4,IF(A4='Données projet'!$A$244,'Données projet'!$B$244,FZ3+FY4-GH3)))</f>
        <v>1.2054868146447177</v>
      </c>
      <c r="GA4" s="18">
        <f>FZ4*VLOOKUP('Données projet'!$B$17,Paramètres!$A$1:$I$89,3,0)*VLOOKUP('Données projet'!$B$17,Paramètres!$A$1:$I$89,5,0)</f>
        <v>1.165946847124371</v>
      </c>
      <c r="GB4" s="14">
        <f>EXP(-1.0587+0.8836*LN(GA4)+0.284)</f>
        <v>0.52780002987456354</v>
      </c>
      <c r="GC4" s="22">
        <f t="shared" ref="GC4:GC67" si="25">(GA4+GB4)*0.475*44/12</f>
        <v>2.9499424774398109</v>
      </c>
      <c r="GD4" s="60">
        <f t="shared" ref="GD4:GD67" si="26">GC4+(FU4+FV4)*44/12</f>
        <v>170.76237643036364</v>
      </c>
      <c r="GE4" s="60">
        <f ca="1">AVERAGE(OFFSET($GD$3,0,0,'Données projet'!$E$17+1,1))-AVERAGE(OFFSET($H$3,0,0,'Données projet'!$E$17+1,1))</f>
        <v>495.77880062178235</v>
      </c>
      <c r="GF4" s="60">
        <f>$GF$3</f>
        <v>263.55891737750301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1.6</v>
      </c>
      <c r="N5" s="14">
        <f>IF('Données projet'!$A$36&gt;35,N4+M5-V4,IF(A5&lt;'Données projet'!$A$36,$K$205^A5,IF(A5='Données projet'!$A$36,'Données projet'!$B$36,N4+M5-V4)))</f>
        <v>1.4142135623730949</v>
      </c>
      <c r="O5" s="14">
        <f>N5*VLOOKUP('Données projet'!$B$9,Paramètres!$A$1:$I$89,3,0)*VLOOKUP('Données projet'!$B$9,Paramètres!$A$1:$I$89,5,0)</f>
        <v>1.2133952365161156</v>
      </c>
      <c r="P5" s="14">
        <f t="shared" ref="P5:P68" si="33">EXP(-1.0587+0.8836*LN(O5)+0.284)</f>
        <v>0.54673450619692521</v>
      </c>
      <c r="Q5" s="22">
        <f t="shared" si="2"/>
        <v>3.0655593018918794</v>
      </c>
      <c r="R5" s="60">
        <f t="shared" si="0"/>
        <v>173.66284058939272</v>
      </c>
      <c r="S5" s="60">
        <f ca="1">AVERAGE(OFFSET($R$3,0,0,'Données projet'!$E$9+1,1))-AVERAGE(OFFSET($H$3,0,0,'Données projet'!$E$9+1,1))</f>
        <v>598.73855311281966</v>
      </c>
      <c r="T5" s="60">
        <f t="shared" ref="T5:T68" si="34">$T$3</f>
        <v>275.88160405468193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0">
        <f t="shared" si="5"/>
        <v>174.29423362025418</v>
      </c>
      <c r="AN5" s="60">
        <f ca="1">AVERAGE(OFFSET($AM$3,0,0,'Données projet'!$E$10+1,1))-AVERAGE(OFFSET($H$3,0,0,'Données projet'!$E$10+1,1))</f>
        <v>515.72324585399997</v>
      </c>
      <c r="AO5" s="60">
        <f t="shared" ref="AO5:AO68" si="36">$AO$3</f>
        <v>273.35778700650792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1.2894692443920039</v>
      </c>
      <c r="BF5" s="14">
        <f t="shared" ref="BF5:BF68" si="37">EXP(-1.0587+0.8836*LN(BE5)+0.284)</f>
        <v>0.57691418040252707</v>
      </c>
      <c r="BG5" s="22">
        <f t="shared" si="7"/>
        <v>3.2506177981838085</v>
      </c>
      <c r="BH5" s="60">
        <f t="shared" si="8"/>
        <v>173.84789908568465</v>
      </c>
      <c r="BI5" s="60">
        <f ca="1">AVERAGE(OFFSET($BH$3,0,0,'Données projet'!$E$11+1,1))-AVERAGE(OFFSET($H$3,0,0,'Données projet'!$E$11+1,1))</f>
        <v>336.25341821407534</v>
      </c>
      <c r="BJ5" s="60">
        <f t="shared" ref="BJ5:BJ68" si="38">$BJ$3</f>
        <v>360.3246221345039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3.1623931623931623</v>
      </c>
      <c r="BY5" s="13">
        <f>IF('Données projet'!$A$114&gt;35,BY4+BX5-CG4,IF(A5&lt;'Données projet'!$A$114,$BV$205^A5,IF(A5='Données projet'!$A$114,'Données projet'!$B$114,BY4+BX5-CG4)))</f>
        <v>1.6729422505775835</v>
      </c>
      <c r="BZ5" s="14">
        <f>BY5*VLOOKUP('Données projet'!$B$12,Paramètres!$A$1:$I$89,3,0)*VLOOKUP('Données projet'!$B$12,Paramètres!$A$1:$I$89,5,0)</f>
        <v>1.5919718456496286</v>
      </c>
      <c r="CA5" s="14">
        <f t="shared" ref="CA5:CA68" si="39">EXP(-1.0587+0.8836*LN(BZ5)+0.284)</f>
        <v>0.69499578258152339</v>
      </c>
      <c r="CB5" s="22">
        <f t="shared" si="10"/>
        <v>3.9831352858359232</v>
      </c>
      <c r="CC5" s="60">
        <f t="shared" si="11"/>
        <v>174.58041657333675</v>
      </c>
      <c r="CD5" s="60">
        <f ca="1">AVERAGE(OFFSET($CC$3,0,0,'Données projet'!$E$12+1,1))-AVERAGE(OFFSET($H$3,0,0,'Données projet'!$E$12+1,1))</f>
        <v>438.41611139377829</v>
      </c>
      <c r="CE5" s="60">
        <f t="shared" ref="CE5:CE68" si="40">$CE$3</f>
        <v>345.17417065809605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1.1099999999999999</v>
      </c>
      <c r="CT5" s="13">
        <f>IF('Données projet'!$A$140&gt;35,CT4+CS5-DB4,IF(A5&lt;'Données projet'!$A$140,$CQ$205^A5,IF(A5='Données projet'!$A$140,'Données projet'!$B$140,CT4+CS5-DB4)))</f>
        <v>1.6183207242814768</v>
      </c>
      <c r="CU5" s="18">
        <f>CT5*VLOOKUP('Données projet'!$B$13,Paramètres!$A$1:$I$89,3,0)*VLOOKUP('Données projet'!$B$13,Paramètres!$A$1:$I$89,5,0)</f>
        <v>1.2875359682383429</v>
      </c>
      <c r="CV5" s="14">
        <f t="shared" ref="CV5:CV68" si="41">EXP(-1.0587+0.8836*LN(CU5)+0.284)</f>
        <v>0.57614983837086087</v>
      </c>
      <c r="CW5" s="22">
        <f t="shared" si="13"/>
        <v>3.2459194465110297</v>
      </c>
      <c r="CX5" s="60">
        <f t="shared" si="14"/>
        <v>173.84320073401187</v>
      </c>
      <c r="CY5" s="60">
        <f ca="1">AVERAGE(OFFSET($CX$3,0,0,'Données projet'!$E$13+1,1))-AVERAGE(OFFSET($H$3,0,0,'Données projet'!$E$13+1,1))</f>
        <v>395.27840703467933</v>
      </c>
      <c r="CZ5" s="60">
        <f t="shared" ref="CZ5:CZ68" si="42">$CZ$3</f>
        <v>364.24192380053944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3.56</v>
      </c>
      <c r="DO5" s="13">
        <f>IF('Données projet'!$A$166&gt;35,DO4+DN5-DW4,IF(A5&lt;'Données projet'!$A$166,$DL$205^A5,IF(A5='Données projet'!$A$166,'Données projet'!$B$166,DO4+DN5-DW4)))</f>
        <v>1.4320269806236186</v>
      </c>
      <c r="DP5" s="18">
        <f>DO5*VLOOKUP('Données projet'!$B$14,Paramètres!$A$1:$I$89,3,0)*VLOOKUP('Données projet'!$B$14,Paramètres!$A$1:$I$89,5,0)</f>
        <v>1.1169810448864226</v>
      </c>
      <c r="DQ5" s="14">
        <f t="shared" ref="DQ5:DQ68" si="43">EXP(-1.0587+0.8836*LN(DP5)+0.284)</f>
        <v>0.50816568684575236</v>
      </c>
      <c r="DR5" s="22">
        <f t="shared" si="16"/>
        <v>2.8304638911002047</v>
      </c>
      <c r="DS5" s="60">
        <f t="shared" si="17"/>
        <v>173.42774517860104</v>
      </c>
      <c r="DT5" s="60">
        <f ca="1">AVERAGE(OFFSET($DS$3,0,0,'Données projet'!$E$14+1,1))-AVERAGE(OFFSET($H$3,0,0,'Données projet'!$E$14+1,1))</f>
        <v>308.76306523144956</v>
      </c>
      <c r="DU5" s="60">
        <f t="shared" ref="DU5:DU68" si="44">$DU$3</f>
        <v>283.28099819802776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2.7564102564102564</v>
      </c>
      <c r="EJ5" s="13">
        <f>IF('Données projet'!$A$192&gt;35,EJ4+EI5-ER4,IF(A5&lt;'Données projet'!$A$192,$EG$205^A5,IF(A5='Données projet'!$A$192,'Données projet'!$B$192,EJ4+EI5-ER4)))</f>
        <v>1.941193245290906</v>
      </c>
      <c r="EK5" s="18">
        <f>EJ5*VLOOKUP('Données projet'!$B$15,Paramètres!$A$1:$I$89,3,0)*VLOOKUP('Données projet'!$B$15,Paramètres!$A$1:$I$89,5,0)</f>
        <v>1.3021524289411397</v>
      </c>
      <c r="EL5" s="14">
        <f t="shared" ref="EL5:EL68" si="45">EXP(-1.0587+0.8836*LN(EK5)+0.284)</f>
        <v>0.58192531959354554</v>
      </c>
      <c r="EM5" s="22">
        <f t="shared" si="19"/>
        <v>3.2814354120312434</v>
      </c>
      <c r="EN5" s="60">
        <f t="shared" si="20"/>
        <v>173.87871669953208</v>
      </c>
      <c r="EO5" s="60">
        <f ca="1">AVERAGE(OFFSET($EN$3,0,0,'Données projet'!$E$15+1,1))-AVERAGE(OFFSET($H$3,0,0,'Données projet'!$E$15+1,1))</f>
        <v>375.49921531693559</v>
      </c>
      <c r="EP5" s="60">
        <f t="shared" ref="EP5:EP68" si="46">$EP$3</f>
        <v>306.93934681565599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2.8</v>
      </c>
      <c r="FE5" s="13">
        <f>IF('Données projet'!$A$218&gt;35,FE4+FD5-FM4,IF(A5&lt;'Données projet'!$A$218,$FB$205^A5,IF(A5='Données projet'!$A$218,'Données projet'!$B$218,FE4+FD5-FM4)))</f>
        <v>1.6460129159650685</v>
      </c>
      <c r="FF5" s="18">
        <f>FE5*VLOOKUP('Données projet'!$B$16,Paramètres!$A$1:$I$89,3,0)*VLOOKUP('Données projet'!$B$16,Paramètres!$A$1:$I$89,5,0)</f>
        <v>1.3352456774308636</v>
      </c>
      <c r="FG5" s="14">
        <f t="shared" ref="FG5:FG68" si="47">EXP(-1.0587+0.8836*LN(FF5)+0.284)</f>
        <v>0.59497391287501122</v>
      </c>
      <c r="FH5" s="22">
        <f t="shared" si="22"/>
        <v>3.3617991197827322</v>
      </c>
      <c r="FI5" s="60">
        <f t="shared" si="23"/>
        <v>173.95908040728358</v>
      </c>
      <c r="FJ5" s="60">
        <f ca="1">AVERAGE(OFFSET($FI$3,0,0,'Données projet'!$E$16+1,1))-AVERAGE(OFFSET($H$3,0,0,'Données projet'!$E$16+1,1))</f>
        <v>308.58270639204238</v>
      </c>
      <c r="FK5" s="60">
        <f t="shared" ref="FK5:FK68" si="48">$FK$3</f>
        <v>258.90832875500325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2.1</v>
      </c>
      <c r="FZ5" s="13">
        <f>IF('Données projet'!$A$244&gt;35,FZ4+FY5-GH4,IF(A5&lt;'Données projet'!$A$244,$FW$205^A5,IF(A5='Données projet'!$A$244,'Données projet'!$B$244,FZ4+FY5-GH4)))</f>
        <v>1.4531984602822681</v>
      </c>
      <c r="GA5" s="18">
        <f>FZ5*VLOOKUP('Données projet'!$B$17,Paramètres!$A$1:$I$89,3,0)*VLOOKUP('Données projet'!$B$17,Paramètres!$A$1:$I$89,5,0)</f>
        <v>1.4055335507850097</v>
      </c>
      <c r="GB5" s="14">
        <f t="shared" ref="GB5:GB68" si="49">EXP(-1.0587+0.8836*LN(GA5)+0.284)</f>
        <v>0.62256480317525631</v>
      </c>
      <c r="GC5" s="22">
        <f t="shared" si="25"/>
        <v>3.5322712998141292</v>
      </c>
      <c r="GD5" s="60">
        <f t="shared" si="26"/>
        <v>174.12955258731498</v>
      </c>
      <c r="GE5" s="60">
        <f ca="1">AVERAGE(OFFSET($GD$3,0,0,'Données projet'!$E$17+1,1))-AVERAGE(OFFSET($H$3,0,0,'Données projet'!$E$17+1,1))</f>
        <v>495.77880062178235</v>
      </c>
      <c r="GF5" s="60">
        <f t="shared" ref="GF5:GF68" si="50">$GF$3</f>
        <v>263.55891737750301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1.6</v>
      </c>
      <c r="N6" s="14">
        <f>IF('Données projet'!$A$36&gt;35,N5+M6-V5,IF(A6&lt;'Données projet'!$A$36,$K$205^A6,IF(A6='Données projet'!$A$36,'Données projet'!$B$36,N5+M6-V5)))</f>
        <v>1.6817928305074288</v>
      </c>
      <c r="O6" s="14">
        <f>N6*VLOOKUP('Données projet'!$B$9,Paramètres!$A$1:$I$89,3,0)*VLOOKUP('Données projet'!$B$9,Paramètres!$A$1:$I$89,5,0)</f>
        <v>1.4429782485753739</v>
      </c>
      <c r="P6" s="14">
        <f t="shared" si="33"/>
        <v>0.6371974227238163</v>
      </c>
      <c r="Q6" s="22">
        <f t="shared" si="2"/>
        <v>3.6229726275127558</v>
      </c>
      <c r="R6" s="60">
        <f t="shared" si="0"/>
        <v>176.97799319739764</v>
      </c>
      <c r="S6" s="60">
        <f ca="1">AVERAGE(OFFSET($R$3,0,0,'Données projet'!$E$9+1,1))-AVERAGE(OFFSET($H$3,0,0,'Données projet'!$E$9+1,1))</f>
        <v>598.73855311281966</v>
      </c>
      <c r="T6" s="60">
        <f t="shared" si="34"/>
        <v>275.88160405468193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0">
        <f t="shared" si="5"/>
        <v>177.78232179480699</v>
      </c>
      <c r="AN6" s="60">
        <f ca="1">AVERAGE(OFFSET($AM$3,0,0,'Données projet'!$E$10+1,1))-AVERAGE(OFFSET($H$3,0,0,'Données projet'!$E$10+1,1))</f>
        <v>515.72324585399997</v>
      </c>
      <c r="AO6" s="60">
        <f t="shared" si="36"/>
        <v>273.35778700650792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1.6416066204014104</v>
      </c>
      <c r="BF6" s="14">
        <f t="shared" si="37"/>
        <v>0.71410789921437878</v>
      </c>
      <c r="BG6" s="22">
        <f t="shared" si="7"/>
        <v>4.1028694549974993</v>
      </c>
      <c r="BH6" s="60">
        <f t="shared" si="8"/>
        <v>177.45789002488237</v>
      </c>
      <c r="BI6" s="60">
        <f ca="1">AVERAGE(OFFSET($BH$3,0,0,'Données projet'!$E$11+1,1))-AVERAGE(OFFSET($H$3,0,0,'Données projet'!$E$11+1,1))</f>
        <v>336.25341821407534</v>
      </c>
      <c r="BJ6" s="60">
        <f t="shared" si="38"/>
        <v>360.3246221345039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3.1623931623931623</v>
      </c>
      <c r="BY6" s="13">
        <f>IF('Données projet'!$A$114&gt;35,BY5+BX6-CG5,IF(A6&lt;'Données projet'!$A$114,$BV$205^A6,IF(A6='Données projet'!$A$114,'Données projet'!$B$114,BY5+BX6-CG5)))</f>
        <v>2.1638214630922641</v>
      </c>
      <c r="BZ6" s="14">
        <f>BY6*VLOOKUP('Données projet'!$B$12,Paramètres!$A$1:$I$89,3,0)*VLOOKUP('Données projet'!$B$12,Paramètres!$A$1:$I$89,5,0)</f>
        <v>2.0590925042785986</v>
      </c>
      <c r="CA6" s="14">
        <f t="shared" si="39"/>
        <v>0.87240079502149648</v>
      </c>
      <c r="CB6" s="22">
        <f t="shared" si="10"/>
        <v>5.1056841629476652</v>
      </c>
      <c r="CC6" s="60">
        <f t="shared" si="11"/>
        <v>178.46070473283254</v>
      </c>
      <c r="CD6" s="60">
        <f ca="1">AVERAGE(OFFSET($CC$3,0,0,'Données projet'!$E$12+1,1))-AVERAGE(OFFSET($H$3,0,0,'Données projet'!$E$12+1,1))</f>
        <v>438.41611139377829</v>
      </c>
      <c r="CE6" s="60">
        <f t="shared" si="40"/>
        <v>345.17417065809605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1.1099999999999999</v>
      </c>
      <c r="CT6" s="13">
        <f>IF('Données projet'!$A$140&gt;35,CT5+CS6-DB5,IF(A6&lt;'Données projet'!$A$140,$CQ$205^A6,IF(A6='Données projet'!$A$140,'Données projet'!$B$140,CT5+CS6-DB5)))</f>
        <v>2.0587181513545616</v>
      </c>
      <c r="CU6" s="18">
        <f>CT6*VLOOKUP('Données projet'!$B$13,Paramètres!$A$1:$I$89,3,0)*VLOOKUP('Données projet'!$B$13,Paramètres!$A$1:$I$89,5,0)</f>
        <v>1.6379161612176893</v>
      </c>
      <c r="CV6" s="14">
        <f t="shared" si="41"/>
        <v>0.71268920851376738</v>
      </c>
      <c r="CW6" s="22">
        <f t="shared" si="13"/>
        <v>4.0939710189489533</v>
      </c>
      <c r="CX6" s="60">
        <f t="shared" si="14"/>
        <v>177.44899158883385</v>
      </c>
      <c r="CY6" s="60">
        <f ca="1">AVERAGE(OFFSET($CX$3,0,0,'Données projet'!$E$13+1,1))-AVERAGE(OFFSET($H$3,0,0,'Données projet'!$E$13+1,1))</f>
        <v>395.27840703467933</v>
      </c>
      <c r="CZ6" s="60">
        <f t="shared" si="42"/>
        <v>364.24192380053944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3.56</v>
      </c>
      <c r="DO6" s="13">
        <f>IF('Données projet'!$A$166&gt;35,DO5+DN6-DW5,IF(A6&lt;'Données projet'!$A$166,$DL$205^A6,IF(A6='Données projet'!$A$166,'Données projet'!$B$166,DO5+DN6-DW5)))</f>
        <v>1.7136684488168334</v>
      </c>
      <c r="DP6" s="18">
        <f>DO6*VLOOKUP('Données projet'!$B$14,Paramètres!$A$1:$I$89,3,0)*VLOOKUP('Données projet'!$B$14,Paramètres!$A$1:$I$89,5,0)</f>
        <v>1.33666139007713</v>
      </c>
      <c r="DQ6" s="14">
        <f t="shared" si="43"/>
        <v>0.59553127926010163</v>
      </c>
      <c r="DR6" s="22">
        <f t="shared" si="16"/>
        <v>3.3652355657623452</v>
      </c>
      <c r="DS6" s="60">
        <f t="shared" si="17"/>
        <v>176.72025613564722</v>
      </c>
      <c r="DT6" s="60">
        <f ca="1">AVERAGE(OFFSET($DS$3,0,0,'Données projet'!$E$14+1,1))-AVERAGE(OFFSET($H$3,0,0,'Données projet'!$E$14+1,1))</f>
        <v>308.76306523144956</v>
      </c>
      <c r="DU6" s="60">
        <f t="shared" si="44"/>
        <v>283.28099819802776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2.7564102564102564</v>
      </c>
      <c r="EJ6" s="13">
        <f>IF('Données projet'!$A$192&gt;35,EJ5+EI6-ER5,IF(A6&lt;'Données projet'!$A$192,$EG$205^A6,IF(A6='Données projet'!$A$192,'Données projet'!$B$192,EJ5+EI6-ER5)))</f>
        <v>2.7046007066377307</v>
      </c>
      <c r="EK6" s="18">
        <f>EJ6*VLOOKUP('Données projet'!$B$15,Paramètres!$A$1:$I$89,3,0)*VLOOKUP('Données projet'!$B$15,Paramètres!$A$1:$I$89,5,0)</f>
        <v>1.8142461540125896</v>
      </c>
      <c r="EL6" s="14">
        <f t="shared" si="45"/>
        <v>0.7800744202463411</v>
      </c>
      <c r="EM6" s="22">
        <f t="shared" si="19"/>
        <v>4.5184416668343035</v>
      </c>
      <c r="EN6" s="60">
        <f t="shared" si="20"/>
        <v>177.87346223671918</v>
      </c>
      <c r="EO6" s="60">
        <f ca="1">AVERAGE(OFFSET($EN$3,0,0,'Données projet'!$E$15+1,1))-AVERAGE(OFFSET($H$3,0,0,'Données projet'!$E$15+1,1))</f>
        <v>375.49921531693559</v>
      </c>
      <c r="EP6" s="60">
        <f t="shared" si="46"/>
        <v>306.93934681565599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2.8</v>
      </c>
      <c r="FE6" s="13">
        <f>IF('Données projet'!$A$218&gt;35,FE5+FD6-FM5,IF(A6&lt;'Données projet'!$A$218,$FB$205^A6,IF(A6='Données projet'!$A$218,'Données projet'!$B$218,FE5+FD6-FM5)))</f>
        <v>2.1117857649667533</v>
      </c>
      <c r="FF6" s="18">
        <f>FE6*VLOOKUP('Données projet'!$B$16,Paramètres!$A$1:$I$89,3,0)*VLOOKUP('Données projet'!$B$16,Paramètres!$A$1:$I$89,5,0)</f>
        <v>1.7130806125410305</v>
      </c>
      <c r="FG6" s="14">
        <f t="shared" si="47"/>
        <v>0.74151190666753608</v>
      </c>
      <c r="FH6" s="22">
        <f t="shared" si="22"/>
        <v>4.2750819709549202</v>
      </c>
      <c r="FI6" s="60">
        <f t="shared" si="23"/>
        <v>177.6301025408398</v>
      </c>
      <c r="FJ6" s="60">
        <f ca="1">AVERAGE(OFFSET($FI$3,0,0,'Données projet'!$E$16+1,1))-AVERAGE(OFFSET($H$3,0,0,'Données projet'!$E$16+1,1))</f>
        <v>308.58270639204238</v>
      </c>
      <c r="FK6" s="60">
        <f t="shared" si="48"/>
        <v>258.90832875500325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2.1</v>
      </c>
      <c r="FZ6" s="13">
        <f>IF('Données projet'!$A$244&gt;35,FZ5+FY6-GH5,IF(A6&lt;'Données projet'!$A$244,$FW$205^A6,IF(A6='Données projet'!$A$244,'Données projet'!$B$244,FZ5+FY6-GH5)))</f>
        <v>1.7518115829322798</v>
      </c>
      <c r="GA6" s="18">
        <f>FZ6*VLOOKUP('Données projet'!$B$17,Paramètres!$A$1:$I$89,3,0)*VLOOKUP('Données projet'!$B$17,Paramètres!$A$1:$I$89,5,0)</f>
        <v>1.694352163012101</v>
      </c>
      <c r="GB6" s="14">
        <f t="shared" si="49"/>
        <v>0.73434428233124405</v>
      </c>
      <c r="GC6" s="22">
        <f t="shared" si="25"/>
        <v>4.2299796423063247</v>
      </c>
      <c r="GD6" s="60">
        <f t="shared" si="26"/>
        <v>177.5850002121912</v>
      </c>
      <c r="GE6" s="60">
        <f ca="1">AVERAGE(OFFSET($GD$3,0,0,'Données projet'!$E$17+1,1))-AVERAGE(OFFSET($H$3,0,0,'Données projet'!$E$17+1,1))</f>
        <v>495.77880062178235</v>
      </c>
      <c r="GF6" s="60">
        <f t="shared" si="50"/>
        <v>263.55891737750301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1.6</v>
      </c>
      <c r="N7" s="14">
        <f>IF('Données projet'!$A$36&gt;35,N6+M7-V6,IF(A7&lt;'Données projet'!$A$36,$K$205^A7,IF(A7='Données projet'!$A$36,'Données projet'!$B$36,N6+M7-V6)))</f>
        <v>1.9999999999999996</v>
      </c>
      <c r="O7" s="14">
        <f>N7*VLOOKUP('Données projet'!$B$9,Paramètres!$A$1:$I$89,3,0)*VLOOKUP('Données projet'!$B$9,Paramètres!$A$1:$I$89,5,0)</f>
        <v>1.7159999999999997</v>
      </c>
      <c r="P7" s="14">
        <f t="shared" si="33"/>
        <v>0.74262837066960552</v>
      </c>
      <c r="Q7" s="22">
        <f t="shared" si="2"/>
        <v>4.2821110789162296</v>
      </c>
      <c r="R7" s="60">
        <f t="shared" si="0"/>
        <v>180.36823314309316</v>
      </c>
      <c r="S7" s="60">
        <f ca="1">AVERAGE(OFFSET($R$3,0,0,'Données projet'!$E$9+1,1))-AVERAGE(OFFSET($H$3,0,0,'Données projet'!$E$9+1,1))</f>
        <v>598.73855311281966</v>
      </c>
      <c r="T7" s="60">
        <f t="shared" si="34"/>
        <v>275.88160405468193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0">
        <f t="shared" si="5"/>
        <v>181.3885838491268</v>
      </c>
      <c r="AN7" s="60">
        <f ca="1">AVERAGE(OFFSET($AM$3,0,0,'Données projet'!$E$10+1,1))-AVERAGE(OFFSET($H$3,0,0,'Données projet'!$E$10+1,1))</f>
        <v>515.72324585399997</v>
      </c>
      <c r="AO7" s="60">
        <f t="shared" si="36"/>
        <v>273.35778700650792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2.0899081601720533</v>
      </c>
      <c r="BF7" s="14">
        <f t="shared" si="37"/>
        <v>0.88392712303339283</v>
      </c>
      <c r="BG7" s="22">
        <f t="shared" si="7"/>
        <v>5.1794297849161515</v>
      </c>
      <c r="BH7" s="60">
        <f t="shared" si="8"/>
        <v>181.2655518490931</v>
      </c>
      <c r="BI7" s="60">
        <f ca="1">AVERAGE(OFFSET($BH$3,0,0,'Données projet'!$E$11+1,1))-AVERAGE(OFFSET($H$3,0,0,'Données projet'!$E$11+1,1))</f>
        <v>336.25341821407534</v>
      </c>
      <c r="BJ7" s="60">
        <f t="shared" si="38"/>
        <v>360.3246221345039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3.1623931623931623</v>
      </c>
      <c r="BY7" s="13">
        <f>IF('Données projet'!$A$114&gt;35,BY6+BX7-CG6,IF(A7&lt;'Données projet'!$A$114,$BV$205^A7,IF(A7='Données projet'!$A$114,'Données projet'!$B$114,BY6+BX7-CG6)))</f>
        <v>2.7987357737675902</v>
      </c>
      <c r="BZ7" s="14">
        <f>BY7*VLOOKUP('Données projet'!$B$12,Paramètres!$A$1:$I$89,3,0)*VLOOKUP('Données projet'!$B$12,Paramètres!$A$1:$I$89,5,0)</f>
        <v>2.6632769623172385</v>
      </c>
      <c r="CA7" s="14">
        <f t="shared" si="39"/>
        <v>1.0950903102276937</v>
      </c>
      <c r="CB7" s="22">
        <f t="shared" si="10"/>
        <v>6.5458229996824224</v>
      </c>
      <c r="CC7" s="60">
        <f t="shared" si="11"/>
        <v>182.63194506385938</v>
      </c>
      <c r="CD7" s="60">
        <f ca="1">AVERAGE(OFFSET($CC$3,0,0,'Données projet'!$E$12+1,1))-AVERAGE(OFFSET($H$3,0,0,'Données projet'!$E$12+1,1))</f>
        <v>438.41611139377829</v>
      </c>
      <c r="CE7" s="60">
        <f t="shared" si="40"/>
        <v>345.17417065809605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1.1099999999999999</v>
      </c>
      <c r="CT7" s="13">
        <f>IF('Données projet'!$A$140&gt;35,CT6+CS7-DB6,IF(A7&lt;'Données projet'!$A$140,$CQ$205^A7,IF(A7='Données projet'!$A$140,'Données projet'!$B$140,CT6+CS7-DB6)))</f>
        <v>2.6189619666389237</v>
      </c>
      <c r="CU7" s="18">
        <f>CT7*VLOOKUP('Données projet'!$B$13,Paramètres!$A$1:$I$89,3,0)*VLOOKUP('Données projet'!$B$13,Paramètres!$A$1:$I$89,5,0)</f>
        <v>2.0836461406579279</v>
      </c>
      <c r="CV7" s="14">
        <f t="shared" si="41"/>
        <v>0.88158647994800687</v>
      </c>
      <c r="CW7" s="22">
        <f t="shared" si="13"/>
        <v>5.1644468142220035</v>
      </c>
      <c r="CX7" s="60">
        <f t="shared" si="14"/>
        <v>181.25056887839895</v>
      </c>
      <c r="CY7" s="60">
        <f ca="1">AVERAGE(OFFSET($CX$3,0,0,'Données projet'!$E$13+1,1))-AVERAGE(OFFSET($H$3,0,0,'Données projet'!$E$13+1,1))</f>
        <v>395.27840703467933</v>
      </c>
      <c r="CZ7" s="60">
        <f t="shared" si="42"/>
        <v>364.24192380053944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3.56</v>
      </c>
      <c r="DO7" s="13">
        <f>IF('Données projet'!$A$166&gt;35,DO6+DN7-DW6,IF(A7&lt;'Données projet'!$A$166,$DL$205^A7,IF(A7='Données projet'!$A$166,'Données projet'!$B$166,DO6+DN7-DW6)))</f>
        <v>2.0507012732339978</v>
      </c>
      <c r="DP7" s="18">
        <f>DO7*VLOOKUP('Données projet'!$B$14,Paramètres!$A$1:$I$89,3,0)*VLOOKUP('Données projet'!$B$14,Paramètres!$A$1:$I$89,5,0)</f>
        <v>1.5995469931225184</v>
      </c>
      <c r="DQ7" s="14">
        <f t="shared" si="43"/>
        <v>0.69791706476400706</v>
      </c>
      <c r="DR7" s="22">
        <f t="shared" si="16"/>
        <v>4.0014165674856983</v>
      </c>
      <c r="DS7" s="60">
        <f t="shared" si="17"/>
        <v>180.08753863166265</v>
      </c>
      <c r="DT7" s="60">
        <f ca="1">AVERAGE(OFFSET($DS$3,0,0,'Données projet'!$E$14+1,1))-AVERAGE(OFFSET($H$3,0,0,'Données projet'!$E$14+1,1))</f>
        <v>308.76306523144956</v>
      </c>
      <c r="DU7" s="60">
        <f t="shared" si="44"/>
        <v>283.28099819802776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2.7564102564102564</v>
      </c>
      <c r="EJ7" s="13">
        <f>IF('Données projet'!$A$192&gt;35,EJ6+EI7-ER6,IF(A7&lt;'Données projet'!$A$192,$EG$205^A7,IF(A7='Données projet'!$A$192,'Données projet'!$B$192,EJ6+EI7-ER6)))</f>
        <v>3.7682312155630395</v>
      </c>
      <c r="EK7" s="18">
        <f>EJ7*VLOOKUP('Données projet'!$B$15,Paramètres!$A$1:$I$89,3,0)*VLOOKUP('Données projet'!$B$15,Paramètres!$A$1:$I$89,5,0)</f>
        <v>2.5277294993996873</v>
      </c>
      <c r="EL7" s="14">
        <f t="shared" si="45"/>
        <v>1.0456944914300901</v>
      </c>
      <c r="EM7" s="22">
        <f t="shared" si="19"/>
        <v>6.2237134506951959</v>
      </c>
      <c r="EN7" s="60">
        <f t="shared" si="20"/>
        <v>182.30983551487213</v>
      </c>
      <c r="EO7" s="60">
        <f ca="1">AVERAGE(OFFSET($EN$3,0,0,'Données projet'!$E$15+1,1))-AVERAGE(OFFSET($H$3,0,0,'Données projet'!$E$15+1,1))</f>
        <v>375.49921531693559</v>
      </c>
      <c r="EP7" s="60">
        <f t="shared" si="46"/>
        <v>306.93934681565599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2.8</v>
      </c>
      <c r="FE7" s="13">
        <f>IF('Données projet'!$A$218&gt;35,FE6+FD7-FM6,IF(A7&lt;'Données projet'!$A$218,$FB$205^A7,IF(A7='Données projet'!$A$218,'Données projet'!$B$218,FE6+FD7-FM6)))</f>
        <v>2.7093585195238274</v>
      </c>
      <c r="FF7" s="18">
        <f>FE7*VLOOKUP('Données projet'!$B$16,Paramètres!$A$1:$I$89,3,0)*VLOOKUP('Données projet'!$B$16,Paramètres!$A$1:$I$89,5,0)</f>
        <v>2.197831631037729</v>
      </c>
      <c r="FG7" s="14">
        <f t="shared" si="47"/>
        <v>0.92414120322151361</v>
      </c>
      <c r="FH7" s="22">
        <f t="shared" si="22"/>
        <v>5.4374360196681799</v>
      </c>
      <c r="FI7" s="60">
        <f t="shared" si="23"/>
        <v>181.52355808384513</v>
      </c>
      <c r="FJ7" s="60">
        <f ca="1">AVERAGE(OFFSET($FI$3,0,0,'Données projet'!$E$16+1,1))-AVERAGE(OFFSET($H$3,0,0,'Données projet'!$E$16+1,1))</f>
        <v>308.58270639204238</v>
      </c>
      <c r="FK7" s="60">
        <f t="shared" si="48"/>
        <v>258.90832875500325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2.1</v>
      </c>
      <c r="FZ7" s="13">
        <f>IF('Données projet'!$A$244&gt;35,FZ6+FY7-GH6,IF(A7&lt;'Données projet'!$A$244,$FW$205^A7,IF(A7='Données projet'!$A$244,'Données projet'!$B$244,FZ6+FY7-GH6)))</f>
        <v>2.1117857649667546</v>
      </c>
      <c r="GA7" s="18">
        <f>FZ7*VLOOKUP('Données projet'!$B$17,Paramètres!$A$1:$I$89,3,0)*VLOOKUP('Données projet'!$B$17,Paramètres!$A$1:$I$89,5,0)</f>
        <v>2.042519191875845</v>
      </c>
      <c r="GB7" s="14">
        <f t="shared" si="49"/>
        <v>0.86619340226463792</v>
      </c>
      <c r="GC7" s="22">
        <f t="shared" si="25"/>
        <v>5.0660077681280073</v>
      </c>
      <c r="GD7" s="60">
        <f t="shared" si="26"/>
        <v>181.15212983230495</v>
      </c>
      <c r="GE7" s="60">
        <f ca="1">AVERAGE(OFFSET($GD$3,0,0,'Données projet'!$E$17+1,1))-AVERAGE(OFFSET($H$3,0,0,'Données projet'!$E$17+1,1))</f>
        <v>495.77880062178235</v>
      </c>
      <c r="GF7" s="60">
        <f t="shared" si="50"/>
        <v>263.55891737750301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1.6</v>
      </c>
      <c r="N8" s="14">
        <f>IF('Données projet'!$A$36&gt;35,N7+M8-V7,IF(A8&lt;'Données projet'!$A$36,$K$205^A8,IF(A8='Données projet'!$A$36,'Données projet'!$B$36,N7+M8-V7)))</f>
        <v>2.3784142300054416</v>
      </c>
      <c r="O8" s="14">
        <f>N8*VLOOKUP('Données projet'!$B$9,Paramètres!$A$1:$I$89,3,0)*VLOOKUP('Données projet'!$B$9,Paramètres!$A$1:$I$89,5,0)</f>
        <v>2.0406794093446692</v>
      </c>
      <c r="P8" s="14">
        <f t="shared" si="33"/>
        <v>0.86550396667632346</v>
      </c>
      <c r="Q8" s="22">
        <f t="shared" si="2"/>
        <v>5.061602713236562</v>
      </c>
      <c r="R8" s="60">
        <f t="shared" si="0"/>
        <v>183.85265058968392</v>
      </c>
      <c r="S8" s="60">
        <f ca="1">AVERAGE(OFFSET($R$3,0,0,'Données projet'!$E$9+1,1))-AVERAGE(OFFSET($H$3,0,0,'Données projet'!$E$9+1,1))</f>
        <v>598.73855311281966</v>
      </c>
      <c r="T8" s="60">
        <f t="shared" si="34"/>
        <v>275.88160405468193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0">
        <f t="shared" si="5"/>
        <v>185.14229339232202</v>
      </c>
      <c r="AN8" s="60">
        <f ca="1">AVERAGE(OFFSET($AM$3,0,0,'Données projet'!$E$10+1,1))-AVERAGE(OFFSET($H$3,0,0,'Données projet'!$E$10+1,1))</f>
        <v>515.72324585399997</v>
      </c>
      <c r="AO8" s="60">
        <f t="shared" si="36"/>
        <v>273.35778700650792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2.6606350532904952</v>
      </c>
      <c r="BF8" s="14">
        <f t="shared" si="37"/>
        <v>1.0941303963920053</v>
      </c>
      <c r="BG8" s="22">
        <f t="shared" si="7"/>
        <v>6.5395498248636885</v>
      </c>
      <c r="BH8" s="60">
        <f t="shared" si="8"/>
        <v>185.33059770131104</v>
      </c>
      <c r="BI8" s="60">
        <f ca="1">AVERAGE(OFFSET($BH$3,0,0,'Données projet'!$E$11+1,1))-AVERAGE(OFFSET($H$3,0,0,'Données projet'!$E$11+1,1))</f>
        <v>336.25341821407534</v>
      </c>
      <c r="BJ8" s="60">
        <f t="shared" si="38"/>
        <v>360.3246221345039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3.1623931623931623</v>
      </c>
      <c r="BY8" s="13">
        <f>IF('Données projet'!$A$114&gt;35,BY7+BX8-CG7,IF(A8&lt;'Données projet'!$A$114,$BV$205^A8,IF(A8='Données projet'!$A$114,'Données projet'!$B$114,BY7+BX8-CG7)))</f>
        <v>3.6199483483136521</v>
      </c>
      <c r="BZ8" s="14">
        <f>BY8*VLOOKUP('Données projet'!$B$12,Paramètres!$A$1:$I$89,3,0)*VLOOKUP('Données projet'!$B$12,Paramètres!$A$1:$I$89,5,0)</f>
        <v>3.4447428482552716</v>
      </c>
      <c r="CA8" s="14">
        <f t="shared" si="39"/>
        <v>1.3746236757212458</v>
      </c>
      <c r="CB8" s="22">
        <f t="shared" si="10"/>
        <v>8.3937300292591015</v>
      </c>
      <c r="CC8" s="60">
        <f t="shared" si="11"/>
        <v>187.18477790570645</v>
      </c>
      <c r="CD8" s="60">
        <f ca="1">AVERAGE(OFFSET($CC$3,0,0,'Données projet'!$E$12+1,1))-AVERAGE(OFFSET($H$3,0,0,'Données projet'!$E$12+1,1))</f>
        <v>438.41611139377829</v>
      </c>
      <c r="CE8" s="60">
        <f t="shared" si="40"/>
        <v>345.17417065809605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1.1099999999999999</v>
      </c>
      <c r="CT8" s="13">
        <f>IF('Données projet'!$A$140&gt;35,CT7+CS8-DB7,IF(A8&lt;'Données projet'!$A$140,$CQ$205^A8,IF(A8='Données projet'!$A$140,'Données projet'!$B$140,CT7+CS8-DB7)))</f>
        <v>3.331666249791537</v>
      </c>
      <c r="CU8" s="18">
        <f>CT8*VLOOKUP('Données projet'!$B$13,Paramètres!$A$1:$I$89,3,0)*VLOOKUP('Données projet'!$B$13,Paramètres!$A$1:$I$89,5,0)</f>
        <v>2.650673668334147</v>
      </c>
      <c r="CV8" s="14">
        <f t="shared" si="41"/>
        <v>1.0905100180313785</v>
      </c>
      <c r="CW8" s="22">
        <f t="shared" si="13"/>
        <v>6.5158949204199574</v>
      </c>
      <c r="CX8" s="60">
        <f t="shared" si="14"/>
        <v>185.3069427968673</v>
      </c>
      <c r="CY8" s="60">
        <f ca="1">AVERAGE(OFFSET($CX$3,0,0,'Données projet'!$E$13+1,1))-AVERAGE(OFFSET($H$3,0,0,'Données projet'!$E$13+1,1))</f>
        <v>395.27840703467933</v>
      </c>
      <c r="CZ8" s="60">
        <f t="shared" si="42"/>
        <v>364.24192380053944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3.56</v>
      </c>
      <c r="DO8" s="13">
        <f>IF('Données projet'!$A$166&gt;35,DO7+DN8-DW7,IF(A8&lt;'Données projet'!$A$166,$DL$205^A8,IF(A8='Données projet'!$A$166,'Données projet'!$B$166,DO7+DN8-DW7)))</f>
        <v>2.4540194545491301</v>
      </c>
      <c r="DP8" s="18">
        <f>DO8*VLOOKUP('Données projet'!$B$14,Paramètres!$A$1:$I$89,3,0)*VLOOKUP('Données projet'!$B$14,Paramètres!$A$1:$I$89,5,0)</f>
        <v>1.9141351745483215</v>
      </c>
      <c r="DQ8" s="14">
        <f t="shared" si="43"/>
        <v>0.81790536660639246</v>
      </c>
      <c r="DR8" s="22">
        <f t="shared" si="16"/>
        <v>4.7583039425111266</v>
      </c>
      <c r="DS8" s="60">
        <f t="shared" si="17"/>
        <v>183.54935181895848</v>
      </c>
      <c r="DT8" s="60">
        <f ca="1">AVERAGE(OFFSET($DS$3,0,0,'Données projet'!$E$14+1,1))-AVERAGE(OFFSET($H$3,0,0,'Données projet'!$E$14+1,1))</f>
        <v>308.76306523144956</v>
      </c>
      <c r="DU8" s="60">
        <f t="shared" si="44"/>
        <v>283.28099819802776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2.7564102564102564</v>
      </c>
      <c r="EJ8" s="13">
        <f>IF('Données projet'!$A$192&gt;35,EJ7+EI8-ER7,IF(A8&lt;'Données projet'!$A$192,$EG$205^A8,IF(A8='Données projet'!$A$192,'Données projet'!$B$192,EJ7+EI8-ER7)))</f>
        <v>5.2501526229341744</v>
      </c>
      <c r="EK8" s="18">
        <f>EJ8*VLOOKUP('Données projet'!$B$15,Paramètres!$A$1:$I$89,3,0)*VLOOKUP('Données projet'!$B$15,Paramètres!$A$1:$I$89,5,0)</f>
        <v>3.5218023794642446</v>
      </c>
      <c r="EL8" s="14">
        <f t="shared" si="45"/>
        <v>1.4017598078166997</v>
      </c>
      <c r="EM8" s="22">
        <f t="shared" si="19"/>
        <v>8.5752041428476442</v>
      </c>
      <c r="EN8" s="60">
        <f t="shared" si="20"/>
        <v>187.36625201929499</v>
      </c>
      <c r="EO8" s="60">
        <f ca="1">AVERAGE(OFFSET($EN$3,0,0,'Données projet'!$E$15+1,1))-AVERAGE(OFFSET($H$3,0,0,'Données projet'!$E$15+1,1))</f>
        <v>375.49921531693559</v>
      </c>
      <c r="EP8" s="60">
        <f t="shared" si="46"/>
        <v>306.93934681565599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2.8</v>
      </c>
      <c r="FE8" s="13">
        <f>IF('Données projet'!$A$218&gt;35,FE7+FD8-FM7,IF(A8&lt;'Données projet'!$A$218,$FB$205^A8,IF(A8='Données projet'!$A$218,'Données projet'!$B$218,FE7+FD8-FM7)))</f>
        <v>3.4760266448864483</v>
      </c>
      <c r="FF8" s="18">
        <f>FE8*VLOOKUP('Données projet'!$B$16,Paramètres!$A$1:$I$89,3,0)*VLOOKUP('Données projet'!$B$16,Paramètres!$A$1:$I$89,5,0)</f>
        <v>2.8197528143318871</v>
      </c>
      <c r="FG8" s="14">
        <f t="shared" si="47"/>
        <v>1.1517508428554772</v>
      </c>
      <c r="FH8" s="22">
        <f t="shared" si="22"/>
        <v>6.9170355362679921</v>
      </c>
      <c r="FI8" s="60">
        <f t="shared" si="23"/>
        <v>185.70808341271535</v>
      </c>
      <c r="FJ8" s="60">
        <f ca="1">AVERAGE(OFFSET($FI$3,0,0,'Données projet'!$E$16+1,1))-AVERAGE(OFFSET($H$3,0,0,'Données projet'!$E$16+1,1))</f>
        <v>308.58270639204238</v>
      </c>
      <c r="FK8" s="60">
        <f t="shared" si="48"/>
        <v>258.90832875500325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2.1</v>
      </c>
      <c r="FZ8" s="13">
        <f>IF('Données projet'!$A$244&gt;35,FZ7+FY8-GH7,IF(A8&lt;'Données projet'!$A$244,$FW$205^A8,IF(A8='Données projet'!$A$244,'Données projet'!$B$244,FZ7+FY8-GH7)))</f>
        <v>2.5457298950218314</v>
      </c>
      <c r="GA8" s="18">
        <f>FZ8*VLOOKUP('Données projet'!$B$17,Paramètres!$A$1:$I$89,3,0)*VLOOKUP('Données projet'!$B$17,Paramètres!$A$1:$I$89,5,0)</f>
        <v>2.4622299544651152</v>
      </c>
      <c r="GB8" s="14">
        <f t="shared" si="49"/>
        <v>1.021715601495419</v>
      </c>
      <c r="GC8" s="22">
        <f t="shared" si="25"/>
        <v>6.0678718432979295</v>
      </c>
      <c r="GD8" s="60">
        <f t="shared" si="26"/>
        <v>184.85891971974527</v>
      </c>
      <c r="GE8" s="60">
        <f ca="1">AVERAGE(OFFSET($GD$3,0,0,'Données projet'!$E$17+1,1))-AVERAGE(OFFSET($H$3,0,0,'Données projet'!$E$17+1,1))</f>
        <v>495.77880062178235</v>
      </c>
      <c r="GF8" s="60">
        <f t="shared" si="50"/>
        <v>263.55891737750301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1.6</v>
      </c>
      <c r="N9" s="14">
        <f>IF('Données projet'!$A$36&gt;35,N8+M9-V8,IF(A9&lt;'Données projet'!$A$36,$K$205^A9,IF(A9='Données projet'!$A$36,'Données projet'!$B$36,N8+M9-V8)))</f>
        <v>2.8284271247461894</v>
      </c>
      <c r="O9" s="14">
        <f>N9*VLOOKUP('Données projet'!$B$9,Paramètres!$A$1:$I$89,3,0)*VLOOKUP('Données projet'!$B$9,Paramètres!$A$1:$I$89,5,0)</f>
        <v>2.4267904730322307</v>
      </c>
      <c r="P9" s="14">
        <f t="shared" si="33"/>
        <v>1.0087106093953995</v>
      </c>
      <c r="Q9" s="22">
        <f t="shared" si="2"/>
        <v>5.9834977185614555</v>
      </c>
      <c r="R9" s="60">
        <f t="shared" si="0"/>
        <v>187.45374981482044</v>
      </c>
      <c r="S9" s="60">
        <f ca="1">AVERAGE(OFFSET($R$3,0,0,'Données projet'!$E$9+1,1))-AVERAGE(OFFSET($H$3,0,0,'Données projet'!$E$9+1,1))</f>
        <v>598.73855311281966</v>
      </c>
      <c r="T9" s="60">
        <f t="shared" si="34"/>
        <v>275.88160405468193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0">
        <f t="shared" si="5"/>
        <v>189.07846666012946</v>
      </c>
      <c r="AN9" s="60">
        <f ca="1">AVERAGE(OFFSET($AM$3,0,0,'Données projet'!$E$10+1,1))-AVERAGE(OFFSET($H$3,0,0,'Données projet'!$E$10+1,1))</f>
        <v>515.72324585399997</v>
      </c>
      <c r="AO9" s="60">
        <f t="shared" si="36"/>
        <v>273.35778700650792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3.3872200806256161</v>
      </c>
      <c r="BF9" s="14">
        <f t="shared" si="37"/>
        <v>1.3543212931409303</v>
      </c>
      <c r="BG9" s="22">
        <f t="shared" si="7"/>
        <v>8.2581845593100685</v>
      </c>
      <c r="BH9" s="60">
        <f t="shared" si="8"/>
        <v>189.72843665556906</v>
      </c>
      <c r="BI9" s="60">
        <f ca="1">AVERAGE(OFFSET($BH$3,0,0,'Données projet'!$E$11+1,1))-AVERAGE(OFFSET($H$3,0,0,'Données projet'!$E$11+1,1))</f>
        <v>336.25341821407534</v>
      </c>
      <c r="BJ9" s="60">
        <f t="shared" si="38"/>
        <v>360.3246221345039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3.1623931623931623</v>
      </c>
      <c r="BY9" s="13">
        <f>IF('Données projet'!$A$114&gt;35,BY8+BX9-CG8,IF(A9&lt;'Données projet'!$A$114,$BV$205^A9,IF(A9='Données projet'!$A$114,'Données projet'!$B$114,BY8+BX9-CG8)))</f>
        <v>4.6821233241387468</v>
      </c>
      <c r="BZ9" s="14">
        <f>BY9*VLOOKUP('Données projet'!$B$12,Paramètres!$A$1:$I$89,3,0)*VLOOKUP('Données projet'!$B$12,Paramètres!$A$1:$I$89,5,0)</f>
        <v>4.4555085552504314</v>
      </c>
      <c r="CA9" s="14">
        <f t="shared" si="39"/>
        <v>1.7255108845411122</v>
      </c>
      <c r="CB9" s="22">
        <f t="shared" si="10"/>
        <v>10.765275524303604</v>
      </c>
      <c r="CC9" s="60">
        <f t="shared" si="11"/>
        <v>192.23552762056258</v>
      </c>
      <c r="CD9" s="60">
        <f ca="1">AVERAGE(OFFSET($CC$3,0,0,'Données projet'!$E$12+1,1))-AVERAGE(OFFSET($H$3,0,0,'Données projet'!$E$12+1,1))</f>
        <v>438.41611139377829</v>
      </c>
      <c r="CE9" s="60">
        <f t="shared" si="40"/>
        <v>345.17417065809605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1.1099999999999999</v>
      </c>
      <c r="CT9" s="13">
        <f>IF('Données projet'!$A$140&gt;35,CT8+CS9-DB8,IF(A9&lt;'Données projet'!$A$140,$CQ$205^A9,IF(A9='Données projet'!$A$140,'Données projet'!$B$140,CT8+CS9-DB8)))</f>
        <v>4.2383204267167436</v>
      </c>
      <c r="CU9" s="18">
        <f>CT9*VLOOKUP('Données projet'!$B$13,Paramètres!$A$1:$I$89,3,0)*VLOOKUP('Données projet'!$B$13,Paramètres!$A$1:$I$89,5,0)</f>
        <v>3.3720077314958417</v>
      </c>
      <c r="CV9" s="14">
        <f t="shared" si="41"/>
        <v>1.3489454823501079</v>
      </c>
      <c r="CW9" s="22">
        <f t="shared" si="13"/>
        <v>8.2223268474483628</v>
      </c>
      <c r="CX9" s="60">
        <f t="shared" si="14"/>
        <v>189.69257894370733</v>
      </c>
      <c r="CY9" s="60">
        <f ca="1">AVERAGE(OFFSET($CX$3,0,0,'Données projet'!$E$13+1,1))-AVERAGE(OFFSET($H$3,0,0,'Données projet'!$E$13+1,1))</f>
        <v>395.27840703467933</v>
      </c>
      <c r="CZ9" s="60">
        <f t="shared" si="42"/>
        <v>364.24192380053944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3.56</v>
      </c>
      <c r="DO9" s="13">
        <f>IF('Données projet'!$A$166&gt;35,DO8+DN9-DW8,IF(A9&lt;'Données projet'!$A$166,$DL$205^A9,IF(A9='Données projet'!$A$166,'Données projet'!$B$166,DO8+DN9-DW8)))</f>
        <v>2.9366595524702919</v>
      </c>
      <c r="DP9" s="18">
        <f>DO9*VLOOKUP('Données projet'!$B$14,Paramètres!$A$1:$I$89,3,0)*VLOOKUP('Données projet'!$B$14,Paramètres!$A$1:$I$89,5,0)</f>
        <v>2.2905944509268279</v>
      </c>
      <c r="DQ9" s="14">
        <f t="shared" si="43"/>
        <v>0.95852246992949186</v>
      </c>
      <c r="DR9" s="22">
        <f t="shared" si="16"/>
        <v>5.6588786371580904</v>
      </c>
      <c r="DS9" s="60">
        <f t="shared" si="17"/>
        <v>187.12913073341707</v>
      </c>
      <c r="DT9" s="60">
        <f ca="1">AVERAGE(OFFSET($DS$3,0,0,'Données projet'!$E$14+1,1))-AVERAGE(OFFSET($H$3,0,0,'Données projet'!$E$14+1,1))</f>
        <v>308.76306523144956</v>
      </c>
      <c r="DU9" s="60">
        <f t="shared" si="44"/>
        <v>283.28099819802776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2.7564102564102564</v>
      </c>
      <c r="EJ9" s="13">
        <f>IF('Données projet'!$A$192&gt;35,EJ8+EI9-ER8,IF(A9&lt;'Données projet'!$A$192,$EG$205^A9,IF(A9='Données projet'!$A$192,'Données projet'!$B$192,EJ8+EI9-ER8)))</f>
        <v>7.3148649823453118</v>
      </c>
      <c r="EK9" s="18">
        <f>EJ9*VLOOKUP('Données projet'!$B$15,Paramètres!$A$1:$I$89,3,0)*VLOOKUP('Données projet'!$B$15,Paramètres!$A$1:$I$89,5,0)</f>
        <v>4.9068114301572354</v>
      </c>
      <c r="EL9" s="14">
        <f t="shared" si="45"/>
        <v>1.8790675239410271</v>
      </c>
      <c r="EM9" s="22">
        <f t="shared" si="19"/>
        <v>11.818739178387807</v>
      </c>
      <c r="EN9" s="60">
        <f t="shared" si="20"/>
        <v>193.28899127464678</v>
      </c>
      <c r="EO9" s="60">
        <f ca="1">AVERAGE(OFFSET($EN$3,0,0,'Données projet'!$E$15+1,1))-AVERAGE(OFFSET($H$3,0,0,'Données projet'!$E$15+1,1))</f>
        <v>375.49921531693559</v>
      </c>
      <c r="EP9" s="60">
        <f t="shared" si="46"/>
        <v>306.93934681565599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2.8</v>
      </c>
      <c r="FE9" s="13">
        <f>IF('Données projet'!$A$218&gt;35,FE8+FD9-FM8,IF(A9&lt;'Données projet'!$A$218,$FB$205^A9,IF(A9='Données projet'!$A$218,'Données projet'!$B$218,FE8+FD9-FM8)))</f>
        <v>4.4596391171162164</v>
      </c>
      <c r="FF9" s="18">
        <f>FE9*VLOOKUP('Données projet'!$B$16,Paramètres!$A$1:$I$89,3,0)*VLOOKUP('Données projet'!$B$16,Paramètres!$A$1:$I$89,5,0)</f>
        <v>3.6176592518046751</v>
      </c>
      <c r="FG9" s="14">
        <f t="shared" si="47"/>
        <v>1.4354191755481527</v>
      </c>
      <c r="FH9" s="22">
        <f t="shared" si="22"/>
        <v>8.8007782609728427</v>
      </c>
      <c r="FI9" s="60">
        <f t="shared" si="23"/>
        <v>190.27103035723181</v>
      </c>
      <c r="FJ9" s="60">
        <f ca="1">AVERAGE(OFFSET($FI$3,0,0,'Données projet'!$E$16+1,1))-AVERAGE(OFFSET($H$3,0,0,'Données projet'!$E$16+1,1))</f>
        <v>308.58270639204238</v>
      </c>
      <c r="FK9" s="60">
        <f t="shared" si="48"/>
        <v>258.90832875500325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2.1</v>
      </c>
      <c r="FZ9" s="13">
        <f>IF('Données projet'!$A$244&gt;35,FZ8+FY9-GH8,IF(A9&lt;'Données projet'!$A$244,$FW$205^A9,IF(A9='Données projet'!$A$244,'Données projet'!$B$244,FZ8+FY9-GH8)))</f>
        <v>3.0688438220956993</v>
      </c>
      <c r="GA9" s="18">
        <f>FZ9*VLOOKUP('Données projet'!$B$17,Paramètres!$A$1:$I$89,3,0)*VLOOKUP('Données projet'!$B$17,Paramètres!$A$1:$I$89,5,0)</f>
        <v>2.9681857447309605</v>
      </c>
      <c r="GB9" s="14">
        <f t="shared" si="49"/>
        <v>1.2051613041728233</v>
      </c>
      <c r="GC9" s="22">
        <f t="shared" si="25"/>
        <v>7.2685794435074236</v>
      </c>
      <c r="GD9" s="60">
        <f t="shared" si="26"/>
        <v>188.73883153976641</v>
      </c>
      <c r="GE9" s="60">
        <f ca="1">AVERAGE(OFFSET($GD$3,0,0,'Données projet'!$E$17+1,1))-AVERAGE(OFFSET($H$3,0,0,'Données projet'!$E$17+1,1))</f>
        <v>495.77880062178235</v>
      </c>
      <c r="GF9" s="60">
        <f t="shared" si="50"/>
        <v>263.55891737750301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1.6</v>
      </c>
      <c r="N10" s="14">
        <f>IF('Données projet'!$A$36&gt;35,N9+M10-V9,IF(A10&lt;'Données projet'!$A$36,$K$205^A10,IF(A10='Données projet'!$A$36,'Données projet'!$B$36,N9+M10-V9)))</f>
        <v>3.3635856610148567</v>
      </c>
      <c r="O10" s="14">
        <f>N10*VLOOKUP('Données projet'!$B$9,Paramètres!$A$1:$I$89,3,0)*VLOOKUP('Données projet'!$B$9,Paramètres!$A$1:$I$89,5,0)</f>
        <v>2.8859564971507474</v>
      </c>
      <c r="P10" s="14">
        <f t="shared" si="33"/>
        <v>1.1756122821876749</v>
      </c>
      <c r="Q10" s="22">
        <f t="shared" si="2"/>
        <v>7.073898957347752</v>
      </c>
      <c r="R10" s="60">
        <f t="shared" si="0"/>
        <v>191.19807989308399</v>
      </c>
      <c r="S10" s="60">
        <f ca="1">AVERAGE(OFFSET($R$3,0,0,'Données projet'!$E$9+1,1))-AVERAGE(OFFSET($H$3,0,0,'Données projet'!$E$9+1,1))</f>
        <v>598.73855311281966</v>
      </c>
      <c r="T10" s="60">
        <f t="shared" si="34"/>
        <v>275.88160405468193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0">
        <f t="shared" si="5"/>
        <v>193.23901385890804</v>
      </c>
      <c r="AN10" s="60">
        <f ca="1">AVERAGE(OFFSET($AM$3,0,0,'Données projet'!$E$10+1,1))-AVERAGE(OFFSET($H$3,0,0,'Données projet'!$E$10+1,1))</f>
        <v>515.72324585399997</v>
      </c>
      <c r="AO10" s="60">
        <f t="shared" si="36"/>
        <v>273.35778700650792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4.312226083169147</v>
      </c>
      <c r="BF10" s="14">
        <f t="shared" si="37"/>
        <v>1.6763871756998234</v>
      </c>
      <c r="BG10" s="22">
        <f t="shared" si="7"/>
        <v>10.430168092530124</v>
      </c>
      <c r="BH10" s="60">
        <f t="shared" si="8"/>
        <v>194.55434902826636</v>
      </c>
      <c r="BI10" s="60">
        <f ca="1">AVERAGE(OFFSET($BH$3,0,0,'Données projet'!$E$11+1,1))-AVERAGE(OFFSET($H$3,0,0,'Données projet'!$E$11+1,1))</f>
        <v>336.25341821407534</v>
      </c>
      <c r="BJ10" s="60">
        <f t="shared" si="38"/>
        <v>360.3246221345039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3.1623931623931623</v>
      </c>
      <c r="BY10" s="13">
        <f>IF('Données projet'!$A$114&gt;35,BY9+BX10-CG9,IF(A10&lt;'Données projet'!$A$114,$BV$205^A10,IF(A10='Données projet'!$A$114,'Données projet'!$B$114,BY9+BX10-CG9)))</f>
        <v>6.0559645368024464</v>
      </c>
      <c r="BZ10" s="14">
        <f>BY10*VLOOKUP('Données projet'!$B$12,Paramètres!$A$1:$I$89,3,0)*VLOOKUP('Données projet'!$B$12,Paramètres!$A$1:$I$89,5,0)</f>
        <v>5.7628558532212084</v>
      </c>
      <c r="CA10" s="14">
        <f t="shared" si="39"/>
        <v>2.1659657586703922</v>
      </c>
      <c r="CB10" s="22">
        <f t="shared" si="10"/>
        <v>13.809364307377871</v>
      </c>
      <c r="CC10" s="60">
        <f t="shared" si="11"/>
        <v>197.93354524311411</v>
      </c>
      <c r="CD10" s="60">
        <f ca="1">AVERAGE(OFFSET($CC$3,0,0,'Données projet'!$E$12+1,1))-AVERAGE(OFFSET($H$3,0,0,'Données projet'!$E$12+1,1))</f>
        <v>438.41611139377829</v>
      </c>
      <c r="CE10" s="60">
        <f t="shared" si="40"/>
        <v>345.17417065809605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1.1099999999999999</v>
      </c>
      <c r="CT10" s="13">
        <f>IF('Données projet'!$A$140&gt;35,CT9+CS10-DB9,IF(A10&lt;'Données projet'!$A$140,$CQ$205^A10,IF(A10='Données projet'!$A$140,'Données projet'!$B$140,CT9+CS10-DB9)))</f>
        <v>5.3917045384267919</v>
      </c>
      <c r="CU10" s="18">
        <f>CT10*VLOOKUP('Données projet'!$B$13,Paramètres!$A$1:$I$89,3,0)*VLOOKUP('Données projet'!$B$13,Paramètres!$A$1:$I$89,5,0)</f>
        <v>4.289640130772356</v>
      </c>
      <c r="CV10" s="14">
        <f t="shared" si="41"/>
        <v>1.6686264997708673</v>
      </c>
      <c r="CW10" s="22">
        <f t="shared" si="13"/>
        <v>10.377314381529446</v>
      </c>
      <c r="CX10" s="60">
        <f t="shared" si="14"/>
        <v>194.50149531726569</v>
      </c>
      <c r="CY10" s="60">
        <f ca="1">AVERAGE(OFFSET($CX$3,0,0,'Données projet'!$E$13+1,1))-AVERAGE(OFFSET($H$3,0,0,'Données projet'!$E$13+1,1))</f>
        <v>395.27840703467933</v>
      </c>
      <c r="CZ10" s="60">
        <f t="shared" si="42"/>
        <v>364.24192380053944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3.56</v>
      </c>
      <c r="DO10" s="13">
        <f>IF('Données projet'!$A$166&gt;35,DO9+DN10-DW9,IF(A10&lt;'Données projet'!$A$166,$DL$205^A10,IF(A10='Données projet'!$A$166,'Données projet'!$B$166,DO9+DN10-DW9)))</f>
        <v>3.5142220698896103</v>
      </c>
      <c r="DP10" s="18">
        <f>DO10*VLOOKUP('Données projet'!$B$14,Paramètres!$A$1:$I$89,3,0)*VLOOKUP('Données projet'!$B$14,Paramètres!$A$1:$I$89,5,0)</f>
        <v>2.7410932145138962</v>
      </c>
      <c r="DQ10" s="14">
        <f t="shared" si="43"/>
        <v>1.1233149492242895</v>
      </c>
      <c r="DR10" s="22">
        <f t="shared" si="16"/>
        <v>6.730510885177341</v>
      </c>
      <c r="DS10" s="60">
        <f t="shared" si="17"/>
        <v>190.85469182091359</v>
      </c>
      <c r="DT10" s="60">
        <f ca="1">AVERAGE(OFFSET($DS$3,0,0,'Données projet'!$E$14+1,1))-AVERAGE(OFFSET($H$3,0,0,'Données projet'!$E$14+1,1))</f>
        <v>308.76306523144956</v>
      </c>
      <c r="DU10" s="60">
        <f t="shared" si="44"/>
        <v>283.28099819802776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2.7564102564102564</v>
      </c>
      <c r="EJ10" s="13">
        <f>IF('Données projet'!$A$192&gt;35,EJ9+EI10-ER9,IF(A10&lt;'Données projet'!$A$192,$EG$205^A10,IF(A10='Données projet'!$A$192,'Données projet'!$B$192,EJ9+EI10-ER9)))</f>
        <v>10.191560808386152</v>
      </c>
      <c r="EK10" s="18">
        <f>EJ10*VLOOKUP('Données projet'!$B$15,Paramètres!$A$1:$I$89,3,0)*VLOOKUP('Données projet'!$B$15,Paramètres!$A$1:$I$89,5,0)</f>
        <v>6.8364989902654312</v>
      </c>
      <c r="EL10" s="14">
        <f t="shared" si="45"/>
        <v>2.5189014122393623</v>
      </c>
      <c r="EM10" s="22">
        <f t="shared" si="19"/>
        <v>16.293989034362514</v>
      </c>
      <c r="EN10" s="60">
        <f t="shared" si="20"/>
        <v>200.41816997009875</v>
      </c>
      <c r="EO10" s="60">
        <f ca="1">AVERAGE(OFFSET($EN$3,0,0,'Données projet'!$E$15+1,1))-AVERAGE(OFFSET($H$3,0,0,'Données projet'!$E$15+1,1))</f>
        <v>375.49921531693559</v>
      </c>
      <c r="EP10" s="60">
        <f t="shared" si="46"/>
        <v>306.93934681565599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2.8</v>
      </c>
      <c r="FE10" s="13">
        <f>IF('Données projet'!$A$218&gt;35,FE9+FD10-FM9,IF(A10&lt;'Données projet'!$A$218,$FB$205^A10,IF(A10='Données projet'!$A$218,'Données projet'!$B$218,FE9+FD10-FM9)))</f>
        <v>5.7215847537218165</v>
      </c>
      <c r="FF10" s="18">
        <f>FE10*VLOOKUP('Données projet'!$B$16,Paramètres!$A$1:$I$89,3,0)*VLOOKUP('Données projet'!$B$16,Paramètres!$A$1:$I$89,5,0)</f>
        <v>4.6413495522191379</v>
      </c>
      <c r="FG10" s="14">
        <f t="shared" si="47"/>
        <v>1.7889530728912018</v>
      </c>
      <c r="FH10" s="22">
        <f t="shared" si="22"/>
        <v>11.199443738733841</v>
      </c>
      <c r="FI10" s="60">
        <f t="shared" si="23"/>
        <v>195.32362467447007</v>
      </c>
      <c r="FJ10" s="60">
        <f ca="1">AVERAGE(OFFSET($FI$3,0,0,'Données projet'!$E$16+1,1))-AVERAGE(OFFSET($H$3,0,0,'Données projet'!$E$16+1,1))</f>
        <v>308.58270639204238</v>
      </c>
      <c r="FK10" s="60">
        <f t="shared" si="48"/>
        <v>258.90832875500325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2.1</v>
      </c>
      <c r="FZ10" s="13">
        <f>IF('Données projet'!$A$244&gt;35,FZ9+FY10-GH9,IF(A10&lt;'Données projet'!$A$244,$FW$205^A10,IF(A10='Données projet'!$A$244,'Données projet'!$B$244,FZ9+FY10-GH9)))</f>
        <v>3.6994507637402658</v>
      </c>
      <c r="GA10" s="18">
        <f>FZ10*VLOOKUP('Données projet'!$B$17,Paramètres!$A$1:$I$89,3,0)*VLOOKUP('Données projet'!$B$17,Paramètres!$A$1:$I$89,5,0)</f>
        <v>3.5781087786895851</v>
      </c>
      <c r="GB10" s="14">
        <f t="shared" si="49"/>
        <v>1.4215440842341414</v>
      </c>
      <c r="GC10" s="22">
        <f t="shared" si="25"/>
        <v>8.707728736258824</v>
      </c>
      <c r="GD10" s="60">
        <f t="shared" si="26"/>
        <v>192.83190967199505</v>
      </c>
      <c r="GE10" s="60">
        <f ca="1">AVERAGE(OFFSET($GD$3,0,0,'Données projet'!$E$17+1,1))-AVERAGE(OFFSET($H$3,0,0,'Données projet'!$E$17+1,1))</f>
        <v>495.77880062178235</v>
      </c>
      <c r="GF10" s="60">
        <f t="shared" si="50"/>
        <v>263.55891737750301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1.6</v>
      </c>
      <c r="N11" s="14">
        <f>IF('Données projet'!$A$36&gt;35,N10+M11-V10,IF(A11&lt;'Données projet'!$A$36,$K$205^A11,IF(A11='Données projet'!$A$36,'Données projet'!$B$36,N10+M11-V10)))</f>
        <v>3.9999999999999982</v>
      </c>
      <c r="O11" s="14">
        <f>N11*VLOOKUP('Données projet'!$B$9,Paramètres!$A$1:$I$89,3,0)*VLOOKUP('Données projet'!$B$9,Paramètres!$A$1:$I$89,5,0)</f>
        <v>3.4319999999999991</v>
      </c>
      <c r="P11" s="14">
        <f t="shared" si="33"/>
        <v>1.3701295744860806</v>
      </c>
      <c r="Q11" s="22">
        <f t="shared" si="2"/>
        <v>8.3637090088965884</v>
      </c>
      <c r="R11" s="60">
        <f t="shared" si="0"/>
        <v>195.11698187511715</v>
      </c>
      <c r="S11" s="60">
        <f ca="1">AVERAGE(OFFSET($R$3,0,0,'Données projet'!$E$9+1,1))-AVERAGE(OFFSET($H$3,0,0,'Données projet'!$E$9+1,1))</f>
        <v>598.73855311281966</v>
      </c>
      <c r="T11" s="60">
        <f t="shared" si="34"/>
        <v>275.88160405468193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0">
        <f t="shared" si="5"/>
        <v>197.67412159271069</v>
      </c>
      <c r="AN11" s="60">
        <f ca="1">AVERAGE(OFFSET($AM$3,0,0,'Données projet'!$E$10+1,1))-AVERAGE(OFFSET($H$3,0,0,'Données projet'!$E$10+1,1))</f>
        <v>515.72324585399997</v>
      </c>
      <c r="AO11" s="60">
        <f t="shared" si="36"/>
        <v>273.35778700650792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5.4898392633908193</v>
      </c>
      <c r="BF11" s="14">
        <f t="shared" si="37"/>
        <v>2.0750422939399171</v>
      </c>
      <c r="BG11" s="22">
        <f t="shared" si="7"/>
        <v>13.175502045684366</v>
      </c>
      <c r="BH11" s="60">
        <f t="shared" si="8"/>
        <v>199.92877491190492</v>
      </c>
      <c r="BI11" s="60">
        <f ca="1">AVERAGE(OFFSET($BH$3,0,0,'Données projet'!$E$11+1,1))-AVERAGE(OFFSET($H$3,0,0,'Données projet'!$E$11+1,1))</f>
        <v>336.25341821407534</v>
      </c>
      <c r="BJ11" s="60">
        <f t="shared" si="38"/>
        <v>360.3246221345039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3.1623931623931623</v>
      </c>
      <c r="BY11" s="13">
        <f>IF('Données projet'!$A$114&gt;35,BY10+BX11-CG10,IF(A11&lt;'Données projet'!$A$114,$BV$205^A11,IF(A11='Données projet'!$A$114,'Données projet'!$B$114,BY10+BX11-CG10)))</f>
        <v>7.8329219313664717</v>
      </c>
      <c r="BZ11" s="14">
        <f>BY11*VLOOKUP('Données projet'!$B$12,Paramètres!$A$1:$I$89,3,0)*VLOOKUP('Données projet'!$B$12,Paramètres!$A$1:$I$89,5,0)</f>
        <v>7.4538085098883347</v>
      </c>
      <c r="CA11" s="14">
        <f t="shared" si="39"/>
        <v>2.7188513904855807</v>
      </c>
      <c r="CB11" s="22">
        <f t="shared" si="10"/>
        <v>17.717382659817904</v>
      </c>
      <c r="CC11" s="60">
        <f t="shared" si="11"/>
        <v>204.47065552603846</v>
      </c>
      <c r="CD11" s="60">
        <f ca="1">AVERAGE(OFFSET($CC$3,0,0,'Données projet'!$E$12+1,1))-AVERAGE(OFFSET($H$3,0,0,'Données projet'!$E$12+1,1))</f>
        <v>438.41611139377829</v>
      </c>
      <c r="CE11" s="60">
        <f t="shared" si="40"/>
        <v>345.17417065809605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1.1099999999999999</v>
      </c>
      <c r="CT11" s="13">
        <f>IF('Données projet'!$A$140&gt;35,CT10+CS11-DB10,IF(A11&lt;'Données projet'!$A$140,$CQ$205^A11,IF(A11='Données projet'!$A$140,'Données projet'!$B$140,CT10+CS11-DB10)))</f>
        <v>6.8589617827012184</v>
      </c>
      <c r="CU11" s="18">
        <f>CT11*VLOOKUP('Données projet'!$B$13,Paramètres!$A$1:$I$89,3,0)*VLOOKUP('Données projet'!$B$13,Paramètres!$A$1:$I$89,5,0)</f>
        <v>5.4569899943170901</v>
      </c>
      <c r="CV11" s="14">
        <f t="shared" si="41"/>
        <v>2.0640674009203073</v>
      </c>
      <c r="CW11" s="22">
        <f t="shared" si="13"/>
        <v>13.0991749633718</v>
      </c>
      <c r="CX11" s="60">
        <f t="shared" si="14"/>
        <v>199.85244782959236</v>
      </c>
      <c r="CY11" s="60">
        <f ca="1">AVERAGE(OFFSET($CX$3,0,0,'Données projet'!$E$13+1,1))-AVERAGE(OFFSET($H$3,0,0,'Données projet'!$E$13+1,1))</f>
        <v>395.27840703467933</v>
      </c>
      <c r="CZ11" s="60">
        <f t="shared" si="42"/>
        <v>364.24192380053944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3.56</v>
      </c>
      <c r="DO11" s="13">
        <f>IF('Données projet'!$A$166&gt;35,DO10+DN11-DW10,IF(A11&lt;'Données projet'!$A$166,$DL$205^A11,IF(A11='Données projet'!$A$166,'Données projet'!$B$166,DO10+DN11-DW10)))</f>
        <v>4.2053757120435398</v>
      </c>
      <c r="DP11" s="18">
        <f>DO11*VLOOKUP('Données projet'!$B$14,Paramètres!$A$1:$I$89,3,0)*VLOOKUP('Données projet'!$B$14,Paramètres!$A$1:$I$89,5,0)</f>
        <v>3.2801930553939611</v>
      </c>
      <c r="DQ11" s="14">
        <f t="shared" si="43"/>
        <v>1.3164391182645805</v>
      </c>
      <c r="DR11" s="22">
        <f t="shared" si="16"/>
        <v>8.0058010357886271</v>
      </c>
      <c r="DS11" s="60">
        <f t="shared" si="17"/>
        <v>194.75907390200919</v>
      </c>
      <c r="DT11" s="60">
        <f ca="1">AVERAGE(OFFSET($DS$3,0,0,'Données projet'!$E$14+1,1))-AVERAGE(OFFSET($H$3,0,0,'Données projet'!$E$14+1,1))</f>
        <v>308.76306523144956</v>
      </c>
      <c r="DU11" s="60">
        <f t="shared" si="44"/>
        <v>283.28099819802776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2.7564102564102564</v>
      </c>
      <c r="EJ11" s="13">
        <f>IF('Données projet'!$A$192&gt;35,EJ10+EI11-ER10,IF(A11&lt;'Données projet'!$A$192,$EG$205^A11,IF(A11='Données projet'!$A$192,'Données projet'!$B$192,EJ10+EI11-ER10)))</f>
        <v>14.199566493943703</v>
      </c>
      <c r="EK11" s="18">
        <f>EJ11*VLOOKUP('Données projet'!$B$15,Paramètres!$A$1:$I$89,3,0)*VLOOKUP('Données projet'!$B$15,Paramètres!$A$1:$I$89,5,0)</f>
        <v>9.5250692041374361</v>
      </c>
      <c r="EL11" s="14">
        <f t="shared" si="45"/>
        <v>3.3766026200453787</v>
      </c>
      <c r="EM11" s="22">
        <f t="shared" si="19"/>
        <v>22.470411760451736</v>
      </c>
      <c r="EN11" s="60">
        <f t="shared" si="20"/>
        <v>209.22368462667228</v>
      </c>
      <c r="EO11" s="60">
        <f ca="1">AVERAGE(OFFSET($EN$3,0,0,'Données projet'!$E$15+1,1))-AVERAGE(OFFSET($H$3,0,0,'Données projet'!$E$15+1,1))</f>
        <v>375.49921531693559</v>
      </c>
      <c r="EP11" s="60">
        <f t="shared" si="46"/>
        <v>306.93934681565599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2.8</v>
      </c>
      <c r="FE11" s="13">
        <f>IF('Données projet'!$A$218&gt;35,FE10+FD11-FM10,IF(A11&lt;'Données projet'!$A$218,$FB$205^A11,IF(A11='Données projet'!$A$218,'Données projet'!$B$218,FE10+FD11-FM10)))</f>
        <v>7.3406235873163457</v>
      </c>
      <c r="FF11" s="18">
        <f>FE11*VLOOKUP('Données projet'!$B$16,Paramètres!$A$1:$I$89,3,0)*VLOOKUP('Données projet'!$B$16,Paramètres!$A$1:$I$89,5,0)</f>
        <v>5.95471385403102</v>
      </c>
      <c r="FG11" s="14">
        <f t="shared" si="47"/>
        <v>2.2295599442474598</v>
      </c>
      <c r="FH11" s="22">
        <f t="shared" si="22"/>
        <v>14.254276865335017</v>
      </c>
      <c r="FI11" s="60">
        <f t="shared" si="23"/>
        <v>201.00754973155557</v>
      </c>
      <c r="FJ11" s="60">
        <f ca="1">AVERAGE(OFFSET($FI$3,0,0,'Données projet'!$E$16+1,1))-AVERAGE(OFFSET($H$3,0,0,'Données projet'!$E$16+1,1))</f>
        <v>308.58270639204238</v>
      </c>
      <c r="FK11" s="60">
        <f t="shared" si="48"/>
        <v>258.90832875500325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2.1</v>
      </c>
      <c r="FZ11" s="13">
        <f>IF('Données projet'!$A$244&gt;35,FZ10+FY11-GH10,IF(A11&lt;'Données projet'!$A$244,$FW$205^A11,IF(A11='Données projet'!$A$244,'Données projet'!$B$244,FZ10+FY11-GH10)))</f>
        <v>4.4596391171162209</v>
      </c>
      <c r="GA11" s="18">
        <f>FZ11*VLOOKUP('Données projet'!$B$17,Paramètres!$A$1:$I$89,3,0)*VLOOKUP('Données projet'!$B$17,Paramètres!$A$1:$I$89,5,0)</f>
        <v>4.3133629540748091</v>
      </c>
      <c r="GB11" s="14">
        <f t="shared" si="49"/>
        <v>1.6767776864592203</v>
      </c>
      <c r="GC11" s="22">
        <f t="shared" si="25"/>
        <v>10.432828282263435</v>
      </c>
      <c r="GD11" s="60">
        <f t="shared" si="26"/>
        <v>197.186101148484</v>
      </c>
      <c r="GE11" s="60">
        <f ca="1">AVERAGE(OFFSET($GD$3,0,0,'Données projet'!$E$17+1,1))-AVERAGE(OFFSET($H$3,0,0,'Données projet'!$E$17+1,1))</f>
        <v>495.77880062178235</v>
      </c>
      <c r="GF11" s="60">
        <f t="shared" si="50"/>
        <v>263.55891737750301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1.6</v>
      </c>
      <c r="N12" s="14">
        <f>IF('Données projet'!$A$36&gt;35,N11+M12-V11,IF(A12&lt;'Données projet'!$A$36,$K$205^A12,IF(A12='Données projet'!$A$36,'Données projet'!$B$36,N11+M12-V11)))</f>
        <v>4.7568284600108823</v>
      </c>
      <c r="O12" s="14">
        <f>N12*VLOOKUP('Données projet'!$B$9,Paramètres!$A$1:$I$89,3,0)*VLOOKUP('Données projet'!$B$9,Paramètres!$A$1:$I$89,5,0)</f>
        <v>4.0813588186893375</v>
      </c>
      <c r="P12" s="14">
        <f t="shared" si="33"/>
        <v>1.5968317780655192</v>
      </c>
      <c r="Q12" s="22">
        <f t="shared" si="2"/>
        <v>9.8895152893480418</v>
      </c>
      <c r="R12" s="60">
        <f t="shared" si="0"/>
        <v>199.24747404190413</v>
      </c>
      <c r="S12" s="60">
        <f ca="1">AVERAGE(OFFSET($R$3,0,0,'Données projet'!$E$9+1,1))-AVERAGE(OFFSET($H$3,0,0,'Données projet'!$E$9+1,1))</f>
        <v>598.73855311281966</v>
      </c>
      <c r="T12" s="60">
        <f t="shared" si="34"/>
        <v>275.88160405468193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0">
        <f t="shared" si="5"/>
        <v>202.44391287603133</v>
      </c>
      <c r="AN12" s="60">
        <f ca="1">AVERAGE(OFFSET($AM$3,0,0,'Données projet'!$E$10+1,1))-AVERAGE(OFFSET($H$3,0,0,'Données projet'!$E$10+1,1))</f>
        <v>515.72324585399997</v>
      </c>
      <c r="AO12" s="60">
        <f t="shared" si="36"/>
        <v>273.35778700650792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6.9890433749517484</v>
      </c>
      <c r="BF12" s="14">
        <f t="shared" si="37"/>
        <v>2.5685000363009434</v>
      </c>
      <c r="BG12" s="22">
        <f t="shared" si="7"/>
        <v>16.646054774598436</v>
      </c>
      <c r="BH12" s="60">
        <f t="shared" si="8"/>
        <v>206.00401352715451</v>
      </c>
      <c r="BI12" s="60">
        <f ca="1">AVERAGE(OFFSET($BH$3,0,0,'Données projet'!$E$11+1,1))-AVERAGE(OFFSET($H$3,0,0,'Données projet'!$E$11+1,1))</f>
        <v>336.25341821407534</v>
      </c>
      <c r="BJ12" s="60">
        <f t="shared" si="38"/>
        <v>360.3246221345039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3.1623931623931623</v>
      </c>
      <c r="BY12" s="13">
        <f>IF('Données projet'!$A$114&gt;35,BY11+BX12-CG11,IF(A12&lt;'Données projet'!$A$114,$BV$205^A12,IF(A12='Données projet'!$A$114,'Données projet'!$B$114,BY11+BX12-CG11)))</f>
        <v>10.131278941616319</v>
      </c>
      <c r="BZ12" s="14">
        <f>BY12*VLOOKUP('Données projet'!$B$12,Paramètres!$A$1:$I$89,3,0)*VLOOKUP('Données projet'!$B$12,Paramètres!$A$1:$I$89,5,0)</f>
        <v>9.6409250408420899</v>
      </c>
      <c r="CA12" s="14">
        <f t="shared" si="39"/>
        <v>3.412866918119311</v>
      </c>
      <c r="CB12" s="22">
        <f t="shared" si="10"/>
        <v>22.735354328524441</v>
      </c>
      <c r="CC12" s="60">
        <f t="shared" si="11"/>
        <v>212.09331308108051</v>
      </c>
      <c r="CD12" s="60">
        <f ca="1">AVERAGE(OFFSET($CC$3,0,0,'Données projet'!$E$12+1,1))-AVERAGE(OFFSET($H$3,0,0,'Données projet'!$E$12+1,1))</f>
        <v>438.41611139377829</v>
      </c>
      <c r="CE12" s="60">
        <f t="shared" si="40"/>
        <v>345.17417065809605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1.1099999999999999</v>
      </c>
      <c r="CT12" s="13">
        <f>IF('Données projet'!$A$140&gt;35,CT11+CS12-DB11,IF(A12&lt;'Données projet'!$A$140,$CQ$205^A12,IF(A12='Données projet'!$A$140,'Données projet'!$B$140,CT11+CS12-DB11)))</f>
        <v>8.7255071937385704</v>
      </c>
      <c r="CU12" s="18">
        <f>CT12*VLOOKUP('Données projet'!$B$13,Paramètres!$A$1:$I$89,3,0)*VLOOKUP('Données projet'!$B$13,Paramètres!$A$1:$I$89,5,0)</f>
        <v>6.9420135233384066</v>
      </c>
      <c r="CV12" s="14">
        <f t="shared" si="41"/>
        <v>2.5532222076821487</v>
      </c>
      <c r="CW12" s="22">
        <f t="shared" si="13"/>
        <v>16.5375355648608</v>
      </c>
      <c r="CX12" s="60">
        <f t="shared" si="14"/>
        <v>205.89549431741688</v>
      </c>
      <c r="CY12" s="60">
        <f ca="1">AVERAGE(OFFSET($CX$3,0,0,'Données projet'!$E$13+1,1))-AVERAGE(OFFSET($H$3,0,0,'Données projet'!$E$13+1,1))</f>
        <v>395.27840703467933</v>
      </c>
      <c r="CZ12" s="60">
        <f t="shared" si="42"/>
        <v>364.24192380053944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3.56</v>
      </c>
      <c r="DO12" s="13">
        <f>IF('Données projet'!$A$166&gt;35,DO11+DN12-DW11,IF(A12&lt;'Données projet'!$A$166,$DL$205^A12,IF(A12='Données projet'!$A$166,'Données projet'!$B$166,DO11+DN12-DW11)))</f>
        <v>5.0324608199849017</v>
      </c>
      <c r="DP12" s="18">
        <f>DO12*VLOOKUP('Données projet'!$B$14,Paramètres!$A$1:$I$89,3,0)*VLOOKUP('Données projet'!$B$14,Paramètres!$A$1:$I$89,5,0)</f>
        <v>3.9253194395882236</v>
      </c>
      <c r="DQ12" s="14">
        <f t="shared" si="43"/>
        <v>1.5427658585813051</v>
      </c>
      <c r="DR12" s="22">
        <f t="shared" si="16"/>
        <v>9.5235818943119295</v>
      </c>
      <c r="DS12" s="60">
        <f t="shared" si="17"/>
        <v>198.88154064686799</v>
      </c>
      <c r="DT12" s="60">
        <f ca="1">AVERAGE(OFFSET($DS$3,0,0,'Données projet'!$E$14+1,1))-AVERAGE(OFFSET($H$3,0,0,'Données projet'!$E$14+1,1))</f>
        <v>308.76306523144956</v>
      </c>
      <c r="DU12" s="60">
        <f t="shared" si="44"/>
        <v>283.28099819802776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2.7564102564102564</v>
      </c>
      <c r="EJ12" s="13">
        <f>IF('Données projet'!$A$192&gt;35,EJ11+EI12-ER11,IF(A12&lt;'Données projet'!$A$192,$EG$205^A12,IF(A12='Données projet'!$A$192,'Données projet'!$B$192,EJ11+EI12-ER11)))</f>
        <v>19.783789000210724</v>
      </c>
      <c r="EK12" s="18">
        <f>EJ12*VLOOKUP('Données projet'!$B$15,Paramètres!$A$1:$I$89,3,0)*VLOOKUP('Données projet'!$B$15,Paramètres!$A$1:$I$89,5,0)</f>
        <v>13.270965661341354</v>
      </c>
      <c r="EL12" s="14">
        <f t="shared" si="45"/>
        <v>4.526356290999562</v>
      </c>
      <c r="EM12" s="22">
        <f t="shared" si="19"/>
        <v>30.997002400327091</v>
      </c>
      <c r="EN12" s="60">
        <f t="shared" si="20"/>
        <v>220.35496115288316</v>
      </c>
      <c r="EO12" s="60">
        <f ca="1">AVERAGE(OFFSET($EN$3,0,0,'Données projet'!$E$15+1,1))-AVERAGE(OFFSET($H$3,0,0,'Données projet'!$E$15+1,1))</f>
        <v>375.49921531693559</v>
      </c>
      <c r="EP12" s="60">
        <f t="shared" si="46"/>
        <v>306.93934681565599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2.8</v>
      </c>
      <c r="FE12" s="13">
        <f>IF('Données projet'!$A$218&gt;35,FE11+FD12-FM11,IF(A12&lt;'Données projet'!$A$218,$FB$205^A12,IF(A12='Données projet'!$A$218,'Données projet'!$B$218,FE11+FD12-FM11)))</f>
        <v>9.4178024044149247</v>
      </c>
      <c r="FF12" s="18">
        <f>FE12*VLOOKUP('Données projet'!$B$16,Paramètres!$A$1:$I$89,3,0)*VLOOKUP('Données projet'!$B$16,Paramètres!$A$1:$I$89,5,0)</f>
        <v>7.639721310461387</v>
      </c>
      <c r="FG12" s="14">
        <f t="shared" si="47"/>
        <v>2.7786852658795538</v>
      </c>
      <c r="FH12" s="22">
        <f t="shared" si="22"/>
        <v>18.145391453793806</v>
      </c>
      <c r="FI12" s="60">
        <f t="shared" si="23"/>
        <v>207.50335020634986</v>
      </c>
      <c r="FJ12" s="60">
        <f ca="1">AVERAGE(OFFSET($FI$3,0,0,'Données projet'!$E$16+1,1))-AVERAGE(OFFSET($H$3,0,0,'Données projet'!$E$16+1,1))</f>
        <v>308.58270639204238</v>
      </c>
      <c r="FK12" s="60">
        <f t="shared" si="48"/>
        <v>258.90832875500325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2.1</v>
      </c>
      <c r="FZ12" s="13">
        <f>IF('Données projet'!$A$244&gt;35,FZ11+FY12-GH11,IF(A12&lt;'Données projet'!$A$244,$FW$205^A12,IF(A12='Données projet'!$A$244,'Données projet'!$B$244,FZ11+FY12-GH11)))</f>
        <v>5.3760361537574148</v>
      </c>
      <c r="GA12" s="18">
        <f>FZ12*VLOOKUP('Données projet'!$B$17,Paramètres!$A$1:$I$89,3,0)*VLOOKUP('Données projet'!$B$17,Paramètres!$A$1:$I$89,5,0)</f>
        <v>5.1997021679141717</v>
      </c>
      <c r="GB12" s="14">
        <f t="shared" si="49"/>
        <v>1.977837649208241</v>
      </c>
      <c r="GC12" s="22">
        <f t="shared" si="25"/>
        <v>12.500881848154869</v>
      </c>
      <c r="GD12" s="60">
        <f t="shared" si="26"/>
        <v>201.85884060071095</v>
      </c>
      <c r="GE12" s="60">
        <f ca="1">AVERAGE(OFFSET($GD$3,0,0,'Données projet'!$E$17+1,1))-AVERAGE(OFFSET($H$3,0,0,'Données projet'!$E$17+1,1))</f>
        <v>495.77880062178235</v>
      </c>
      <c r="GF12" s="60">
        <f t="shared" si="50"/>
        <v>263.55891737750301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1.6</v>
      </c>
      <c r="N13" s="14">
        <f>IF('Données projet'!$A$36&gt;35,N12+M13-V12,IF(A13&lt;'Données projet'!$A$36,$K$205^A13,IF(A13='Données projet'!$A$36,'Données projet'!$B$36,N12+M13-V12)))</f>
        <v>5.656854249492377</v>
      </c>
      <c r="O13" s="14">
        <f>N13*VLOOKUP('Données projet'!$B$9,Paramètres!$A$1:$I$89,3,0)*VLOOKUP('Données projet'!$B$9,Paramètres!$A$1:$I$89,5,0)</f>
        <v>4.8535809460644597</v>
      </c>
      <c r="P13" s="14">
        <f t="shared" si="33"/>
        <v>1.8610442215994896</v>
      </c>
      <c r="Q13" s="22">
        <f t="shared" si="2"/>
        <v>11.694638833681379</v>
      </c>
      <c r="R13" s="60">
        <f t="shared" si="0"/>
        <v>203.63330081872627</v>
      </c>
      <c r="S13" s="60">
        <f ca="1">AVERAGE(OFFSET($R$3,0,0,'Données projet'!$E$9+1,1))-AVERAGE(OFFSET($H$3,0,0,'Données projet'!$E$9+1,1))</f>
        <v>598.73855311281966</v>
      </c>
      <c r="T13" s="60">
        <f t="shared" si="34"/>
        <v>275.88160405468193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0">
        <f t="shared" si="5"/>
        <v>207.62044061408039</v>
      </c>
      <c r="AN13" s="60">
        <f ca="1">AVERAGE(OFFSET($AM$3,0,0,'Données projet'!$E$10+1,1))-AVERAGE(OFFSET($H$3,0,0,'Données projet'!$E$10+1,1))</f>
        <v>515.72324585399997</v>
      </c>
      <c r="AO13" s="60">
        <f t="shared" si="36"/>
        <v>273.35778700650792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8.8976607425818433</v>
      </c>
      <c r="BF13" s="14">
        <f t="shared" si="37"/>
        <v>3.1793050463331762</v>
      </c>
      <c r="BG13" s="22">
        <f t="shared" si="7"/>
        <v>21.03404874902699</v>
      </c>
      <c r="BH13" s="60">
        <f t="shared" si="8"/>
        <v>212.97271073407188</v>
      </c>
      <c r="BI13" s="60">
        <f ca="1">AVERAGE(OFFSET($BH$3,0,0,'Données projet'!$E$11+1,1))-AVERAGE(OFFSET($H$3,0,0,'Données projet'!$E$11+1,1))</f>
        <v>336.25341821407534</v>
      </c>
      <c r="BJ13" s="60">
        <f t="shared" si="38"/>
        <v>360.3246221345039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3.1623931623931623</v>
      </c>
      <c r="BY13" s="13">
        <f>IF('Données projet'!$A$114&gt;35,BY12+BX13-CG12,IF(A13&lt;'Données projet'!$A$114,$BV$205^A13,IF(A13='Données projet'!$A$114,'Données projet'!$B$114,BY12+BX13-CG12)))</f>
        <v>13.104026044458736</v>
      </c>
      <c r="BZ13" s="14">
        <f>BY13*VLOOKUP('Données projet'!$B$12,Paramètres!$A$1:$I$89,3,0)*VLOOKUP('Données projet'!$B$12,Paramètres!$A$1:$I$89,5,0)</f>
        <v>12.469791183906933</v>
      </c>
      <c r="CA13" s="14">
        <f t="shared" si="39"/>
        <v>4.2840372377664062</v>
      </c>
      <c r="CB13" s="22">
        <f t="shared" si="10"/>
        <v>29.179584501081067</v>
      </c>
      <c r="CC13" s="60">
        <f t="shared" si="11"/>
        <v>221.11824648612594</v>
      </c>
      <c r="CD13" s="60">
        <f ca="1">AVERAGE(OFFSET($CC$3,0,0,'Données projet'!$E$12+1,1))-AVERAGE(OFFSET($H$3,0,0,'Données projet'!$E$12+1,1))</f>
        <v>438.41611139377829</v>
      </c>
      <c r="CE13" s="60">
        <f t="shared" si="40"/>
        <v>345.17417065809605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11.1</v>
      </c>
      <c r="CR13" s="13">
        <f>VLOOKUP(A13,'Données projet'!$A$139:$I$159,9,0)</f>
        <v>1.1099999999999999</v>
      </c>
      <c r="CS13" s="13">
        <f t="array" ref="CS13">INDEX(CR:CR,MIN(IF(ISNUMBER(CR13:CR209),ROW(CR13:CR209),"")))</f>
        <v>1.1099999999999999</v>
      </c>
      <c r="CT13" s="13">
        <f>IF('Données projet'!$A$140&gt;35,CT12+CS13-DB12,IF(A13&lt;'Données projet'!$A$140,$CQ$205^A13,IF(A13='Données projet'!$A$140,'Données projet'!$B$140,CT12+CS13-DB12)))</f>
        <v>11.1</v>
      </c>
      <c r="CU13" s="18">
        <f>CT13*VLOOKUP('Données projet'!$B$13,Paramètres!$A$1:$I$89,3,0)*VLOOKUP('Données projet'!$B$13,Paramètres!$A$1:$I$89,5,0)</f>
        <v>8.8311599999999988</v>
      </c>
      <c r="CV13" s="14">
        <f t="shared" si="41"/>
        <v>3.1582997914189717</v>
      </c>
      <c r="CW13" s="22">
        <f t="shared" si="13"/>
        <v>20.881642470054704</v>
      </c>
      <c r="CX13" s="60">
        <f t="shared" si="14"/>
        <v>212.8203044550996</v>
      </c>
      <c r="CY13" s="60">
        <f ca="1">AVERAGE(OFFSET($CX$3,0,0,'Données projet'!$E$13+1,1))-AVERAGE(OFFSET($H$3,0,0,'Données projet'!$E$13+1,1))</f>
        <v>395.27840703467933</v>
      </c>
      <c r="CZ13" s="60">
        <f t="shared" si="42"/>
        <v>364.24192380053944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3.56</v>
      </c>
      <c r="DO13" s="13">
        <f>IF('Données projet'!$A$166&gt;35,DO12+DN13-DW12,IF(A13&lt;'Données projet'!$A$166,$DL$205^A13,IF(A13='Données projet'!$A$166,'Données projet'!$B$166,DO12+DN13-DW12)))</f>
        <v>6.0222114833056102</v>
      </c>
      <c r="DP13" s="18">
        <f>DO13*VLOOKUP('Données projet'!$B$14,Paramètres!$A$1:$I$89,3,0)*VLOOKUP('Données projet'!$B$14,Paramètres!$A$1:$I$89,5,0)</f>
        <v>4.6973249569783757</v>
      </c>
      <c r="DQ13" s="14">
        <f t="shared" si="43"/>
        <v>1.8080034704086858</v>
      </c>
      <c r="DR13" s="22">
        <f t="shared" si="16"/>
        <v>11.330113677699131</v>
      </c>
      <c r="DS13" s="60">
        <f t="shared" si="17"/>
        <v>203.26877566274402</v>
      </c>
      <c r="DT13" s="60">
        <f ca="1">AVERAGE(OFFSET($DS$3,0,0,'Données projet'!$E$14+1,1))-AVERAGE(OFFSET($H$3,0,0,'Données projet'!$E$14+1,1))</f>
        <v>308.76306523144956</v>
      </c>
      <c r="DU13" s="60">
        <f t="shared" si="44"/>
        <v>283.28099819802776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27.564102564102562</v>
      </c>
      <c r="EH13" s="13">
        <f>VLOOKUP(A13,'Données projet'!$A$191:$I$211,9,0)</f>
        <v>2.7564102564102564</v>
      </c>
      <c r="EI13" s="13">
        <f t="array" ref="EI13">INDEX(EH:EH,MIN(IF(ISNUMBER(EH13:EH209),ROW(EH13:EH209),"")))</f>
        <v>2.7564102564102564</v>
      </c>
      <c r="EJ13" s="13">
        <f>IF('Données projet'!$A$192&gt;35,EJ12+EI13-ER12,IF(A13&lt;'Données projet'!$A$192,$EG$205^A13,IF(A13='Données projet'!$A$192,'Données projet'!$B$192,EJ12+EI13-ER12)))</f>
        <v>27.564102564102562</v>
      </c>
      <c r="EK13" s="18">
        <f>EJ13*VLOOKUP('Données projet'!$B$15,Paramètres!$A$1:$I$89,3,0)*VLOOKUP('Données projet'!$B$15,Paramètres!$A$1:$I$89,5,0)</f>
        <v>18.489999999999998</v>
      </c>
      <c r="EL13" s="14">
        <f t="shared" si="45"/>
        <v>6.0676080600790234</v>
      </c>
      <c r="EM13" s="22">
        <f t="shared" si="19"/>
        <v>42.771167371304301</v>
      </c>
      <c r="EN13" s="60">
        <f t="shared" si="20"/>
        <v>234.70982935634919</v>
      </c>
      <c r="EO13" s="60">
        <f ca="1">AVERAGE(OFFSET($EN$3,0,0,'Données projet'!$E$15+1,1))-AVERAGE(OFFSET($H$3,0,0,'Données projet'!$E$15+1,1))</f>
        <v>375.49921531693559</v>
      </c>
      <c r="EP13" s="60">
        <f t="shared" si="46"/>
        <v>306.93934681565599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2.8</v>
      </c>
      <c r="FE13" s="13">
        <f>IF('Données projet'!$A$218&gt;35,FE12+FD13-FM12,IF(A13&lt;'Données projet'!$A$218,$FB$205^A13,IF(A13='Données projet'!$A$218,'Données projet'!$B$218,FE12+FD13-FM12)))</f>
        <v>12.08276123596054</v>
      </c>
      <c r="FF13" s="18">
        <f>FE13*VLOOKUP('Données projet'!$B$16,Paramètres!$A$1:$I$89,3,0)*VLOOKUP('Données projet'!$B$16,Paramètres!$A$1:$I$89,5,0)</f>
        <v>9.8015359146111898</v>
      </c>
      <c r="FG13" s="14">
        <f t="shared" si="47"/>
        <v>3.4630563877582672</v>
      </c>
      <c r="FH13" s="22">
        <f t="shared" si="22"/>
        <v>23.102498259960139</v>
      </c>
      <c r="FI13" s="60">
        <f t="shared" si="23"/>
        <v>215.04116024500502</v>
      </c>
      <c r="FJ13" s="60">
        <f ca="1">AVERAGE(OFFSET($FI$3,0,0,'Données projet'!$E$16+1,1))-AVERAGE(OFFSET($H$3,0,0,'Données projet'!$E$16+1,1))</f>
        <v>308.58270639204238</v>
      </c>
      <c r="FK13" s="60">
        <f t="shared" si="48"/>
        <v>258.90832875500325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2.1</v>
      </c>
      <c r="FZ13" s="13">
        <f>IF('Données projet'!$A$244&gt;35,FZ12+FY13-GH12,IF(A13&lt;'Données projet'!$A$244,$FW$205^A13,IF(A13='Données projet'!$A$244,'Données projet'!$B$244,FZ12+FY13-GH12)))</f>
        <v>6.4807406984078657</v>
      </c>
      <c r="GA13" s="18">
        <f>FZ13*VLOOKUP('Données projet'!$B$17,Paramètres!$A$1:$I$89,3,0)*VLOOKUP('Données projet'!$B$17,Paramètres!$A$1:$I$89,5,0)</f>
        <v>6.2681724035000874</v>
      </c>
      <c r="GB13" s="14">
        <f t="shared" si="49"/>
        <v>2.3329519459947301</v>
      </c>
      <c r="GC13" s="22">
        <f t="shared" si="25"/>
        <v>14.98029157537014</v>
      </c>
      <c r="GD13" s="60">
        <f t="shared" si="26"/>
        <v>206.91895356041502</v>
      </c>
      <c r="GE13" s="60">
        <f ca="1">AVERAGE(OFFSET($GD$3,0,0,'Données projet'!$E$17+1,1))-AVERAGE(OFFSET($H$3,0,0,'Données projet'!$E$17+1,1))</f>
        <v>495.77880062178235</v>
      </c>
      <c r="GF13" s="60">
        <f t="shared" si="50"/>
        <v>263.55891737750301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1.6</v>
      </c>
      <c r="N14" s="14">
        <f>IF('Données projet'!$A$36&gt;35,N13+M14-V13,IF(A14&lt;'Données projet'!$A$36,$K$205^A14,IF(A14='Données projet'!$A$36,'Données projet'!$B$36,N13+M14-V13)))</f>
        <v>6.7271713220297125</v>
      </c>
      <c r="O14" s="14">
        <f>N14*VLOOKUP('Données projet'!$B$9,Paramètres!$A$1:$I$89,3,0)*VLOOKUP('Données projet'!$B$9,Paramètres!$A$1:$I$89,5,0)</f>
        <v>5.771912994301494</v>
      </c>
      <c r="P14" s="14">
        <f t="shared" si="33"/>
        <v>2.1689733648366443</v>
      </c>
      <c r="Q14" s="22">
        <f t="shared" si="2"/>
        <v>13.830377075498925</v>
      </c>
      <c r="R14" s="60">
        <f t="shared" si="0"/>
        <v>208.32617568461305</v>
      </c>
      <c r="S14" s="60">
        <f ca="1">AVERAGE(OFFSET($R$3,0,0,'Données projet'!$E$9+1,1))-AVERAGE(OFFSET($H$3,0,0,'Données projet'!$E$9+1,1))</f>
        <v>598.73855311281966</v>
      </c>
      <c r="T14" s="60">
        <f t="shared" si="34"/>
        <v>275.88160405468193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0">
        <f t="shared" si="5"/>
        <v>213.29008170735133</v>
      </c>
      <c r="AN14" s="60">
        <f ca="1">AVERAGE(OFFSET($AM$3,0,0,'Données projet'!$E$10+1,1))-AVERAGE(OFFSET($H$3,0,0,'Données projet'!$E$10+1,1))</f>
        <v>515.72324585399997</v>
      </c>
      <c r="AO14" s="60">
        <f t="shared" si="36"/>
        <v>273.35778700650792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11.327496832229725</v>
      </c>
      <c r="BF14" s="14">
        <f t="shared" si="37"/>
        <v>3.9353632216399443</v>
      </c>
      <c r="BG14" s="22">
        <f t="shared" si="7"/>
        <v>26.582814593823006</v>
      </c>
      <c r="BH14" s="60">
        <f t="shared" si="8"/>
        <v>221.07861320293713</v>
      </c>
      <c r="BI14" s="60">
        <f ca="1">AVERAGE(OFFSET($BH$3,0,0,'Données projet'!$E$11+1,1))-AVERAGE(OFFSET($H$3,0,0,'Données projet'!$E$11+1,1))</f>
        <v>336.25341821407534</v>
      </c>
      <c r="BJ14" s="60">
        <f t="shared" si="38"/>
        <v>360.3246221345039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3.1623931623931623</v>
      </c>
      <c r="BY14" s="13">
        <f>IF('Données projet'!$A$114&gt;35,BY13+BX14-CG13,IF(A14&lt;'Données projet'!$A$114,$BV$205^A14,IF(A14='Données projet'!$A$114,'Données projet'!$B$114,BY13+BX14-CG13)))</f>
        <v>16.949044593816883</v>
      </c>
      <c r="BZ14" s="14">
        <f>BY14*VLOOKUP('Données projet'!$B$12,Paramètres!$A$1:$I$89,3,0)*VLOOKUP('Données projet'!$B$12,Paramètres!$A$1:$I$89,5,0)</f>
        <v>16.128710835476145</v>
      </c>
      <c r="CA14" s="14">
        <f t="shared" si="39"/>
        <v>5.3775829807869533</v>
      </c>
      <c r="CB14" s="22">
        <f t="shared" si="10"/>
        <v>37.456795063324897</v>
      </c>
      <c r="CC14" s="60">
        <f t="shared" si="11"/>
        <v>231.95259367243904</v>
      </c>
      <c r="CD14" s="60">
        <f ca="1">AVERAGE(OFFSET($CC$3,0,0,'Données projet'!$E$12+1,1))-AVERAGE(OFFSET($H$3,0,0,'Données projet'!$E$12+1,1))</f>
        <v>438.41611139377829</v>
      </c>
      <c r="CE14" s="60">
        <f t="shared" si="40"/>
        <v>345.17417065809605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10.68</v>
      </c>
      <c r="CT14" s="13">
        <f>IF('Données projet'!$A$140&gt;35,CT13+CS14-DB13,IF(A14&lt;'Données projet'!$A$140,$CQ$205^A14,IF(A14='Données projet'!$A$140,'Données projet'!$B$140,CT13+CS14-DB13)))</f>
        <v>21.78</v>
      </c>
      <c r="CU14" s="18">
        <f>CT14*VLOOKUP('Données projet'!$B$13,Paramètres!$A$1:$I$89,3,0)*VLOOKUP('Données projet'!$B$13,Paramètres!$A$1:$I$89,5,0)</f>
        <v>17.328168000000002</v>
      </c>
      <c r="CV14" s="14">
        <f t="shared" si="41"/>
        <v>5.7294628302508057</v>
      </c>
      <c r="CW14" s="22">
        <f t="shared" si="13"/>
        <v>40.158707029353486</v>
      </c>
      <c r="CX14" s="60">
        <f t="shared" si="14"/>
        <v>234.65450563846761</v>
      </c>
      <c r="CY14" s="60">
        <f ca="1">AVERAGE(OFFSET($CX$3,0,0,'Données projet'!$E$13+1,1))-AVERAGE(OFFSET($H$3,0,0,'Données projet'!$E$13+1,1))</f>
        <v>395.27840703467933</v>
      </c>
      <c r="CZ14" s="60">
        <f t="shared" si="42"/>
        <v>364.24192380053944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3.56</v>
      </c>
      <c r="DO14" s="13">
        <f>IF('Données projet'!$A$166&gt;35,DO13+DN14-DW13,IF(A14&lt;'Données projet'!$A$166,$DL$205^A14,IF(A14='Données projet'!$A$166,'Données projet'!$B$166,DO13+DN14-DW13)))</f>
        <v>7.206619673149639</v>
      </c>
      <c r="DP14" s="18">
        <f>DO14*VLOOKUP('Données projet'!$B$14,Paramètres!$A$1:$I$89,3,0)*VLOOKUP('Données projet'!$B$14,Paramètres!$A$1:$I$89,5,0)</f>
        <v>5.6211633450567184</v>
      </c>
      <c r="DQ14" s="14">
        <f t="shared" si="43"/>
        <v>2.1188416445874947</v>
      </c>
      <c r="DR14" s="22">
        <f t="shared" si="16"/>
        <v>13.480508690297002</v>
      </c>
      <c r="DS14" s="60">
        <f t="shared" si="17"/>
        <v>207.97630729941113</v>
      </c>
      <c r="DT14" s="60">
        <f ca="1">AVERAGE(OFFSET($DS$3,0,0,'Données projet'!$E$14+1,1))-AVERAGE(OFFSET($H$3,0,0,'Données projet'!$E$14+1,1))</f>
        <v>308.76306523144956</v>
      </c>
      <c r="DU14" s="60">
        <f t="shared" si="44"/>
        <v>283.28099819802776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8.2051282051282062</v>
      </c>
      <c r="EJ14" s="13">
        <f>IF('Données projet'!$A$192&gt;35,EJ13+EI14-ER13,IF(A14&lt;'Données projet'!$A$192,$EG$205^A14,IF(A14='Données projet'!$A$192,'Données projet'!$B$192,EJ13+EI14-ER13)))</f>
        <v>35.769230769230766</v>
      </c>
      <c r="EK14" s="18">
        <f>EJ14*VLOOKUP('Données projet'!$B$15,Paramètres!$A$1:$I$89,3,0)*VLOOKUP('Données projet'!$B$15,Paramètres!$A$1:$I$89,5,0)</f>
        <v>23.993999999999996</v>
      </c>
      <c r="EL14" s="14">
        <f t="shared" si="45"/>
        <v>7.6385472676020845</v>
      </c>
      <c r="EM14" s="22">
        <f t="shared" si="19"/>
        <v>55.093353157740296</v>
      </c>
      <c r="EN14" s="60">
        <f t="shared" si="20"/>
        <v>249.58915176685443</v>
      </c>
      <c r="EO14" s="60">
        <f ca="1">AVERAGE(OFFSET($EN$3,0,0,'Données projet'!$E$15+1,1))-AVERAGE(OFFSET($H$3,0,0,'Données projet'!$E$15+1,1))</f>
        <v>375.49921531693559</v>
      </c>
      <c r="EP14" s="60">
        <f t="shared" si="46"/>
        <v>306.93934681565599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2.8</v>
      </c>
      <c r="FE14" s="13">
        <f>IF('Données projet'!$A$218&gt;35,FE13+FD14-FM13,IF(A14&lt;'Données projet'!$A$218,$FB$205^A14,IF(A14='Données projet'!$A$218,'Données projet'!$B$218,FE13+FD14-FM13)))</f>
        <v>15.501824397673841</v>
      </c>
      <c r="FF14" s="18">
        <f>FE14*VLOOKUP('Données projet'!$B$16,Paramètres!$A$1:$I$89,3,0)*VLOOKUP('Données projet'!$B$16,Paramètres!$A$1:$I$89,5,0)</f>
        <v>12.575079951393022</v>
      </c>
      <c r="FG14" s="14">
        <f t="shared" si="47"/>
        <v>4.3159834228282739</v>
      </c>
      <c r="FH14" s="22">
        <f t="shared" si="22"/>
        <v>29.418602043435424</v>
      </c>
      <c r="FI14" s="60">
        <f t="shared" si="23"/>
        <v>223.91440065254955</v>
      </c>
      <c r="FJ14" s="60">
        <f ca="1">AVERAGE(OFFSET($FI$3,0,0,'Données projet'!$E$16+1,1))-AVERAGE(OFFSET($H$3,0,0,'Données projet'!$E$16+1,1))</f>
        <v>308.58270639204238</v>
      </c>
      <c r="FK14" s="60">
        <f t="shared" si="48"/>
        <v>258.90832875500325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2.1</v>
      </c>
      <c r="FZ14" s="13">
        <f>IF('Données projet'!$A$244&gt;35,FZ13+FY14-GH13,IF(A14&lt;'Données projet'!$A$244,$FW$205^A14,IF(A14='Données projet'!$A$244,'Données projet'!$B$244,FZ13+FY14-GH13)))</f>
        <v>7.8124474610620815</v>
      </c>
      <c r="GA14" s="18">
        <f>FZ14*VLOOKUP('Données projet'!$B$17,Paramètres!$A$1:$I$89,3,0)*VLOOKUP('Données projet'!$B$17,Paramètres!$A$1:$I$89,5,0)</f>
        <v>7.5561991843392455</v>
      </c>
      <c r="GB14" s="14">
        <f t="shared" si="49"/>
        <v>2.7518258561310041</v>
      </c>
      <c r="GC14" s="22">
        <f t="shared" si="25"/>
        <v>17.953143612152349</v>
      </c>
      <c r="GD14" s="60">
        <f t="shared" si="26"/>
        <v>212.44894222126649</v>
      </c>
      <c r="GE14" s="60">
        <f ca="1">AVERAGE(OFFSET($GD$3,0,0,'Données projet'!$E$17+1,1))-AVERAGE(OFFSET($H$3,0,0,'Données projet'!$E$17+1,1))</f>
        <v>495.77880062178235</v>
      </c>
      <c r="GF14" s="60">
        <f t="shared" si="50"/>
        <v>263.55891737750301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1.6</v>
      </c>
      <c r="N15" s="14">
        <f>IF('Données projet'!$A$36&gt;35,N14+M15-V14,IF(A15&lt;'Données projet'!$A$36,$K$205^A15,IF(A15='Données projet'!$A$36,'Données projet'!$B$36,N14+M15-V14)))</f>
        <v>7.9999999999999947</v>
      </c>
      <c r="O15" s="14">
        <f>N15*VLOOKUP('Données projet'!$B$9,Paramètres!$A$1:$I$89,3,0)*VLOOKUP('Données projet'!$B$9,Paramètres!$A$1:$I$89,5,0)</f>
        <v>6.8639999999999963</v>
      </c>
      <c r="P15" s="14">
        <f t="shared" si="33"/>
        <v>2.5278525909113112</v>
      </c>
      <c r="Q15" s="22">
        <f t="shared" si="2"/>
        <v>16.357476595837191</v>
      </c>
      <c r="R15" s="60">
        <f t="shared" si="0"/>
        <v>213.38725404857007</v>
      </c>
      <c r="S15" s="60">
        <f ca="1">AVERAGE(OFFSET($R$3,0,0,'Données projet'!$E$9+1,1))-AVERAGE(OFFSET($H$3,0,0,'Données projet'!$E$9+1,1))</f>
        <v>598.73855311281966</v>
      </c>
      <c r="T15" s="60">
        <f t="shared" si="34"/>
        <v>275.88160405468193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0">
        <f t="shared" si="5"/>
        <v>219.55641249162716</v>
      </c>
      <c r="AN15" s="60">
        <f ca="1">AVERAGE(OFFSET($AM$3,0,0,'Données projet'!$E$10+1,1))-AVERAGE(OFFSET($H$3,0,0,'Données projet'!$E$10+1,1))</f>
        <v>515.72324585399997</v>
      </c>
      <c r="AO15" s="60">
        <f t="shared" si="36"/>
        <v>273.35778700650792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14.420889736794125</v>
      </c>
      <c r="BF15" s="14">
        <f t="shared" si="37"/>
        <v>4.8712166528651375</v>
      </c>
      <c r="BG15" s="22">
        <f t="shared" si="7"/>
        <v>33.600418628656548</v>
      </c>
      <c r="BH15" s="60">
        <f t="shared" si="8"/>
        <v>230.63019608138941</v>
      </c>
      <c r="BI15" s="60">
        <f ca="1">AVERAGE(OFFSET($BH$3,0,0,'Données projet'!$E$11+1,1))-AVERAGE(OFFSET($H$3,0,0,'Données projet'!$E$11+1,1))</f>
        <v>336.25341821407534</v>
      </c>
      <c r="BJ15" s="60">
        <f t="shared" si="38"/>
        <v>360.3246221345039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3.1623931623931623</v>
      </c>
      <c r="BY15" s="13">
        <f>IF('Données projet'!$A$114&gt;35,BY14+BX15-CG14,IF(A15&lt;'Données projet'!$A$114,$BV$205^A15,IF(A15='Données projet'!$A$114,'Données projet'!$B$114,BY14+BX15-CG14)))</f>
        <v>21.922278822444071</v>
      </c>
      <c r="BZ15" s="14">
        <f>BY15*VLOOKUP('Données projet'!$B$12,Paramètres!$A$1:$I$89,3,0)*VLOOKUP('Données projet'!$B$12,Paramètres!$A$1:$I$89,5,0)</f>
        <v>20.861240527437776</v>
      </c>
      <c r="CA15" s="14">
        <f t="shared" si="39"/>
        <v>6.750267822211284</v>
      </c>
      <c r="CB15" s="22">
        <f t="shared" si="10"/>
        <v>48.090043708972111</v>
      </c>
      <c r="CC15" s="60">
        <f t="shared" si="11"/>
        <v>245.11982116170498</v>
      </c>
      <c r="CD15" s="60">
        <f ca="1">AVERAGE(OFFSET($CC$3,0,0,'Données projet'!$E$12+1,1))-AVERAGE(OFFSET($H$3,0,0,'Données projet'!$E$12+1,1))</f>
        <v>438.41611139377829</v>
      </c>
      <c r="CE15" s="60">
        <f t="shared" si="40"/>
        <v>345.17417065809605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10.68</v>
      </c>
      <c r="CT15" s="13">
        <f>IF('Données projet'!$A$140&gt;35,CT14+CS15-DB14,IF(A15&lt;'Données projet'!$A$140,$CQ$205^A15,IF(A15='Données projet'!$A$140,'Données projet'!$B$140,CT14+CS15-DB14)))</f>
        <v>32.46</v>
      </c>
      <c r="CU15" s="18">
        <f>CT15*VLOOKUP('Données projet'!$B$13,Paramètres!$A$1:$I$89,3,0)*VLOOKUP('Données projet'!$B$13,Paramètres!$A$1:$I$89,5,0)</f>
        <v>25.825176000000003</v>
      </c>
      <c r="CV15" s="14">
        <f t="shared" si="41"/>
        <v>8.1514246027621944</v>
      </c>
      <c r="CW15" s="22">
        <f t="shared" si="13"/>
        <v>59.175912716477491</v>
      </c>
      <c r="CX15" s="60">
        <f t="shared" si="14"/>
        <v>256.20569016921036</v>
      </c>
      <c r="CY15" s="60">
        <f ca="1">AVERAGE(OFFSET($CX$3,0,0,'Données projet'!$E$13+1,1))-AVERAGE(OFFSET($H$3,0,0,'Données projet'!$E$13+1,1))</f>
        <v>395.27840703467933</v>
      </c>
      <c r="CZ15" s="60">
        <f t="shared" si="42"/>
        <v>364.24192380053944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3.56</v>
      </c>
      <c r="DO15" s="13">
        <f>IF('Données projet'!$A$166&gt;35,DO14+DN15-DW14,IF(A15&lt;'Données projet'!$A$166,$DL$205^A15,IF(A15='Données projet'!$A$166,'Données projet'!$B$166,DO14+DN15-DW14)))</f>
        <v>8.6239693271150166</v>
      </c>
      <c r="DP15" s="18">
        <f>DO15*VLOOKUP('Données projet'!$B$14,Paramètres!$A$1:$I$89,3,0)*VLOOKUP('Données projet'!$B$14,Paramètres!$A$1:$I$89,5,0)</f>
        <v>6.7266960751497136</v>
      </c>
      <c r="DQ15" s="14">
        <f t="shared" si="43"/>
        <v>2.4831201866130401</v>
      </c>
      <c r="DR15" s="22">
        <f t="shared" si="16"/>
        <v>16.040429989236795</v>
      </c>
      <c r="DS15" s="60">
        <f t="shared" si="17"/>
        <v>213.07020744196967</v>
      </c>
      <c r="DT15" s="60">
        <f ca="1">AVERAGE(OFFSET($DS$3,0,0,'Données projet'!$E$14+1,1))-AVERAGE(OFFSET($H$3,0,0,'Données projet'!$E$14+1,1))</f>
        <v>308.76306523144956</v>
      </c>
      <c r="DU15" s="60">
        <f t="shared" si="44"/>
        <v>283.28099819802776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8.2051282051282062</v>
      </c>
      <c r="EJ15" s="13">
        <f>IF('Données projet'!$A$192&gt;35,EJ14+EI15-ER14,IF(A15&lt;'Données projet'!$A$192,$EG$205^A15,IF(A15='Données projet'!$A$192,'Données projet'!$B$192,EJ14+EI15-ER14)))</f>
        <v>43.974358974358971</v>
      </c>
      <c r="EK15" s="18">
        <f>EJ15*VLOOKUP('Données projet'!$B$15,Paramètres!$A$1:$I$89,3,0)*VLOOKUP('Données projet'!$B$15,Paramètres!$A$1:$I$89,5,0)</f>
        <v>29.498000000000001</v>
      </c>
      <c r="EL15" s="14">
        <f t="shared" si="45"/>
        <v>9.1677081835776981</v>
      </c>
      <c r="EM15" s="22">
        <f t="shared" si="19"/>
        <v>67.342775086397822</v>
      </c>
      <c r="EN15" s="60">
        <f t="shared" si="20"/>
        <v>264.37255253913071</v>
      </c>
      <c r="EO15" s="60">
        <f ca="1">AVERAGE(OFFSET($EN$3,0,0,'Données projet'!$E$15+1,1))-AVERAGE(OFFSET($H$3,0,0,'Données projet'!$E$15+1,1))</f>
        <v>375.49921531693559</v>
      </c>
      <c r="EP15" s="60">
        <f t="shared" si="46"/>
        <v>306.93934681565599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2.8</v>
      </c>
      <c r="FE15" s="13">
        <f>IF('Données projet'!$A$218&gt;35,FE14+FD15-FM14,IF(A15&lt;'Données projet'!$A$218,$FB$205^A15,IF(A15='Données projet'!$A$218,'Données projet'!$B$218,FE14+FD15-FM14)))</f>
        <v>19.888381054913101</v>
      </c>
      <c r="FF15" s="18">
        <f>FE15*VLOOKUP('Données projet'!$B$16,Paramètres!$A$1:$I$89,3,0)*VLOOKUP('Données projet'!$B$16,Paramètres!$A$1:$I$89,5,0)</f>
        <v>16.133454711745507</v>
      </c>
      <c r="FG15" s="14">
        <f t="shared" si="47"/>
        <v>5.3789805363772061</v>
      </c>
      <c r="FH15" s="22">
        <f t="shared" si="22"/>
        <v>37.46749139048039</v>
      </c>
      <c r="FI15" s="60">
        <f t="shared" si="23"/>
        <v>234.49726884321325</v>
      </c>
      <c r="FJ15" s="60">
        <f ca="1">AVERAGE(OFFSET($FI$3,0,0,'Données projet'!$E$16+1,1))-AVERAGE(OFFSET($H$3,0,0,'Données projet'!$E$16+1,1))</f>
        <v>308.58270639204238</v>
      </c>
      <c r="FK15" s="60">
        <f t="shared" si="48"/>
        <v>258.90832875500325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2.1</v>
      </c>
      <c r="FZ15" s="13">
        <f>IF('Données projet'!$A$244&gt;35,FZ14+FY15-GH14,IF(A15&lt;'Données projet'!$A$244,$FW$205^A15,IF(A15='Données projet'!$A$244,'Données projet'!$B$244,FZ14+FY15-GH14)))</f>
        <v>9.4178024044149407</v>
      </c>
      <c r="GA15" s="18">
        <f>FZ15*VLOOKUP('Données projet'!$B$17,Paramètres!$A$1:$I$89,3,0)*VLOOKUP('Données projet'!$B$17,Paramètres!$A$1:$I$89,5,0)</f>
        <v>9.1088984855501316</v>
      </c>
      <c r="GB15" s="14">
        <f t="shared" si="49"/>
        <v>3.2459072101643005</v>
      </c>
      <c r="GC15" s="22">
        <f t="shared" si="25"/>
        <v>21.517953253369303</v>
      </c>
      <c r="GD15" s="60">
        <f t="shared" si="26"/>
        <v>218.54773070610219</v>
      </c>
      <c r="GE15" s="60">
        <f ca="1">AVERAGE(OFFSET($GD$3,0,0,'Données projet'!$E$17+1,1))-AVERAGE(OFFSET($H$3,0,0,'Données projet'!$E$17+1,1))</f>
        <v>495.77880062178235</v>
      </c>
      <c r="GF15" s="60">
        <f t="shared" si="50"/>
        <v>263.55891737750301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1.6</v>
      </c>
      <c r="N16" s="14">
        <f>IF('Données projet'!$A$36&gt;35,N15+M16-V15,IF(A16&lt;'Données projet'!$A$36,$K$205^A16,IF(A16='Données projet'!$A$36,'Données projet'!$B$36,N15+M16-V15)))</f>
        <v>9.5136569200217629</v>
      </c>
      <c r="O16" s="14">
        <f>N16*VLOOKUP('Données projet'!$B$9,Paramètres!$A$1:$I$89,3,0)*VLOOKUP('Données projet'!$B$9,Paramètres!$A$1:$I$89,5,0)</f>
        <v>8.1627176373786732</v>
      </c>
      <c r="P16" s="14">
        <f t="shared" si="33"/>
        <v>2.946112121509751</v>
      </c>
      <c r="Q16" s="22">
        <f t="shared" si="2"/>
        <v>19.347878496730672</v>
      </c>
      <c r="R16" s="60">
        <f t="shared" si="0"/>
        <v>218.8888787483495</v>
      </c>
      <c r="S16" s="60">
        <f ca="1">AVERAGE(OFFSET($R$3,0,0,'Données projet'!$E$9+1,1))-AVERAGE(OFFSET($H$3,0,0,'Données projet'!$E$9+1,1))</f>
        <v>598.73855311281966</v>
      </c>
      <c r="T16" s="60">
        <f t="shared" si="34"/>
        <v>275.88160405468193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0">
        <f t="shared" si="5"/>
        <v>226.54366252015072</v>
      </c>
      <c r="AN16" s="60">
        <f ca="1">AVERAGE(OFFSET($AM$3,0,0,'Données projet'!$E$10+1,1))-AVERAGE(OFFSET($H$3,0,0,'Données projet'!$E$10+1,1))</f>
        <v>515.72324585399997</v>
      </c>
      <c r="AO16" s="60">
        <f t="shared" si="36"/>
        <v>273.35778700650792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18.359048241714532</v>
      </c>
      <c r="BF16" s="14">
        <f t="shared" si="37"/>
        <v>6.0296217509656884</v>
      </c>
      <c r="BG16" s="22">
        <f t="shared" si="7"/>
        <v>42.47693357058472</v>
      </c>
      <c r="BH16" s="60">
        <f t="shared" si="8"/>
        <v>242.01793382220353</v>
      </c>
      <c r="BI16" s="60">
        <f ca="1">AVERAGE(OFFSET($BH$3,0,0,'Données projet'!$E$11+1,1))-AVERAGE(OFFSET($H$3,0,0,'Données projet'!$E$11+1,1))</f>
        <v>336.25341821407534</v>
      </c>
      <c r="BJ16" s="60">
        <f t="shared" si="38"/>
        <v>360.3246221345039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3.1623931623931623</v>
      </c>
      <c r="BY16" s="13">
        <f>IF('Données projet'!$A$114&gt;35,BY15+BX16-CG15,IF(A16&lt;'Données projet'!$A$114,$BV$205^A16,IF(A16='Données projet'!$A$114,'Données projet'!$B$114,BY15+BX16-CG15)))</f>
        <v>28.35477280791984</v>
      </c>
      <c r="BZ16" s="14">
        <f>BY16*VLOOKUP('Données projet'!$B$12,Paramètres!$A$1:$I$89,3,0)*VLOOKUP('Données projet'!$B$12,Paramètres!$A$1:$I$89,5,0)</f>
        <v>26.982401804016519</v>
      </c>
      <c r="CA16" s="14">
        <f t="shared" si="39"/>
        <v>8.4733449645277137</v>
      </c>
      <c r="CB16" s="22">
        <f t="shared" si="10"/>
        <v>61.752092288547864</v>
      </c>
      <c r="CC16" s="60">
        <f t="shared" si="11"/>
        <v>261.2930925401667</v>
      </c>
      <c r="CD16" s="60">
        <f ca="1">AVERAGE(OFFSET($CC$3,0,0,'Données projet'!$E$12+1,1))-AVERAGE(OFFSET($H$3,0,0,'Données projet'!$E$12+1,1))</f>
        <v>438.41611139377829</v>
      </c>
      <c r="CE16" s="60">
        <f t="shared" si="40"/>
        <v>345.17417065809605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10.68</v>
      </c>
      <c r="CT16" s="13">
        <f>IF('Données projet'!$A$140&gt;35,CT15+CS16-DB15,IF(A16&lt;'Données projet'!$A$140,$CQ$205^A16,IF(A16='Données projet'!$A$140,'Données projet'!$B$140,CT15+CS16-DB15)))</f>
        <v>43.14</v>
      </c>
      <c r="CU16" s="18">
        <f>CT16*VLOOKUP('Données projet'!$B$13,Paramètres!$A$1:$I$89,3,0)*VLOOKUP('Données projet'!$B$13,Paramètres!$A$1:$I$89,5,0)</f>
        <v>34.322184</v>
      </c>
      <c r="CV16" s="14">
        <f t="shared" si="41"/>
        <v>10.480597920580347</v>
      </c>
      <c r="CW16" s="22">
        <f t="shared" si="13"/>
        <v>78.031511845010769</v>
      </c>
      <c r="CX16" s="60">
        <f t="shared" si="14"/>
        <v>277.57251209662957</v>
      </c>
      <c r="CY16" s="60">
        <f ca="1">AVERAGE(OFFSET($CX$3,0,0,'Données projet'!$E$13+1,1))-AVERAGE(OFFSET($H$3,0,0,'Données projet'!$E$13+1,1))</f>
        <v>395.27840703467933</v>
      </c>
      <c r="CZ16" s="60">
        <f t="shared" si="42"/>
        <v>364.24192380053944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3.56</v>
      </c>
      <c r="DO16" s="13">
        <f>IF('Données projet'!$A$166&gt;35,DO15+DN16-DW15,IF(A16&lt;'Données projet'!$A$166,$DL$205^A16,IF(A16='Données projet'!$A$166,'Données projet'!$B$166,DO15+DN16-DW15)))</f>
        <v>10.320073811043248</v>
      </c>
      <c r="DP16" s="18">
        <f>DO16*VLOOKUP('Données projet'!$B$14,Paramètres!$A$1:$I$89,3,0)*VLOOKUP('Données projet'!$B$14,Paramètres!$A$1:$I$89,5,0)</f>
        <v>8.049657572613734</v>
      </c>
      <c r="DQ16" s="14">
        <f t="shared" si="43"/>
        <v>2.9100267483017022</v>
      </c>
      <c r="DR16" s="22">
        <f t="shared" si="16"/>
        <v>19.088116858927716</v>
      </c>
      <c r="DS16" s="60">
        <f t="shared" si="17"/>
        <v>218.62911711054653</v>
      </c>
      <c r="DT16" s="60">
        <f ca="1">AVERAGE(OFFSET($DS$3,0,0,'Données projet'!$E$14+1,1))-AVERAGE(OFFSET($H$3,0,0,'Données projet'!$E$14+1,1))</f>
        <v>308.76306523144956</v>
      </c>
      <c r="DU16" s="60">
        <f t="shared" si="44"/>
        <v>283.28099819802776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8.2051282051282062</v>
      </c>
      <c r="EJ16" s="13">
        <f>IF('Données projet'!$A$192&gt;35,EJ15+EI16-ER15,IF(A16&lt;'Données projet'!$A$192,$EG$205^A16,IF(A16='Données projet'!$A$192,'Données projet'!$B$192,EJ15+EI16-ER15)))</f>
        <v>52.179487179487175</v>
      </c>
      <c r="EK16" s="18">
        <f>EJ16*VLOOKUP('Données projet'!$B$15,Paramètres!$A$1:$I$89,3,0)*VLOOKUP('Données projet'!$B$15,Paramètres!$A$1:$I$89,5,0)</f>
        <v>35.001999999999995</v>
      </c>
      <c r="EL16" s="14">
        <f t="shared" si="45"/>
        <v>10.663812893674448</v>
      </c>
      <c r="EM16" s="22">
        <f t="shared" si="19"/>
        <v>79.534624123149641</v>
      </c>
      <c r="EN16" s="60">
        <f t="shared" si="20"/>
        <v>279.07562437476844</v>
      </c>
      <c r="EO16" s="60">
        <f ca="1">AVERAGE(OFFSET($EN$3,0,0,'Données projet'!$E$15+1,1))-AVERAGE(OFFSET($H$3,0,0,'Données projet'!$E$15+1,1))</f>
        <v>375.49921531693559</v>
      </c>
      <c r="EP16" s="60">
        <f t="shared" si="46"/>
        <v>306.93934681565599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2.8</v>
      </c>
      <c r="FE16" s="13">
        <f>IF('Données projet'!$A$218&gt;35,FE15+FD16-FM15,IF(A16&lt;'Données projet'!$A$218,$FB$205^A16,IF(A16='Données projet'!$A$218,'Données projet'!$B$218,FE15+FD16-FM15)))</f>
        <v>25.51620317959356</v>
      </c>
      <c r="FF16" s="18">
        <f>FE16*VLOOKUP('Données projet'!$B$16,Paramètres!$A$1:$I$89,3,0)*VLOOKUP('Données projet'!$B$16,Paramètres!$A$1:$I$89,5,0)</f>
        <v>20.698744019286298</v>
      </c>
      <c r="FG16" s="14">
        <f t="shared" si="47"/>
        <v>6.7037865478557999</v>
      </c>
      <c r="FH16" s="22">
        <f t="shared" si="22"/>
        <v>47.72607407110582</v>
      </c>
      <c r="FI16" s="60">
        <f t="shared" si="23"/>
        <v>247.26707432272462</v>
      </c>
      <c r="FJ16" s="60">
        <f ca="1">AVERAGE(OFFSET($FI$3,0,0,'Données projet'!$E$16+1,1))-AVERAGE(OFFSET($H$3,0,0,'Données projet'!$E$16+1,1))</f>
        <v>308.58270639204238</v>
      </c>
      <c r="FK16" s="60">
        <f t="shared" si="48"/>
        <v>258.90832875500325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2.1</v>
      </c>
      <c r="FZ16" s="13">
        <f>IF('Données projet'!$A$244&gt;35,FZ15+FY16-GH15,IF(A16&lt;'Données projet'!$A$244,$FW$205^A16,IF(A16='Données projet'!$A$244,'Données projet'!$B$244,FZ15+FY16-GH15)))</f>
        <v>11.35303662145153</v>
      </c>
      <c r="GA16" s="18">
        <f>FZ16*VLOOKUP('Données projet'!$B$17,Paramètres!$A$1:$I$89,3,0)*VLOOKUP('Données projet'!$B$17,Paramètres!$A$1:$I$89,5,0)</f>
        <v>10.98065702026792</v>
      </c>
      <c r="GB16" s="14">
        <f t="shared" si="49"/>
        <v>3.8286992592655618</v>
      </c>
      <c r="GC16" s="22">
        <f t="shared" si="25"/>
        <v>25.792962186854144</v>
      </c>
      <c r="GD16" s="60">
        <f t="shared" si="26"/>
        <v>225.33396243847295</v>
      </c>
      <c r="GE16" s="60">
        <f ca="1">AVERAGE(OFFSET($GD$3,0,0,'Données projet'!$E$17+1,1))-AVERAGE(OFFSET($H$3,0,0,'Données projet'!$E$17+1,1))</f>
        <v>495.77880062178235</v>
      </c>
      <c r="GF16" s="60">
        <f t="shared" si="50"/>
        <v>263.55891737750301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1.6</v>
      </c>
      <c r="N17" s="14">
        <f>IF('Données projet'!$A$36&gt;35,N16+M17-V16,IF(A17&lt;'Données projet'!$A$36,$K$205^A17,IF(A17='Données projet'!$A$36,'Données projet'!$B$36,N16+M17-V16)))</f>
        <v>11.313708498984752</v>
      </c>
      <c r="O17" s="14">
        <f>N17*VLOOKUP('Données projet'!$B$9,Paramètres!$A$1:$I$89,3,0)*VLOOKUP('Données projet'!$B$9,Paramètres!$A$1:$I$89,5,0)</f>
        <v>9.7071618921289176</v>
      </c>
      <c r="P17" s="14">
        <f t="shared" si="33"/>
        <v>3.433577046269785</v>
      </c>
      <c r="Q17" s="22">
        <f t="shared" si="2"/>
        <v>22.886786984377736</v>
      </c>
      <c r="R17" s="60">
        <f t="shared" si="0"/>
        <v>224.91664875665094</v>
      </c>
      <c r="S17" s="60">
        <f ca="1">AVERAGE(OFFSET($R$3,0,0,'Données projet'!$E$9+1,1))-AVERAGE(OFFSET($H$3,0,0,'Données projet'!$E$9+1,1))</f>
        <v>598.73855311281966</v>
      </c>
      <c r="T17" s="60">
        <f t="shared" si="34"/>
        <v>275.88160405468193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0">
        <f t="shared" si="5"/>
        <v>234.400863286803</v>
      </c>
      <c r="AN17" s="60">
        <f ca="1">AVERAGE(OFFSET($AM$3,0,0,'Données projet'!$E$10+1,1))-AVERAGE(OFFSET($H$3,0,0,'Données projet'!$E$10+1,1))</f>
        <v>515.72324585399997</v>
      </c>
      <c r="AO17" s="60">
        <f t="shared" si="36"/>
        <v>273.35778700650792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23.372666908451887</v>
      </c>
      <c r="BF17" s="14">
        <f t="shared" si="37"/>
        <v>7.4635026627966923</v>
      </c>
      <c r="BG17" s="22">
        <f t="shared" si="7"/>
        <v>53.706328669924602</v>
      </c>
      <c r="BH17" s="60">
        <f t="shared" si="8"/>
        <v>255.7361904421978</v>
      </c>
      <c r="BI17" s="60">
        <f ca="1">AVERAGE(OFFSET($BH$3,0,0,'Données projet'!$E$11+1,1))-AVERAGE(OFFSET($H$3,0,0,'Données projet'!$E$11+1,1))</f>
        <v>336.25341821407534</v>
      </c>
      <c r="BJ17" s="60">
        <f t="shared" si="38"/>
        <v>360.3246221345039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3.1623931623931623</v>
      </c>
      <c r="BY17" s="13">
        <f>IF('Données projet'!$A$114&gt;35,BY16+BX17-CG16,IF(A17&lt;'Données projet'!$A$114,$BV$205^A17,IF(A17='Données projet'!$A$114,'Données projet'!$B$114,BY16+BX17-CG16)))</f>
        <v>36.674706471008875</v>
      </c>
      <c r="BZ17" s="14">
        <f>BY17*VLOOKUP('Données projet'!$B$12,Paramètres!$A$1:$I$89,3,0)*VLOOKUP('Données projet'!$B$12,Paramètres!$A$1:$I$89,5,0)</f>
        <v>34.899650677812041</v>
      </c>
      <c r="CA17" s="14">
        <f t="shared" si="39"/>
        <v>10.636255742571029</v>
      </c>
      <c r="CB17" s="22">
        <f t="shared" si="10"/>
        <v>79.308370348833833</v>
      </c>
      <c r="CC17" s="60">
        <f t="shared" si="11"/>
        <v>281.33823212110701</v>
      </c>
      <c r="CD17" s="60">
        <f ca="1">AVERAGE(OFFSET($CC$3,0,0,'Données projet'!$E$12+1,1))-AVERAGE(OFFSET($H$3,0,0,'Données projet'!$E$12+1,1))</f>
        <v>438.41611139377829</v>
      </c>
      <c r="CE17" s="60">
        <f t="shared" si="40"/>
        <v>345.17417065809605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10.68</v>
      </c>
      <c r="CT17" s="13">
        <f>IF('Données projet'!$A$140&gt;35,CT16+CS17-DB16,IF(A17&lt;'Données projet'!$A$140,$CQ$205^A17,IF(A17='Données projet'!$A$140,'Données projet'!$B$140,CT16+CS17-DB16)))</f>
        <v>53.82</v>
      </c>
      <c r="CU17" s="18">
        <f>CT17*VLOOKUP('Données projet'!$B$13,Paramètres!$A$1:$I$89,3,0)*VLOOKUP('Données projet'!$B$13,Paramètres!$A$1:$I$89,5,0)</f>
        <v>42.819192000000001</v>
      </c>
      <c r="CV17" s="14">
        <f t="shared" si="41"/>
        <v>12.742886505722554</v>
      </c>
      <c r="CW17" s="22">
        <f t="shared" si="13"/>
        <v>96.770620064133439</v>
      </c>
      <c r="CX17" s="60">
        <f t="shared" si="14"/>
        <v>298.80048183640662</v>
      </c>
      <c r="CY17" s="60">
        <f ca="1">AVERAGE(OFFSET($CX$3,0,0,'Données projet'!$E$13+1,1))-AVERAGE(OFFSET($H$3,0,0,'Données projet'!$E$13+1,1))</f>
        <v>395.27840703467933</v>
      </c>
      <c r="CZ17" s="60">
        <f t="shared" si="42"/>
        <v>364.24192380053944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3.56</v>
      </c>
      <c r="DO17" s="13">
        <f>IF('Données projet'!$A$166&gt;35,DO16+DN17-DW16,IF(A17&lt;'Données projet'!$A$166,$DL$205^A17,IF(A17='Données projet'!$A$166,'Données projet'!$B$166,DO16+DN17-DW16)))</f>
        <v>12.349756756499216</v>
      </c>
      <c r="DP17" s="18">
        <f>DO17*VLOOKUP('Données projet'!$B$14,Paramètres!$A$1:$I$89,3,0)*VLOOKUP('Données projet'!$B$14,Paramètres!$A$1:$I$89,5,0)</f>
        <v>9.6328102700693883</v>
      </c>
      <c r="DQ17" s="14">
        <f t="shared" si="43"/>
        <v>3.4103285541655652</v>
      </c>
      <c r="DR17" s="22">
        <f t="shared" si="16"/>
        <v>22.716800118875877</v>
      </c>
      <c r="DS17" s="60">
        <f t="shared" si="17"/>
        <v>224.74666189114907</v>
      </c>
      <c r="DT17" s="60">
        <f ca="1">AVERAGE(OFFSET($DS$3,0,0,'Données projet'!$E$14+1,1))-AVERAGE(OFFSET($H$3,0,0,'Données projet'!$E$14+1,1))</f>
        <v>308.76306523144956</v>
      </c>
      <c r="DU17" s="60">
        <f t="shared" si="44"/>
        <v>283.28099819802776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8.2051282051282062</v>
      </c>
      <c r="EJ17" s="13">
        <f>IF('Données projet'!$A$192&gt;35,EJ16+EI17-ER16,IF(A17&lt;'Données projet'!$A$192,$EG$205^A17,IF(A17='Données projet'!$A$192,'Données projet'!$B$192,EJ16+EI17-ER16)))</f>
        <v>60.38461538461538</v>
      </c>
      <c r="EK17" s="18">
        <f>EJ17*VLOOKUP('Données projet'!$B$15,Paramètres!$A$1:$I$89,3,0)*VLOOKUP('Données projet'!$B$15,Paramètres!$A$1:$I$89,5,0)</f>
        <v>40.506</v>
      </c>
      <c r="EL17" s="14">
        <f t="shared" si="45"/>
        <v>12.132663984422932</v>
      </c>
      <c r="EM17" s="22">
        <f t="shared" si="19"/>
        <v>91.679006439536593</v>
      </c>
      <c r="EN17" s="60">
        <f t="shared" si="20"/>
        <v>293.70886821180977</v>
      </c>
      <c r="EO17" s="60">
        <f ca="1">AVERAGE(OFFSET($EN$3,0,0,'Données projet'!$E$15+1,1))-AVERAGE(OFFSET($H$3,0,0,'Données projet'!$E$15+1,1))</f>
        <v>375.49921531693559</v>
      </c>
      <c r="EP17" s="60">
        <f t="shared" si="46"/>
        <v>306.93934681565599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2.8</v>
      </c>
      <c r="FE17" s="13">
        <f>IF('Données projet'!$A$218&gt;35,FE16+FD17-FM16,IF(A17&lt;'Données projet'!$A$218,$FB$205^A17,IF(A17='Données projet'!$A$218,'Données projet'!$B$218,FE16+FD17-FM16)))</f>
        <v>32.736532094021939</v>
      </c>
      <c r="FF17" s="18">
        <f>FE17*VLOOKUP('Données projet'!$B$16,Paramètres!$A$1:$I$89,3,0)*VLOOKUP('Données projet'!$B$16,Paramètres!$A$1:$I$89,5,0)</f>
        <v>26.5558748346706</v>
      </c>
      <c r="FG17" s="14">
        <f t="shared" si="47"/>
        <v>8.3548831930669891</v>
      </c>
      <c r="FH17" s="22">
        <f t="shared" si="22"/>
        <v>60.802903564976283</v>
      </c>
      <c r="FI17" s="60">
        <f t="shared" si="23"/>
        <v>262.8327653372495</v>
      </c>
      <c r="FJ17" s="60">
        <f ca="1">AVERAGE(OFFSET($FI$3,0,0,'Données projet'!$E$16+1,1))-AVERAGE(OFFSET($H$3,0,0,'Données projet'!$E$16+1,1))</f>
        <v>308.58270639204238</v>
      </c>
      <c r="FK17" s="60">
        <f t="shared" si="48"/>
        <v>258.90832875500325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2.1</v>
      </c>
      <c r="FZ17" s="13">
        <f>IF('Données projet'!$A$244&gt;35,FZ16+FY17-GH16,IF(A17&lt;'Données projet'!$A$244,$FW$205^A17,IF(A17='Données projet'!$A$244,'Données projet'!$B$244,FZ16+FY17-GH16)))</f>
        <v>13.685935953338433</v>
      </c>
      <c r="GA17" s="18">
        <f>FZ17*VLOOKUP('Données projet'!$B$17,Paramètres!$A$1:$I$89,3,0)*VLOOKUP('Données projet'!$B$17,Paramètres!$A$1:$I$89,5,0)</f>
        <v>13.237037254068934</v>
      </c>
      <c r="GB17" s="14">
        <f t="shared" si="49"/>
        <v>4.5161297192961545</v>
      </c>
      <c r="GC17" s="22">
        <f t="shared" si="25"/>
        <v>30.920099145277529</v>
      </c>
      <c r="GD17" s="60">
        <f t="shared" si="26"/>
        <v>232.94996091755073</v>
      </c>
      <c r="GE17" s="60">
        <f ca="1">AVERAGE(OFFSET($GD$3,0,0,'Données projet'!$E$17+1,1))-AVERAGE(OFFSET($H$3,0,0,'Données projet'!$E$17+1,1))</f>
        <v>495.77880062178235</v>
      </c>
      <c r="GF17" s="60">
        <f t="shared" si="50"/>
        <v>263.55891737750301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1.6</v>
      </c>
      <c r="N18" s="14">
        <f>IF('Données projet'!$A$36&gt;35,N17+M18-V17,IF(A18&lt;'Données projet'!$A$36,$K$205^A18,IF(A18='Données projet'!$A$36,'Données projet'!$B$36,N17+M18-V17)))</f>
        <v>13.454342644059421</v>
      </c>
      <c r="O18" s="14">
        <f>N18*VLOOKUP('Données projet'!$B$9,Paramètres!$A$1:$I$89,3,0)*VLOOKUP('Données projet'!$B$9,Paramètres!$A$1:$I$89,5,0)</f>
        <v>11.543825988602984</v>
      </c>
      <c r="P18" s="14">
        <f t="shared" si="33"/>
        <v>4.0016981182064377</v>
      </c>
      <c r="Q18" s="22">
        <f t="shared" si="2"/>
        <v>27.075121152693075</v>
      </c>
      <c r="R18" s="60">
        <f t="shared" si="0"/>
        <v>231.57187108557412</v>
      </c>
      <c r="S18" s="60">
        <f ca="1">AVERAGE(OFFSET($R$3,0,0,'Données projet'!$E$9+1,1))-AVERAGE(OFFSET($H$3,0,0,'Données projet'!$E$9+1,1))</f>
        <v>598.73855311281966</v>
      </c>
      <c r="T18" s="60">
        <f t="shared" si="34"/>
        <v>275.88160405468193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0">
        <f t="shared" si="5"/>
        <v>243.30683204586495</v>
      </c>
      <c r="AN18" s="60">
        <f ca="1">AVERAGE(OFFSET($AM$3,0,0,'Données projet'!$E$10+1,1))-AVERAGE(OFFSET($H$3,0,0,'Données projet'!$E$10+1,1))</f>
        <v>515.72324585399997</v>
      </c>
      <c r="AO18" s="60">
        <f t="shared" si="36"/>
        <v>273.35778700650792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29.755439999999997</v>
      </c>
      <c r="BF18" s="14">
        <f t="shared" si="37"/>
        <v>9.2383692208639729</v>
      </c>
      <c r="BG18" s="22">
        <f t="shared" si="7"/>
        <v>67.91421772633808</v>
      </c>
      <c r="BH18" s="60">
        <f t="shared" si="8"/>
        <v>272.41096765921912</v>
      </c>
      <c r="BI18" s="60">
        <f ca="1">AVERAGE(OFFSET($BH$3,0,0,'Données projet'!$E$11+1,1))-AVERAGE(OFFSET($H$3,0,0,'Données projet'!$E$11+1,1))</f>
        <v>336.25341821407534</v>
      </c>
      <c r="BJ18" s="60">
        <f t="shared" si="38"/>
        <v>360.3246221345039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47.435897435897431</v>
      </c>
      <c r="BW18" s="13">
        <f>VLOOKUP(A18,'Données projet'!$A$113:$I$133,9,0)</f>
        <v>3.1623931623931623</v>
      </c>
      <c r="BX18" s="13">
        <f t="array" ref="BX18">INDEX(BW:BW,MIN(IF(ISNUMBER(BW18:BW214),ROW(BW18:BW214),"")))</f>
        <v>3.1623931623931623</v>
      </c>
      <c r="BY18" s="13">
        <f>IF('Données projet'!$A$114&gt;35,BY17+BX18-CG17,IF(A18&lt;'Données projet'!$A$114,$BV$205^A18,IF(A18='Données projet'!$A$114,'Données projet'!$B$114,BY17+BX18-CG17)))</f>
        <v>47.435897435897431</v>
      </c>
      <c r="BZ18" s="14">
        <f>BY18*VLOOKUP('Données projet'!$B$12,Paramètres!$A$1:$I$89,3,0)*VLOOKUP('Données projet'!$B$12,Paramètres!$A$1:$I$89,5,0)</f>
        <v>45.139999999999993</v>
      </c>
      <c r="CA18" s="14">
        <f t="shared" si="39"/>
        <v>13.351272336364824</v>
      </c>
      <c r="CB18" s="22">
        <f t="shared" si="10"/>
        <v>101.87229931916873</v>
      </c>
      <c r="CC18" s="60">
        <f t="shared" si="11"/>
        <v>306.36904925204976</v>
      </c>
      <c r="CD18" s="60">
        <f ca="1">AVERAGE(OFFSET($CC$3,0,0,'Données projet'!$E$12+1,1))-AVERAGE(OFFSET($H$3,0,0,'Données projet'!$E$12+1,1))</f>
        <v>438.41611139377829</v>
      </c>
      <c r="CE18" s="60">
        <f t="shared" si="40"/>
        <v>345.17417065809605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64.5</v>
      </c>
      <c r="CR18" s="13">
        <f>VLOOKUP(A18,'Données projet'!$A$139:$I$159,9,0)</f>
        <v>10.68</v>
      </c>
      <c r="CS18" s="13">
        <f t="array" ref="CS18">INDEX(CR:CR,MIN(IF(ISNUMBER(CR18:CR214),ROW(CR18:CR214),"")))</f>
        <v>10.68</v>
      </c>
      <c r="CT18" s="13">
        <f>IF('Données projet'!$A$140&gt;35,CT17+CS18-DB17,IF(A18&lt;'Données projet'!$A$140,$CQ$205^A18,IF(A18='Données projet'!$A$140,'Données projet'!$B$140,CT17+CS18-DB17)))</f>
        <v>64.5</v>
      </c>
      <c r="CU18" s="18">
        <f>CT18*VLOOKUP('Données projet'!$B$13,Paramètres!$A$1:$I$89,3,0)*VLOOKUP('Données projet'!$B$13,Paramètres!$A$1:$I$89,5,0)</f>
        <v>51.316200000000009</v>
      </c>
      <c r="CV18" s="14">
        <f t="shared" si="41"/>
        <v>14.953158316506878</v>
      </c>
      <c r="CW18" s="22">
        <f t="shared" si="13"/>
        <v>115.41913240124948</v>
      </c>
      <c r="CX18" s="60">
        <f t="shared" si="14"/>
        <v>319.91588233413052</v>
      </c>
      <c r="CY18" s="60">
        <f ca="1">AVERAGE(OFFSET($CX$3,0,0,'Données projet'!$E$13+1,1))-AVERAGE(OFFSET($H$3,0,0,'Données projet'!$E$13+1,1))</f>
        <v>395.27840703467933</v>
      </c>
      <c r="CZ18" s="60">
        <f t="shared" si="42"/>
        <v>364.24192380053944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31.5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3.56</v>
      </c>
      <c r="DO18" s="13">
        <f>IF('Données projet'!$A$166&gt;35,DO17+DN18-DW17,IF(A18&lt;'Données projet'!$A$166,$DL$205^A18,IF(A18='Données projet'!$A$166,'Données projet'!$B$166,DO17+DN18-DW17)))</f>
        <v>14.778624139441142</v>
      </c>
      <c r="DP18" s="18">
        <f>DO18*VLOOKUP('Données projet'!$B$14,Paramètres!$A$1:$I$89,3,0)*VLOOKUP('Données projet'!$B$14,Paramètres!$A$1:$I$89,5,0)</f>
        <v>11.527326828764091</v>
      </c>
      <c r="DQ18" s="14">
        <f t="shared" si="43"/>
        <v>3.9966439669822584</v>
      </c>
      <c r="DR18" s="22">
        <f t="shared" si="16"/>
        <v>27.037582469258226</v>
      </c>
      <c r="DS18" s="60">
        <f t="shared" si="17"/>
        <v>231.53433240213928</v>
      </c>
      <c r="DT18" s="60">
        <f ca="1">AVERAGE(OFFSET($DS$3,0,0,'Données projet'!$E$14+1,1))-AVERAGE(OFFSET($H$3,0,0,'Données projet'!$E$14+1,1))</f>
        <v>308.76306523144956</v>
      </c>
      <c r="DU18" s="60">
        <f t="shared" si="44"/>
        <v>283.28099819802776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68.589743589743591</v>
      </c>
      <c r="EH18" s="13">
        <f>VLOOKUP(A18,'Données projet'!$A$191:$I$211,9,0)</f>
        <v>8.2051282051282062</v>
      </c>
      <c r="EI18" s="13">
        <f t="array" ref="EI18">INDEX(EH:EH,MIN(IF(ISNUMBER(EH18:EH214),ROW(EH18:EH214),"")))</f>
        <v>8.2051282051282062</v>
      </c>
      <c r="EJ18" s="13">
        <f>IF('Données projet'!$A$192&gt;35,EJ17+EI18-ER17,IF(A18&lt;'Données projet'!$A$192,$EG$205^A18,IF(A18='Données projet'!$A$192,'Données projet'!$B$192,EJ17+EI18-ER17)))</f>
        <v>68.589743589743591</v>
      </c>
      <c r="EK18" s="18">
        <f>EJ18*VLOOKUP('Données projet'!$B$15,Paramètres!$A$1:$I$89,3,0)*VLOOKUP('Données projet'!$B$15,Paramètres!$A$1:$I$89,5,0)</f>
        <v>46.010000000000005</v>
      </c>
      <c r="EL18" s="14">
        <f t="shared" si="45"/>
        <v>13.578390619407827</v>
      </c>
      <c r="EM18" s="22">
        <f t="shared" si="19"/>
        <v>103.78311366213529</v>
      </c>
      <c r="EN18" s="60">
        <f t="shared" si="20"/>
        <v>308.27986359501631</v>
      </c>
      <c r="EO18" s="60">
        <f ca="1">AVERAGE(OFFSET($EN$3,0,0,'Données projet'!$E$15+1,1))-AVERAGE(OFFSET($H$3,0,0,'Données projet'!$E$15+1,1))</f>
        <v>375.49921531693559</v>
      </c>
      <c r="EP18" s="60">
        <f t="shared" si="46"/>
        <v>306.93934681565599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42</v>
      </c>
      <c r="FC18" s="13">
        <f>VLOOKUP(A18,'Données projet'!$A$217:$I$237,9,0)</f>
        <v>2.8</v>
      </c>
      <c r="FD18" s="13">
        <f t="array" ref="FD18">INDEX(FC:FC,MIN(IF(ISNUMBER(FC18:FC214),ROW(FC18:FC214),"")))</f>
        <v>2.8</v>
      </c>
      <c r="FE18" s="13">
        <f>IF('Données projet'!$A$218&gt;35,FE17+FD18-FM17,IF(A18&lt;'Données projet'!$A$218,$FB$205^A18,IF(A18='Données projet'!$A$218,'Données projet'!$B$218,FE17+FD18-FM17)))</f>
        <v>42</v>
      </c>
      <c r="FF18" s="18">
        <f>FE18*VLOOKUP('Données projet'!$B$16,Paramètres!$A$1:$I$89,3,0)*VLOOKUP('Données projet'!$B$16,Paramètres!$A$1:$I$89,5,0)</f>
        <v>34.070399999999999</v>
      </c>
      <c r="FG18" s="14">
        <f t="shared" si="47"/>
        <v>10.412633617059315</v>
      </c>
      <c r="FH18" s="22">
        <f t="shared" si="22"/>
        <v>77.474616883044959</v>
      </c>
      <c r="FI18" s="60">
        <f t="shared" si="23"/>
        <v>281.97136681592599</v>
      </c>
      <c r="FJ18" s="60">
        <f ca="1">AVERAGE(OFFSET($FI$3,0,0,'Données projet'!$E$16+1,1))-AVERAGE(OFFSET($H$3,0,0,'Données projet'!$E$16+1,1))</f>
        <v>308.58270639204238</v>
      </c>
      <c r="FK18" s="60">
        <f t="shared" si="48"/>
        <v>258.90832875500325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2.1</v>
      </c>
      <c r="FZ18" s="13">
        <f>IF('Données projet'!$A$244&gt;35,FZ17+FY18-GH17,IF(A18&lt;'Données projet'!$A$244,$FW$205^A18,IF(A18='Données projet'!$A$244,'Données projet'!$B$244,FZ17+FY18-GH17)))</f>
        <v>16.498215337821566</v>
      </c>
      <c r="GA18" s="18">
        <f>FZ18*VLOOKUP('Données projet'!$B$17,Paramètres!$A$1:$I$89,3,0)*VLOOKUP('Données projet'!$B$17,Paramètres!$A$1:$I$89,5,0)</f>
        <v>15.957073874741019</v>
      </c>
      <c r="GB18" s="14">
        <f t="shared" si="49"/>
        <v>5.3269860755326848</v>
      </c>
      <c r="GC18" s="22">
        <f t="shared" si="25"/>
        <v>37.069737746726702</v>
      </c>
      <c r="GD18" s="60">
        <f t="shared" si="26"/>
        <v>241.56648767960775</v>
      </c>
      <c r="GE18" s="60">
        <f ca="1">AVERAGE(OFFSET($GD$3,0,0,'Données projet'!$E$17+1,1))-AVERAGE(OFFSET($H$3,0,0,'Données projet'!$E$17+1,1))</f>
        <v>495.77880062178235</v>
      </c>
      <c r="GF18" s="60">
        <f t="shared" si="50"/>
        <v>263.55891737750301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1.6</v>
      </c>
      <c r="N19" s="14">
        <f>IF('Données projet'!$A$36&gt;35,N18+M19-V18,IF(A19&lt;'Données projet'!$A$36,$K$205^A19,IF(A19='Données projet'!$A$36,'Données projet'!$B$36,N18+M19-V18)))</f>
        <v>15.999999999999986</v>
      </c>
      <c r="O19" s="14">
        <f>N19*VLOOKUP('Données projet'!$B$9,Paramètres!$A$1:$I$89,3,0)*VLOOKUP('Données projet'!$B$9,Paramètres!$A$1:$I$89,5,0)</f>
        <v>13.727999999999991</v>
      </c>
      <c r="P19" s="14">
        <f t="shared" si="33"/>
        <v>4.6638207366437268</v>
      </c>
      <c r="Q19" s="22">
        <f t="shared" si="2"/>
        <v>32.032421116321139</v>
      </c>
      <c r="R19" s="60">
        <f t="shared" si="0"/>
        <v>238.97446703843519</v>
      </c>
      <c r="S19" s="60">
        <f ca="1">AVERAGE(OFFSET($R$3,0,0,'Données projet'!$E$9+1,1))-AVERAGE(OFFSET($H$3,0,0,'Données projet'!$E$9+1,1))</f>
        <v>598.73855311281966</v>
      </c>
      <c r="T19" s="60">
        <f t="shared" si="34"/>
        <v>275.88160405468193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0">
        <f t="shared" si="5"/>
        <v>253.47615920895097</v>
      </c>
      <c r="AN19" s="60">
        <f ca="1">AVERAGE(OFFSET($AM$3,0,0,'Données projet'!$E$10+1,1))-AVERAGE(OFFSET($H$3,0,0,'Données projet'!$E$10+1,1))</f>
        <v>515.72324585399997</v>
      </c>
      <c r="AO19" s="60">
        <f t="shared" si="36"/>
        <v>273.35778700650792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38.936664</v>
      </c>
      <c r="BF19" s="14">
        <f t="shared" si="37"/>
        <v>11.71636916173216</v>
      </c>
      <c r="BG19" s="22">
        <f t="shared" si="7"/>
        <v>88.220699423350183</v>
      </c>
      <c r="BH19" s="60">
        <f t="shared" si="8"/>
        <v>295.16274534546426</v>
      </c>
      <c r="BI19" s="60">
        <f ca="1">AVERAGE(OFFSET($BH$3,0,0,'Données projet'!$E$11+1,1))-AVERAGE(OFFSET($H$3,0,0,'Données projet'!$E$11+1,1))</f>
        <v>336.25341821407534</v>
      </c>
      <c r="BJ19" s="60">
        <f t="shared" si="38"/>
        <v>360.3246221345039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7.4358974358974361</v>
      </c>
      <c r="BY19" s="13">
        <f>IF('Données projet'!$A$114&gt;35,BY18+BX19-CG18,IF(A19&lt;'Données projet'!$A$114,$BV$205^A19,IF(A19='Données projet'!$A$114,'Données projet'!$B$114,BY18+BX19-CG18)))</f>
        <v>54.871794871794869</v>
      </c>
      <c r="BZ19" s="14">
        <f>BY19*VLOOKUP('Données projet'!$B$12,Paramètres!$A$1:$I$89,3,0)*VLOOKUP('Données projet'!$B$12,Paramètres!$A$1:$I$89,5,0)</f>
        <v>52.216000000000001</v>
      </c>
      <c r="CA19" s="14">
        <f t="shared" si="39"/>
        <v>15.184598935068502</v>
      </c>
      <c r="CB19" s="22">
        <f t="shared" si="10"/>
        <v>117.38937647857762</v>
      </c>
      <c r="CC19" s="60">
        <f t="shared" si="11"/>
        <v>324.33142240069168</v>
      </c>
      <c r="CD19" s="60">
        <f ca="1">AVERAGE(OFFSET($CC$3,0,0,'Données projet'!$E$12+1,1))-AVERAGE(OFFSET($H$3,0,0,'Données projet'!$E$12+1,1))</f>
        <v>438.41611139377829</v>
      </c>
      <c r="CE19" s="60">
        <f t="shared" si="40"/>
        <v>345.17417065809605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13.76</v>
      </c>
      <c r="CT19" s="13">
        <f>IF('Données projet'!$A$140&gt;35,CT18+CS19-DB18,IF(A19&lt;'Données projet'!$A$140,$CQ$205^A19,IF(A19='Données projet'!$A$140,'Données projet'!$B$140,CT18+CS19-DB18)))</f>
        <v>46.760000000000005</v>
      </c>
      <c r="CU19" s="18">
        <f>CT19*VLOOKUP('Données projet'!$B$13,Paramètres!$A$1:$I$89,3,0)*VLOOKUP('Données projet'!$B$13,Paramètres!$A$1:$I$89,5,0)</f>
        <v>37.202256000000006</v>
      </c>
      <c r="CV19" s="14">
        <f t="shared" si="41"/>
        <v>11.254004331607367</v>
      </c>
      <c r="CW19" s="22">
        <f t="shared" si="13"/>
        <v>84.394653410882839</v>
      </c>
      <c r="CX19" s="60">
        <f t="shared" si="14"/>
        <v>291.33669933299689</v>
      </c>
      <c r="CY19" s="60">
        <f ca="1">AVERAGE(OFFSET($CX$3,0,0,'Données projet'!$E$13+1,1))-AVERAGE(OFFSET($H$3,0,0,'Données projet'!$E$13+1,1))</f>
        <v>395.27840703467933</v>
      </c>
      <c r="CZ19" s="60">
        <f t="shared" si="42"/>
        <v>364.24192380053944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3.56</v>
      </c>
      <c r="DO19" s="13">
        <f>IF('Données projet'!$A$166&gt;35,DO18+DN19-DW18,IF(A19&lt;'Données projet'!$A$166,$DL$205^A19,IF(A19='Données projet'!$A$166,'Données projet'!$B$166,DO18+DN19-DW18)))</f>
        <v>17.68518487944571</v>
      </c>
      <c r="DP19" s="18">
        <f>DO19*VLOOKUP('Données projet'!$B$14,Paramètres!$A$1:$I$89,3,0)*VLOOKUP('Données projet'!$B$14,Paramètres!$A$1:$I$89,5,0)</f>
        <v>13.794444205967654</v>
      </c>
      <c r="DQ19" s="14">
        <f t="shared" si="43"/>
        <v>4.6837607418514473</v>
      </c>
      <c r="DR19" s="22">
        <f t="shared" si="16"/>
        <v>32.182873617451598</v>
      </c>
      <c r="DS19" s="60">
        <f t="shared" si="17"/>
        <v>239.12491953956567</v>
      </c>
      <c r="DT19" s="60">
        <f ca="1">AVERAGE(OFFSET($DS$3,0,0,'Données projet'!$E$14+1,1))-AVERAGE(OFFSET($H$3,0,0,'Données projet'!$E$14+1,1))</f>
        <v>308.76306523144956</v>
      </c>
      <c r="DU19" s="60">
        <f t="shared" si="44"/>
        <v>283.28099819802776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9.3589743589743595</v>
      </c>
      <c r="EJ19" s="13">
        <f>IF('Données projet'!$A$192&gt;35,EJ18+EI19-ER18,IF(A19&lt;'Données projet'!$A$192,$EG$205^A19,IF(A19='Données projet'!$A$192,'Données projet'!$B$192,EJ18+EI19-ER18)))</f>
        <v>77.948717948717956</v>
      </c>
      <c r="EK19" s="18">
        <f>EJ19*VLOOKUP('Données projet'!$B$15,Paramètres!$A$1:$I$89,3,0)*VLOOKUP('Données projet'!$B$15,Paramètres!$A$1:$I$89,5,0)</f>
        <v>52.288000000000004</v>
      </c>
      <c r="EL19" s="14">
        <f t="shared" si="45"/>
        <v>15.203098141270234</v>
      </c>
      <c r="EM19" s="22">
        <f t="shared" si="19"/>
        <v>117.54699592937901</v>
      </c>
      <c r="EN19" s="60">
        <f t="shared" si="20"/>
        <v>324.48904185149308</v>
      </c>
      <c r="EO19" s="60">
        <f ca="1">AVERAGE(OFFSET($EN$3,0,0,'Données projet'!$E$15+1,1))-AVERAGE(OFFSET($H$3,0,0,'Données projet'!$E$15+1,1))</f>
        <v>375.49921531693559</v>
      </c>
      <c r="EP19" s="60">
        <f t="shared" si="46"/>
        <v>306.93934681565599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5.4</v>
      </c>
      <c r="FE19" s="13">
        <f>IF('Données projet'!$A$218&gt;35,FE18+FD19-FM18,IF(A19&lt;'Données projet'!$A$218,$FB$205^A19,IF(A19='Données projet'!$A$218,'Données projet'!$B$218,FE18+FD19-FM18)))</f>
        <v>47.4</v>
      </c>
      <c r="FF19" s="18">
        <f>FE19*VLOOKUP('Données projet'!$B$16,Paramètres!$A$1:$I$89,3,0)*VLOOKUP('Données projet'!$B$16,Paramètres!$A$1:$I$89,5,0)</f>
        <v>38.450879999999998</v>
      </c>
      <c r="FG19" s="14">
        <f t="shared" si="47"/>
        <v>11.587113394776683</v>
      </c>
      <c r="FH19" s="22">
        <f t="shared" si="22"/>
        <v>87.149505162569383</v>
      </c>
      <c r="FI19" s="60">
        <f t="shared" si="23"/>
        <v>294.09155108468343</v>
      </c>
      <c r="FJ19" s="60">
        <f ca="1">AVERAGE(OFFSET($FI$3,0,0,'Données projet'!$E$16+1,1))-AVERAGE(OFFSET($H$3,0,0,'Données projet'!$E$16+1,1))</f>
        <v>308.58270639204238</v>
      </c>
      <c r="FK19" s="60">
        <f t="shared" si="48"/>
        <v>258.90832875500325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2.1</v>
      </c>
      <c r="FZ19" s="13">
        <f>IF('Données projet'!$A$244&gt;35,FZ18+FY19-GH18,IF(A19&lt;'Données projet'!$A$244,$FW$205^A19,IF(A19='Données projet'!$A$244,'Données projet'!$B$244,FZ18+FY19-GH18)))</f>
        <v>19.888381054913147</v>
      </c>
      <c r="GA19" s="18">
        <f>FZ19*VLOOKUP('Données projet'!$B$17,Paramètres!$A$1:$I$89,3,0)*VLOOKUP('Données projet'!$B$17,Paramètres!$A$1:$I$89,5,0)</f>
        <v>19.236042156311996</v>
      </c>
      <c r="GB19" s="14">
        <f t="shared" si="49"/>
        <v>6.2834290449348904</v>
      </c>
      <c r="GC19" s="22">
        <f t="shared" si="25"/>
        <v>44.446412342171662</v>
      </c>
      <c r="GD19" s="60">
        <f t="shared" si="26"/>
        <v>251.38845826428573</v>
      </c>
      <c r="GE19" s="60">
        <f ca="1">AVERAGE(OFFSET($GD$3,0,0,'Données projet'!$E$17+1,1))-AVERAGE(OFFSET($H$3,0,0,'Données projet'!$E$17+1,1))</f>
        <v>495.77880062178235</v>
      </c>
      <c r="GF19" s="60">
        <f t="shared" si="50"/>
        <v>263.55891737750301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1.6</v>
      </c>
      <c r="N20" s="14">
        <f>IF('Données projet'!$A$36&gt;35,N19+M20-V19,IF(A20&lt;'Données projet'!$A$36,$K$205^A20,IF(A20='Données projet'!$A$36,'Données projet'!$B$36,N19+M20-V19)))</f>
        <v>19.027313840043519</v>
      </c>
      <c r="O20" s="14">
        <f>N20*VLOOKUP('Données projet'!$B$9,Paramètres!$A$1:$I$89,3,0)*VLOOKUP('Données projet'!$B$9,Paramètres!$A$1:$I$89,5,0)</f>
        <v>16.325435274757343</v>
      </c>
      <c r="P20" s="14">
        <f t="shared" si="33"/>
        <v>5.4354984361731269</v>
      </c>
      <c r="Q20" s="22">
        <f t="shared" si="2"/>
        <v>37.90029287987057</v>
      </c>
      <c r="R20" s="60">
        <f t="shared" si="0"/>
        <v>247.26641719574329</v>
      </c>
      <c r="S20" s="60">
        <f ca="1">AVERAGE(OFFSET($R$3,0,0,'Données projet'!$E$9+1,1))-AVERAGE(OFFSET($H$3,0,0,'Données projet'!$E$9+1,1))</f>
        <v>598.73855311281966</v>
      </c>
      <c r="T20" s="60">
        <f t="shared" si="34"/>
        <v>275.88160405468193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0">
        <f t="shared" si="5"/>
        <v>265.16640185982811</v>
      </c>
      <c r="AN20" s="60">
        <f ca="1">AVERAGE(OFFSET($AM$3,0,0,'Données projet'!$E$10+1,1))-AVERAGE(OFFSET($H$3,0,0,'Données projet'!$E$10+1,1))</f>
        <v>515.72324585399997</v>
      </c>
      <c r="AO20" s="60">
        <f t="shared" si="36"/>
        <v>273.35778700650792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48.117888000000001</v>
      </c>
      <c r="BF20" s="14">
        <f t="shared" si="37"/>
        <v>14.126615953608919</v>
      </c>
      <c r="BG20" s="22">
        <f t="shared" si="7"/>
        <v>108.40917771920219</v>
      </c>
      <c r="BH20" s="60">
        <f t="shared" si="8"/>
        <v>317.7753020350749</v>
      </c>
      <c r="BI20" s="60">
        <f ca="1">AVERAGE(OFFSET($BH$3,0,0,'Données projet'!$E$11+1,1))-AVERAGE(OFFSET($H$3,0,0,'Données projet'!$E$11+1,1))</f>
        <v>336.25341821407534</v>
      </c>
      <c r="BJ20" s="60">
        <f t="shared" si="38"/>
        <v>360.3246221345039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7.4358974358974361</v>
      </c>
      <c r="BY20" s="13">
        <f>IF('Données projet'!$A$114&gt;35,BY19+BX20-CG19,IF(A20&lt;'Données projet'!$A$114,$BV$205^A20,IF(A20='Données projet'!$A$114,'Données projet'!$B$114,BY19+BX20-CG19)))</f>
        <v>62.307692307692307</v>
      </c>
      <c r="BZ20" s="14">
        <f>BY20*VLOOKUP('Données projet'!$B$12,Paramètres!$A$1:$I$89,3,0)*VLOOKUP('Données projet'!$B$12,Paramètres!$A$1:$I$89,5,0)</f>
        <v>59.292000000000002</v>
      </c>
      <c r="CA20" s="14">
        <f t="shared" si="39"/>
        <v>16.98914092257921</v>
      </c>
      <c r="CB20" s="22">
        <f t="shared" si="10"/>
        <v>132.85632044015878</v>
      </c>
      <c r="CC20" s="60">
        <f t="shared" si="11"/>
        <v>342.22244475603151</v>
      </c>
      <c r="CD20" s="60">
        <f ca="1">AVERAGE(OFFSET($CC$3,0,0,'Données projet'!$E$12+1,1))-AVERAGE(OFFSET($H$3,0,0,'Données projet'!$E$12+1,1))</f>
        <v>438.41611139377829</v>
      </c>
      <c r="CE20" s="60">
        <f t="shared" si="40"/>
        <v>345.17417065809605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13.76</v>
      </c>
      <c r="CT20" s="13">
        <f>IF('Données projet'!$A$140&gt;35,CT19+CS20-DB19,IF(A20&lt;'Données projet'!$A$140,$CQ$205^A20,IF(A20='Données projet'!$A$140,'Données projet'!$B$140,CT19+CS20-DB19)))</f>
        <v>60.52</v>
      </c>
      <c r="CU20" s="18">
        <f>CT20*VLOOKUP('Données projet'!$B$13,Paramètres!$A$1:$I$89,3,0)*VLOOKUP('Données projet'!$B$13,Paramètres!$A$1:$I$89,5,0)</f>
        <v>48.149712000000001</v>
      </c>
      <c r="CV20" s="14">
        <f t="shared" si="41"/>
        <v>14.134871110689732</v>
      </c>
      <c r="CW20" s="22">
        <f t="shared" si="13"/>
        <v>108.47898225111794</v>
      </c>
      <c r="CX20" s="60">
        <f t="shared" si="14"/>
        <v>317.84510656699069</v>
      </c>
      <c r="CY20" s="60">
        <f ca="1">AVERAGE(OFFSET($CX$3,0,0,'Données projet'!$E$13+1,1))-AVERAGE(OFFSET($H$3,0,0,'Données projet'!$E$13+1,1))</f>
        <v>395.27840703467933</v>
      </c>
      <c r="CZ20" s="60">
        <f t="shared" si="42"/>
        <v>364.24192380053944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3.56</v>
      </c>
      <c r="DO20" s="13">
        <f>IF('Données projet'!$A$166&gt;35,DO19+DN20-DW19,IF(A20&lt;'Données projet'!$A$166,$DL$205^A20,IF(A20='Données projet'!$A$166,'Données projet'!$B$166,DO19+DN20-DW19)))</f>
        <v>21.163388504175224</v>
      </c>
      <c r="DP20" s="18">
        <f>DO20*VLOOKUP('Données projet'!$B$14,Paramètres!$A$1:$I$89,3,0)*VLOOKUP('Données projet'!$B$14,Paramètres!$A$1:$I$89,5,0)</f>
        <v>16.507443033256674</v>
      </c>
      <c r="DQ20" s="14">
        <f t="shared" si="43"/>
        <v>5.4890089955831698</v>
      </c>
      <c r="DR20" s="22">
        <f t="shared" si="16"/>
        <v>38.310487283562729</v>
      </c>
      <c r="DS20" s="60">
        <f t="shared" si="17"/>
        <v>247.67661159943546</v>
      </c>
      <c r="DT20" s="60">
        <f ca="1">AVERAGE(OFFSET($DS$3,0,0,'Données projet'!$E$14+1,1))-AVERAGE(OFFSET($H$3,0,0,'Données projet'!$E$14+1,1))</f>
        <v>308.76306523144956</v>
      </c>
      <c r="DU20" s="60">
        <f t="shared" si="44"/>
        <v>283.28099819802776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9.3589743589743595</v>
      </c>
      <c r="EJ20" s="13">
        <f>IF('Données projet'!$A$192&gt;35,EJ19+EI20-ER19,IF(A20&lt;'Données projet'!$A$192,$EG$205^A20,IF(A20='Données projet'!$A$192,'Données projet'!$B$192,EJ19+EI20-ER19)))</f>
        <v>87.307692307692321</v>
      </c>
      <c r="EK20" s="18">
        <f>EJ20*VLOOKUP('Données projet'!$B$15,Paramètres!$A$1:$I$89,3,0)*VLOOKUP('Données projet'!$B$15,Paramètres!$A$1:$I$89,5,0)</f>
        <v>58.566000000000003</v>
      </c>
      <c r="EL20" s="14">
        <f t="shared" si="45"/>
        <v>16.80519996384475</v>
      </c>
      <c r="EM20" s="22">
        <f t="shared" si="19"/>
        <v>131.27150660369628</v>
      </c>
      <c r="EN20" s="60">
        <f t="shared" si="20"/>
        <v>340.63763091956901</v>
      </c>
      <c r="EO20" s="60">
        <f ca="1">AVERAGE(OFFSET($EN$3,0,0,'Données projet'!$E$15+1,1))-AVERAGE(OFFSET($H$3,0,0,'Données projet'!$E$15+1,1))</f>
        <v>375.49921531693559</v>
      </c>
      <c r="EP20" s="60">
        <f t="shared" si="46"/>
        <v>306.93934681565599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5.4</v>
      </c>
      <c r="FE20" s="13">
        <f>IF('Données projet'!$A$218&gt;35,FE19+FD20-FM19,IF(A20&lt;'Données projet'!$A$218,$FB$205^A20,IF(A20='Données projet'!$A$218,'Données projet'!$B$218,FE19+FD20-FM19)))</f>
        <v>52.8</v>
      </c>
      <c r="FF20" s="18">
        <f>FE20*VLOOKUP('Données projet'!$B$16,Paramètres!$A$1:$I$89,3,0)*VLOOKUP('Données projet'!$B$16,Paramètres!$A$1:$I$89,5,0)</f>
        <v>42.831360000000004</v>
      </c>
      <c r="FG20" s="14">
        <f t="shared" si="47"/>
        <v>12.746086115928794</v>
      </c>
      <c r="FH20" s="22">
        <f t="shared" si="22"/>
        <v>96.797385318575991</v>
      </c>
      <c r="FI20" s="60">
        <f t="shared" si="23"/>
        <v>306.1635096344487</v>
      </c>
      <c r="FJ20" s="60">
        <f ca="1">AVERAGE(OFFSET($FI$3,0,0,'Données projet'!$E$16+1,1))-AVERAGE(OFFSET($H$3,0,0,'Données projet'!$E$16+1,1))</f>
        <v>308.58270639204238</v>
      </c>
      <c r="FK20" s="60">
        <f t="shared" si="48"/>
        <v>258.90832875500325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2.1</v>
      </c>
      <c r="FZ20" s="13">
        <f>IF('Données projet'!$A$244&gt;35,FZ19+FY20-GH19,IF(A20&lt;'Données projet'!$A$244,$FW$205^A20,IF(A20='Données projet'!$A$244,'Données projet'!$B$244,FZ19+FY20-GH19)))</f>
        <v>23.975181126327602</v>
      </c>
      <c r="GA20" s="18">
        <f>FZ20*VLOOKUP('Données projet'!$B$17,Paramètres!$A$1:$I$89,3,0)*VLOOKUP('Données projet'!$B$17,Paramètres!$A$1:$I$89,5,0)</f>
        <v>23.188795185384055</v>
      </c>
      <c r="GB20" s="14">
        <f t="shared" si="49"/>
        <v>7.4115982288884323</v>
      </c>
      <c r="GC20" s="22">
        <f t="shared" si="25"/>
        <v>53.29568519652458</v>
      </c>
      <c r="GD20" s="60">
        <f t="shared" si="26"/>
        <v>262.66180951239733</v>
      </c>
      <c r="GE20" s="60">
        <f ca="1">AVERAGE(OFFSET($GD$3,0,0,'Données projet'!$E$17+1,1))-AVERAGE(OFFSET($H$3,0,0,'Données projet'!$E$17+1,1))</f>
        <v>495.77880062178235</v>
      </c>
      <c r="GF20" s="60">
        <f t="shared" si="50"/>
        <v>263.55891737750301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1.6</v>
      </c>
      <c r="N21" s="14">
        <f>IF('Données projet'!$A$36&gt;35,N20+M21-V20,IF(A21&lt;'Données projet'!$A$36,$K$205^A21,IF(A21='Données projet'!$A$36,'Données projet'!$B$36,N20+M21-V20)))</f>
        <v>22.627416997969497</v>
      </c>
      <c r="O21" s="14">
        <f>N21*VLOOKUP('Données projet'!$B$9,Paramètres!$A$1:$I$89,3,0)*VLOOKUP('Données projet'!$B$9,Paramètres!$A$1:$I$89,5,0)</f>
        <v>19.414323784257832</v>
      </c>
      <c r="P21" s="14">
        <f t="shared" si="33"/>
        <v>6.3348582456241713</v>
      </c>
      <c r="Q21" s="22">
        <f t="shared" si="2"/>
        <v>44.846492035377821</v>
      </c>
      <c r="R21" s="60">
        <f t="shared" si="0"/>
        <v>256.61584522738093</v>
      </c>
      <c r="S21" s="60">
        <f ca="1">AVERAGE(OFFSET($R$3,0,0,'Données projet'!$E$9+1,1))-AVERAGE(OFFSET($H$3,0,0,'Données projet'!$E$9+1,1))</f>
        <v>598.73855311281966</v>
      </c>
      <c r="T21" s="60">
        <f t="shared" si="34"/>
        <v>275.88160405468193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0">
        <f t="shared" si="5"/>
        <v>278.6867268862473</v>
      </c>
      <c r="AN21" s="60">
        <f ca="1">AVERAGE(OFFSET($AM$3,0,0,'Données projet'!$E$10+1,1))-AVERAGE(OFFSET($H$3,0,0,'Données projet'!$E$10+1,1))</f>
        <v>515.72324585399997</v>
      </c>
      <c r="AO21" s="60">
        <f t="shared" si="36"/>
        <v>273.35778700650792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57.299111999999994</v>
      </c>
      <c r="BF21" s="14">
        <f t="shared" si="37"/>
        <v>16.483580059789663</v>
      </c>
      <c r="BG21" s="22">
        <f t="shared" si="7"/>
        <v>128.50485533746698</v>
      </c>
      <c r="BH21" s="60">
        <f t="shared" si="8"/>
        <v>340.27420852947012</v>
      </c>
      <c r="BI21" s="60">
        <f ca="1">AVERAGE(OFFSET($BH$3,0,0,'Données projet'!$E$11+1,1))-AVERAGE(OFFSET($H$3,0,0,'Données projet'!$E$11+1,1))</f>
        <v>336.25341821407534</v>
      </c>
      <c r="BJ21" s="60">
        <f t="shared" si="38"/>
        <v>360.3246221345039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7.4358974358974361</v>
      </c>
      <c r="BY21" s="13">
        <f>IF('Données projet'!$A$114&gt;35,BY20+BX21-CG20,IF(A21&lt;'Données projet'!$A$114,$BV$205^A21,IF(A21='Données projet'!$A$114,'Données projet'!$B$114,BY20+BX21-CG20)))</f>
        <v>69.743589743589737</v>
      </c>
      <c r="BZ21" s="14">
        <f>BY21*VLOOKUP('Données projet'!$B$12,Paramètres!$A$1:$I$89,3,0)*VLOOKUP('Données projet'!$B$12,Paramètres!$A$1:$I$89,5,0)</f>
        <v>66.367999999999995</v>
      </c>
      <c r="CA21" s="14">
        <f t="shared" si="39"/>
        <v>18.768726208561709</v>
      </c>
      <c r="CB21" s="22">
        <f t="shared" si="10"/>
        <v>148.27979814657829</v>
      </c>
      <c r="CC21" s="60">
        <f t="shared" si="11"/>
        <v>360.0491513385814</v>
      </c>
      <c r="CD21" s="60">
        <f ca="1">AVERAGE(OFFSET($CC$3,0,0,'Données projet'!$E$12+1,1))-AVERAGE(OFFSET($H$3,0,0,'Données projet'!$E$12+1,1))</f>
        <v>438.41611139377829</v>
      </c>
      <c r="CE21" s="60">
        <f t="shared" si="40"/>
        <v>345.17417065809605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13.76</v>
      </c>
      <c r="CT21" s="13">
        <f>IF('Données projet'!$A$140&gt;35,CT20+CS21-DB20,IF(A21&lt;'Données projet'!$A$140,$CQ$205^A21,IF(A21='Données projet'!$A$140,'Données projet'!$B$140,CT20+CS21-DB20)))</f>
        <v>74.28</v>
      </c>
      <c r="CU21" s="18">
        <f>CT21*VLOOKUP('Données projet'!$B$13,Paramètres!$A$1:$I$89,3,0)*VLOOKUP('Données projet'!$B$13,Paramètres!$A$1:$I$89,5,0)</f>
        <v>59.097168000000003</v>
      </c>
      <c r="CV21" s="14">
        <f t="shared" si="41"/>
        <v>16.939803726446218</v>
      </c>
      <c r="CW21" s="22">
        <f t="shared" si="13"/>
        <v>132.43105909022719</v>
      </c>
      <c r="CX21" s="60">
        <f t="shared" si="14"/>
        <v>344.20041228223033</v>
      </c>
      <c r="CY21" s="60">
        <f ca="1">AVERAGE(OFFSET($CX$3,0,0,'Données projet'!$E$13+1,1))-AVERAGE(OFFSET($H$3,0,0,'Données projet'!$E$13+1,1))</f>
        <v>395.27840703467933</v>
      </c>
      <c r="CZ21" s="60">
        <f t="shared" si="42"/>
        <v>364.24192380053944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3.56</v>
      </c>
      <c r="DO21" s="13">
        <f>IF('Données projet'!$A$166&gt;35,DO20+DN21-DW20,IF(A21&lt;'Données projet'!$A$166,$DL$205^A21,IF(A21='Données projet'!$A$166,'Données projet'!$B$166,DO20+DN21-DW20)))</f>
        <v>25.325661904683113</v>
      </c>
      <c r="DP21" s="18">
        <f>DO21*VLOOKUP('Données projet'!$B$14,Paramètres!$A$1:$I$89,3,0)*VLOOKUP('Données projet'!$B$14,Paramètres!$A$1:$I$89,5,0)</f>
        <v>19.754016285652828</v>
      </c>
      <c r="DQ21" s="14">
        <f t="shared" si="43"/>
        <v>6.4326982982660121</v>
      </c>
      <c r="DR21" s="22">
        <f t="shared" si="16"/>
        <v>45.608527900325306</v>
      </c>
      <c r="DS21" s="60">
        <f t="shared" si="17"/>
        <v>257.37788109232844</v>
      </c>
      <c r="DT21" s="60">
        <f ca="1">AVERAGE(OFFSET($DS$3,0,0,'Données projet'!$E$14+1,1))-AVERAGE(OFFSET($H$3,0,0,'Données projet'!$E$14+1,1))</f>
        <v>308.76306523144956</v>
      </c>
      <c r="DU21" s="60">
        <f t="shared" si="44"/>
        <v>283.28099819802776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9.3589743589743595</v>
      </c>
      <c r="EJ21" s="13">
        <f>IF('Données projet'!$A$192&gt;35,EJ20+EI21-ER20,IF(A21&lt;'Données projet'!$A$192,$EG$205^A21,IF(A21='Données projet'!$A$192,'Données projet'!$B$192,EJ20+EI21-ER20)))</f>
        <v>96.666666666666686</v>
      </c>
      <c r="EK21" s="18">
        <f>EJ21*VLOOKUP('Données projet'!$B$15,Paramètres!$A$1:$I$89,3,0)*VLOOKUP('Données projet'!$B$15,Paramètres!$A$1:$I$89,5,0)</f>
        <v>64.844000000000023</v>
      </c>
      <c r="EL21" s="14">
        <f t="shared" si="45"/>
        <v>18.387395502392351</v>
      </c>
      <c r="EM21" s="22">
        <f t="shared" si="19"/>
        <v>144.96134716666674</v>
      </c>
      <c r="EN21" s="60">
        <f t="shared" si="20"/>
        <v>356.73070035866988</v>
      </c>
      <c r="EO21" s="60">
        <f ca="1">AVERAGE(OFFSET($EN$3,0,0,'Données projet'!$E$15+1,1))-AVERAGE(OFFSET($H$3,0,0,'Données projet'!$E$15+1,1))</f>
        <v>375.49921531693559</v>
      </c>
      <c r="EP21" s="60">
        <f t="shared" si="46"/>
        <v>306.93934681565599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5.4</v>
      </c>
      <c r="FE21" s="13">
        <f>IF('Données projet'!$A$218&gt;35,FE20+FD21-FM20,IF(A21&lt;'Données projet'!$A$218,$FB$205^A21,IF(A21='Données projet'!$A$218,'Données projet'!$B$218,FE20+FD21-FM20)))</f>
        <v>58.199999999999996</v>
      </c>
      <c r="FF21" s="18">
        <f>FE21*VLOOKUP('Données projet'!$B$16,Paramètres!$A$1:$I$89,3,0)*VLOOKUP('Données projet'!$B$16,Paramètres!$A$1:$I$89,5,0)</f>
        <v>47.211840000000002</v>
      </c>
      <c r="FG21" s="14">
        <f t="shared" si="47"/>
        <v>13.891318331147987</v>
      </c>
      <c r="FH21" s="22">
        <f t="shared" si="22"/>
        <v>106.42133409341606</v>
      </c>
      <c r="FI21" s="60">
        <f t="shared" si="23"/>
        <v>318.19068728541919</v>
      </c>
      <c r="FJ21" s="60">
        <f ca="1">AVERAGE(OFFSET($FI$3,0,0,'Données projet'!$E$16+1,1))-AVERAGE(OFFSET($H$3,0,0,'Données projet'!$E$16+1,1))</f>
        <v>308.58270639204238</v>
      </c>
      <c r="FK21" s="60">
        <f t="shared" si="48"/>
        <v>258.90832875500325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2.1</v>
      </c>
      <c r="FZ21" s="13">
        <f>IF('Données projet'!$A$244&gt;35,FZ20+FY21-GH20,IF(A21&lt;'Données projet'!$A$244,$FW$205^A21,IF(A21='Données projet'!$A$244,'Données projet'!$B$244,FZ20+FY21-GH20)))</f>
        <v>28.901764726506816</v>
      </c>
      <c r="GA21" s="18">
        <f>FZ21*VLOOKUP('Données projet'!$B$17,Paramètres!$A$1:$I$89,3,0)*VLOOKUP('Données projet'!$B$17,Paramètres!$A$1:$I$89,5,0)</f>
        <v>27.953786843477392</v>
      </c>
      <c r="GB21" s="14">
        <f t="shared" si="49"/>
        <v>8.7423265089215931</v>
      </c>
      <c r="GC21" s="22">
        <f t="shared" si="25"/>
        <v>63.912397422094891</v>
      </c>
      <c r="GD21" s="60">
        <f t="shared" si="26"/>
        <v>275.68175061409801</v>
      </c>
      <c r="GE21" s="60">
        <f ca="1">AVERAGE(OFFSET($GD$3,0,0,'Données projet'!$E$17+1,1))-AVERAGE(OFFSET($H$3,0,0,'Données projet'!$E$17+1,1))</f>
        <v>495.77880062178235</v>
      </c>
      <c r="GF21" s="60">
        <f t="shared" si="50"/>
        <v>263.55891737750301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1.6</v>
      </c>
      <c r="N22" s="14">
        <f>IF('Données projet'!$A$36&gt;35,N21+M22-V21,IF(A22&lt;'Données projet'!$A$36,$K$205^A22,IF(A22='Données projet'!$A$36,'Données projet'!$B$36,N21+M22-V21)))</f>
        <v>26.908685288118836</v>
      </c>
      <c r="O22" s="14">
        <f>N22*VLOOKUP('Données projet'!$B$9,Paramètres!$A$1:$I$89,3,0)*VLOOKUP('Données projet'!$B$9,Paramètres!$A$1:$I$89,5,0)</f>
        <v>23.087651977205965</v>
      </c>
      <c r="P22" s="14">
        <f t="shared" si="33"/>
        <v>7.3830264994807839</v>
      </c>
      <c r="Q22" s="22">
        <f t="shared" si="2"/>
        <v>53.069765013562751</v>
      </c>
      <c r="R22" s="60">
        <f t="shared" si="0"/>
        <v>267.2218592565863</v>
      </c>
      <c r="S22" s="60">
        <f ca="1">AVERAGE(OFFSET($R$3,0,0,'Données projet'!$E$9+1,1))-AVERAGE(OFFSET($H$3,0,0,'Données projet'!$E$9+1,1))</f>
        <v>598.73855311281966</v>
      </c>
      <c r="T22" s="60">
        <f t="shared" si="34"/>
        <v>275.88160405468193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0">
        <f t="shared" si="5"/>
        <v>294.40829648405634</v>
      </c>
      <c r="AN22" s="60">
        <f ca="1">AVERAGE(OFFSET($AM$3,0,0,'Données projet'!$E$10+1,1))-AVERAGE(OFFSET($H$3,0,0,'Données projet'!$E$10+1,1))</f>
        <v>515.72324585399997</v>
      </c>
      <c r="AO22" s="60">
        <f t="shared" si="36"/>
        <v>273.35778700650792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66.480336000000008</v>
      </c>
      <c r="BF22" s="14">
        <f t="shared" si="37"/>
        <v>18.796793982740784</v>
      </c>
      <c r="BG22" s="22">
        <f t="shared" si="7"/>
        <v>148.52433471994019</v>
      </c>
      <c r="BH22" s="60">
        <f t="shared" si="8"/>
        <v>362.67642896296371</v>
      </c>
      <c r="BI22" s="60">
        <f ca="1">AVERAGE(OFFSET($BH$3,0,0,'Données projet'!$E$11+1,1))-AVERAGE(OFFSET($H$3,0,0,'Données projet'!$E$11+1,1))</f>
        <v>336.25341821407534</v>
      </c>
      <c r="BJ22" s="60">
        <f t="shared" si="38"/>
        <v>360.3246221345039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7.4358974358974361</v>
      </c>
      <c r="BY22" s="13">
        <f>IF('Données projet'!$A$114&gt;35,BY21+BX22-CG21,IF(A22&lt;'Données projet'!$A$114,$BV$205^A22,IF(A22='Données projet'!$A$114,'Données projet'!$B$114,BY21+BX22-CG21)))</f>
        <v>77.179487179487168</v>
      </c>
      <c r="BZ22" s="14">
        <f>BY22*VLOOKUP('Données projet'!$B$12,Paramètres!$A$1:$I$89,3,0)*VLOOKUP('Données projet'!$B$12,Paramètres!$A$1:$I$89,5,0)</f>
        <v>73.443999999999988</v>
      </c>
      <c r="CA22" s="14">
        <f t="shared" si="39"/>
        <v>20.526318854777685</v>
      </c>
      <c r="CB22" s="22">
        <f t="shared" si="10"/>
        <v>163.66497200540442</v>
      </c>
      <c r="CC22" s="60">
        <f t="shared" si="11"/>
        <v>377.81706624842798</v>
      </c>
      <c r="CD22" s="60">
        <f ca="1">AVERAGE(OFFSET($CC$3,0,0,'Données projet'!$E$12+1,1))-AVERAGE(OFFSET($H$3,0,0,'Données projet'!$E$12+1,1))</f>
        <v>438.41611139377829</v>
      </c>
      <c r="CE22" s="60">
        <f t="shared" si="40"/>
        <v>345.17417065809605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13.76</v>
      </c>
      <c r="CT22" s="13">
        <f>IF('Données projet'!$A$140&gt;35,CT21+CS22-DB21,IF(A22&lt;'Données projet'!$A$140,$CQ$205^A22,IF(A22='Données projet'!$A$140,'Données projet'!$B$140,CT21+CS22-DB21)))</f>
        <v>88.04</v>
      </c>
      <c r="CU22" s="18">
        <f>CT22*VLOOKUP('Données projet'!$B$13,Paramètres!$A$1:$I$89,3,0)*VLOOKUP('Données projet'!$B$13,Paramètres!$A$1:$I$89,5,0)</f>
        <v>70.044624000000013</v>
      </c>
      <c r="CV22" s="14">
        <f t="shared" si="41"/>
        <v>19.684538872273954</v>
      </c>
      <c r="CW22" s="22">
        <f t="shared" si="13"/>
        <v>156.27829200254382</v>
      </c>
      <c r="CX22" s="60">
        <f t="shared" si="14"/>
        <v>370.43038624556732</v>
      </c>
      <c r="CY22" s="60">
        <f ca="1">AVERAGE(OFFSET($CX$3,0,0,'Données projet'!$E$13+1,1))-AVERAGE(OFFSET($H$3,0,0,'Données projet'!$E$13+1,1))</f>
        <v>395.27840703467933</v>
      </c>
      <c r="CZ22" s="60">
        <f t="shared" si="42"/>
        <v>364.24192380053944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3.56</v>
      </c>
      <c r="DO22" s="13">
        <f>IF('Données projet'!$A$166&gt;35,DO21+DN22-DW21,IF(A22&lt;'Données projet'!$A$166,$DL$205^A22,IF(A22='Données projet'!$A$166,'Données projet'!$B$166,DO21+DN22-DW21)))</f>
        <v>30.306543339398647</v>
      </c>
      <c r="DP22" s="18">
        <f>DO22*VLOOKUP('Données projet'!$B$14,Paramètres!$A$1:$I$89,3,0)*VLOOKUP('Données projet'!$B$14,Paramètres!$A$1:$I$89,5,0)</f>
        <v>23.639103804730947</v>
      </c>
      <c r="DQ22" s="14">
        <f t="shared" si="43"/>
        <v>7.5386299111208031</v>
      </c>
      <c r="DR22" s="22">
        <f t="shared" si="16"/>
        <v>54.301219555108467</v>
      </c>
      <c r="DS22" s="60">
        <f t="shared" si="17"/>
        <v>268.453313798132</v>
      </c>
      <c r="DT22" s="60">
        <f ca="1">AVERAGE(OFFSET($DS$3,0,0,'Données projet'!$E$14+1,1))-AVERAGE(OFFSET($H$3,0,0,'Données projet'!$E$14+1,1))</f>
        <v>308.76306523144956</v>
      </c>
      <c r="DU22" s="60">
        <f t="shared" si="44"/>
        <v>283.28099819802776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9.3589743589743595</v>
      </c>
      <c r="EJ22" s="13">
        <f>IF('Données projet'!$A$192&gt;35,EJ21+EI22-ER21,IF(A22&lt;'Données projet'!$A$192,$EG$205^A22,IF(A22='Données projet'!$A$192,'Données projet'!$B$192,EJ21+EI22-ER21)))</f>
        <v>106.02564102564105</v>
      </c>
      <c r="EK22" s="18">
        <f>EJ22*VLOOKUP('Données projet'!$B$15,Paramètres!$A$1:$I$89,3,0)*VLOOKUP('Données projet'!$B$15,Paramètres!$A$1:$I$89,5,0)</f>
        <v>71.122000000000014</v>
      </c>
      <c r="EL22" s="14">
        <f t="shared" si="45"/>
        <v>19.951831327427488</v>
      </c>
      <c r="EM22" s="22">
        <f t="shared" si="19"/>
        <v>158.62025622860287</v>
      </c>
      <c r="EN22" s="60">
        <f t="shared" si="20"/>
        <v>372.7723504716264</v>
      </c>
      <c r="EO22" s="60">
        <f ca="1">AVERAGE(OFFSET($EN$3,0,0,'Données projet'!$E$15+1,1))-AVERAGE(OFFSET($H$3,0,0,'Données projet'!$E$15+1,1))</f>
        <v>375.49921531693559</v>
      </c>
      <c r="EP22" s="60">
        <f t="shared" si="46"/>
        <v>306.93934681565599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5.4</v>
      </c>
      <c r="FE22" s="13">
        <f>IF('Données projet'!$A$218&gt;35,FE21+FD22-FM21,IF(A22&lt;'Données projet'!$A$218,$FB$205^A22,IF(A22='Données projet'!$A$218,'Données projet'!$B$218,FE21+FD22-FM21)))</f>
        <v>63.599999999999994</v>
      </c>
      <c r="FF22" s="18">
        <f>FE22*VLOOKUP('Données projet'!$B$16,Paramètres!$A$1:$I$89,3,0)*VLOOKUP('Données projet'!$B$16,Paramètres!$A$1:$I$89,5,0)</f>
        <v>51.592319999999994</v>
      </c>
      <c r="FG22" s="14">
        <f t="shared" si="47"/>
        <v>15.024229944049157</v>
      </c>
      <c r="FH22" s="22">
        <f t="shared" si="22"/>
        <v>116.0238244858856</v>
      </c>
      <c r="FI22" s="60">
        <f t="shared" si="23"/>
        <v>330.1759187289091</v>
      </c>
      <c r="FJ22" s="60">
        <f ca="1">AVERAGE(OFFSET($FI$3,0,0,'Données projet'!$E$16+1,1))-AVERAGE(OFFSET($H$3,0,0,'Données projet'!$E$16+1,1))</f>
        <v>308.58270639204238</v>
      </c>
      <c r="FK22" s="60">
        <f t="shared" si="48"/>
        <v>258.90832875500325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2.1</v>
      </c>
      <c r="FZ22" s="13">
        <f>IF('Données projet'!$A$244&gt;35,FZ21+FY22-GH21,IF(A22&lt;'Données projet'!$A$244,$FW$205^A22,IF(A22='Données projet'!$A$244,'Données projet'!$B$244,FZ21+FY22-GH21)))</f>
        <v>34.840696297767764</v>
      </c>
      <c r="GA22" s="18">
        <f>FZ22*VLOOKUP('Données projet'!$B$17,Paramètres!$A$1:$I$89,3,0)*VLOOKUP('Données projet'!$B$17,Paramètres!$A$1:$I$89,5,0)</f>
        <v>33.697921459200977</v>
      </c>
      <c r="GB22" s="14">
        <f t="shared" si="49"/>
        <v>10.31198270984201</v>
      </c>
      <c r="GC22" s="22">
        <f t="shared" si="25"/>
        <v>76.650583094416518</v>
      </c>
      <c r="GD22" s="60">
        <f t="shared" si="26"/>
        <v>290.80267733744006</v>
      </c>
      <c r="GE22" s="60">
        <f ca="1">AVERAGE(OFFSET($GD$3,0,0,'Données projet'!$E$17+1,1))-AVERAGE(OFFSET($H$3,0,0,'Données projet'!$E$17+1,1))</f>
        <v>495.77880062178235</v>
      </c>
      <c r="GF22" s="60">
        <f t="shared" si="50"/>
        <v>263.55891737750301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32</v>
      </c>
      <c r="L23" s="13">
        <f>VLOOKUP(A23,'Données projet'!$A$35:$I$55,9,0)</f>
        <v>1.6</v>
      </c>
      <c r="M23" s="13">
        <f t="array" ref="M23">INDEX(L:L,MIN(IF(ISNUMBER(L23:L219),ROW(L23:L219),"")))</f>
        <v>1.6</v>
      </c>
      <c r="N23" s="14">
        <f>IF('Données projet'!$A$36&gt;35,N22+M23-V22,IF(A23&lt;'Données projet'!$A$36,$K$205^A23,IF(A23='Données projet'!$A$36,'Données projet'!$B$36,N22+M23-V22)))</f>
        <v>32</v>
      </c>
      <c r="O23" s="14">
        <f>N23*VLOOKUP('Données projet'!$B$9,Paramètres!$A$1:$I$89,3,0)*VLOOKUP('Données projet'!$B$9,Paramètres!$A$1:$I$89,5,0)</f>
        <v>27.456000000000003</v>
      </c>
      <c r="P23" s="14">
        <f t="shared" si="33"/>
        <v>8.604625104229898</v>
      </c>
      <c r="Q23" s="22">
        <f t="shared" si="2"/>
        <v>62.805588723200408</v>
      </c>
      <c r="R23" s="60">
        <f t="shared" si="0"/>
        <v>279.32029161009615</v>
      </c>
      <c r="S23" s="60">
        <f ca="1">AVERAGE(OFFSET($R$3,0,0,'Données projet'!$E$9+1,1))-AVERAGE(OFFSET($H$3,0,0,'Données projet'!$E$9+1,1))</f>
        <v>598.73855311281966</v>
      </c>
      <c r="T23" s="60">
        <f t="shared" si="34"/>
        <v>275.88160405468193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0">
        <f t="shared" si="5"/>
        <v>312.77674802649938</v>
      </c>
      <c r="AN23" s="60">
        <f ca="1">AVERAGE(OFFSET($AM$3,0,0,'Données projet'!$E$10+1,1))-AVERAGE(OFFSET($H$3,0,0,'Données projet'!$E$10+1,1))</f>
        <v>515.72324585399997</v>
      </c>
      <c r="AO23" s="60">
        <f t="shared" si="36"/>
        <v>273.35778700650792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75.661559999999994</v>
      </c>
      <c r="BF23" s="14">
        <f t="shared" si="37"/>
        <v>21.072995399411479</v>
      </c>
      <c r="BG23" s="22">
        <f t="shared" si="7"/>
        <v>168.47935065397499</v>
      </c>
      <c r="BH23" s="60">
        <f t="shared" si="8"/>
        <v>384.99405354087071</v>
      </c>
      <c r="BI23" s="60">
        <f ca="1">AVERAGE(OFFSET($BH$3,0,0,'Données projet'!$E$11+1,1))-AVERAGE(OFFSET($H$3,0,0,'Données projet'!$E$11+1,1))</f>
        <v>336.25341821407534</v>
      </c>
      <c r="BJ23" s="60">
        <f t="shared" si="38"/>
        <v>360.3246221345039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84.615384615384613</v>
      </c>
      <c r="BW23" s="13">
        <f>VLOOKUP(A23,'Données projet'!$A$113:$I$133,9,0)</f>
        <v>7.4358974358974361</v>
      </c>
      <c r="BX23" s="13">
        <f t="array" ref="BX23">INDEX(BW:BW,MIN(IF(ISNUMBER(BW23:BW219),ROW(BW23:BW219),"")))</f>
        <v>7.4358974358974361</v>
      </c>
      <c r="BY23" s="13">
        <f>IF('Données projet'!$A$114&gt;35,BY22+BX23-CG22,IF(A23&lt;'Données projet'!$A$114,$BV$205^A23,IF(A23='Données projet'!$A$114,'Données projet'!$B$114,BY22+BX23-CG22)))</f>
        <v>84.615384615384599</v>
      </c>
      <c r="BZ23" s="14">
        <f>BY23*VLOOKUP('Données projet'!$B$12,Paramètres!$A$1:$I$89,3,0)*VLOOKUP('Données projet'!$B$12,Paramètres!$A$1:$I$89,5,0)</f>
        <v>80.519999999999982</v>
      </c>
      <c r="CA23" s="14">
        <f t="shared" si="39"/>
        <v>22.264278849845564</v>
      </c>
      <c r="CB23" s="22">
        <f t="shared" si="10"/>
        <v>179.01595233014768</v>
      </c>
      <c r="CC23" s="60">
        <f t="shared" si="11"/>
        <v>395.53065521704343</v>
      </c>
      <c r="CD23" s="60">
        <f ca="1">AVERAGE(OFFSET($CC$3,0,0,'Données projet'!$E$12+1,1))-AVERAGE(OFFSET($H$3,0,0,'Données projet'!$E$12+1,1))</f>
        <v>438.41611139377829</v>
      </c>
      <c r="CE23" s="60">
        <f t="shared" si="40"/>
        <v>345.17417065809605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21.153846153846153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101.8</v>
      </c>
      <c r="CR23" s="13">
        <f>VLOOKUP(A23,'Données projet'!$A$139:$I$159,9,0)</f>
        <v>13.76</v>
      </c>
      <c r="CS23" s="13">
        <f t="array" ref="CS23">INDEX(CR:CR,MIN(IF(ISNUMBER(CR23:CR219),ROW(CR23:CR219),"")))</f>
        <v>13.76</v>
      </c>
      <c r="CT23" s="13">
        <f>IF('Données projet'!$A$140&gt;35,CT22+CS23-DB22,IF(A23&lt;'Données projet'!$A$140,$CQ$205^A23,IF(A23='Données projet'!$A$140,'Données projet'!$B$140,CT22+CS23-DB22)))</f>
        <v>101.80000000000001</v>
      </c>
      <c r="CU23" s="18">
        <f>CT23*VLOOKUP('Données projet'!$B$13,Paramètres!$A$1:$I$89,3,0)*VLOOKUP('Données projet'!$B$13,Paramètres!$A$1:$I$89,5,0)</f>
        <v>80.992080000000016</v>
      </c>
      <c r="CV23" s="14">
        <f t="shared" si="41"/>
        <v>22.379578577741299</v>
      </c>
      <c r="CW23" s="22">
        <f t="shared" si="13"/>
        <v>180.03897202289943</v>
      </c>
      <c r="CX23" s="60">
        <f t="shared" si="14"/>
        <v>396.55367490979518</v>
      </c>
      <c r="CY23" s="60">
        <f ca="1">AVERAGE(OFFSET($CX$3,0,0,'Données projet'!$E$13+1,1))-AVERAGE(OFFSET($H$3,0,0,'Données projet'!$E$13+1,1))</f>
        <v>395.27840703467933</v>
      </c>
      <c r="CZ23" s="60">
        <f t="shared" si="42"/>
        <v>364.24192380053944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3.56</v>
      </c>
      <c r="DO23" s="13">
        <f>IF('Données projet'!$A$166&gt;35,DO22+DN23-DW22,IF(A23&lt;'Données projet'!$A$166,$DL$205^A23,IF(A23='Données projet'!$A$166,'Données projet'!$B$166,DO22+DN23-DW22)))</f>
        <v>36.267031149657967</v>
      </c>
      <c r="DP23" s="18">
        <f>DO23*VLOOKUP('Données projet'!$B$14,Paramètres!$A$1:$I$89,3,0)*VLOOKUP('Données projet'!$B$14,Paramètres!$A$1:$I$89,5,0)</f>
        <v>28.288284296733217</v>
      </c>
      <c r="DQ23" s="14">
        <f t="shared" si="43"/>
        <v>8.834697090047662</v>
      </c>
      <c r="DR23" s="22">
        <f t="shared" si="16"/>
        <v>64.655859248643353</v>
      </c>
      <c r="DS23" s="60">
        <f t="shared" si="17"/>
        <v>281.17056213553906</v>
      </c>
      <c r="DT23" s="60">
        <f ca="1">AVERAGE(OFFSET($DS$3,0,0,'Données projet'!$E$14+1,1))-AVERAGE(OFFSET($H$3,0,0,'Données projet'!$E$14+1,1))</f>
        <v>308.76306523144956</v>
      </c>
      <c r="DU23" s="60">
        <f t="shared" si="44"/>
        <v>283.28099819802776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115.38461538461539</v>
      </c>
      <c r="EH23" s="13">
        <f>VLOOKUP(A23,'Données projet'!$A$191:$I$211,9,0)</f>
        <v>9.3589743589743595</v>
      </c>
      <c r="EI23" s="13">
        <f t="array" ref="EI23">INDEX(EH:EH,MIN(IF(ISNUMBER(EH23:EH219),ROW(EH23:EH219),"")))</f>
        <v>9.3589743589743595</v>
      </c>
      <c r="EJ23" s="13">
        <f>IF('Données projet'!$A$192&gt;35,EJ22+EI23-ER22,IF(A23&lt;'Données projet'!$A$192,$EG$205^A23,IF(A23='Données projet'!$A$192,'Données projet'!$B$192,EJ22+EI23-ER22)))</f>
        <v>115.38461538461542</v>
      </c>
      <c r="EK23" s="18">
        <f>EJ23*VLOOKUP('Données projet'!$B$15,Paramètres!$A$1:$I$89,3,0)*VLOOKUP('Données projet'!$B$15,Paramètres!$A$1:$I$89,5,0)</f>
        <v>77.40000000000002</v>
      </c>
      <c r="EL23" s="14">
        <f t="shared" si="45"/>
        <v>21.500253361808461</v>
      </c>
      <c r="EM23" s="22">
        <f t="shared" si="19"/>
        <v>172.25127460514977</v>
      </c>
      <c r="EN23" s="60">
        <f t="shared" si="20"/>
        <v>388.76597749204552</v>
      </c>
      <c r="EO23" s="60">
        <f ca="1">AVERAGE(OFFSET($EN$3,0,0,'Données projet'!$E$15+1,1))-AVERAGE(OFFSET($H$3,0,0,'Données projet'!$E$15+1,1))</f>
        <v>375.49921531693559</v>
      </c>
      <c r="EP23" s="60">
        <f t="shared" si="46"/>
        <v>306.93934681565599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35.897435897435898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69</v>
      </c>
      <c r="FC23" s="13">
        <f>VLOOKUP(A23,'Données projet'!$A$217:$I$237,9,0)</f>
        <v>5.4</v>
      </c>
      <c r="FD23" s="13">
        <f t="array" ref="FD23">INDEX(FC:FC,MIN(IF(ISNUMBER(FC23:FC219),ROW(FC23:FC219),"")))</f>
        <v>5.4</v>
      </c>
      <c r="FE23" s="13">
        <f>IF('Données projet'!$A$218&gt;35,FE22+FD23-FM22,IF(A23&lt;'Données projet'!$A$218,$FB$205^A23,IF(A23='Données projet'!$A$218,'Données projet'!$B$218,FE22+FD23-FM22)))</f>
        <v>69</v>
      </c>
      <c r="FF23" s="18">
        <f>FE23*VLOOKUP('Données projet'!$B$16,Paramètres!$A$1:$I$89,3,0)*VLOOKUP('Données projet'!$B$16,Paramètres!$A$1:$I$89,5,0)</f>
        <v>55.972800000000007</v>
      </c>
      <c r="FG23" s="14">
        <f t="shared" si="47"/>
        <v>16.145985978099571</v>
      </c>
      <c r="FH23" s="22">
        <f t="shared" si="22"/>
        <v>125.60688557852342</v>
      </c>
      <c r="FI23" s="60">
        <f t="shared" si="23"/>
        <v>342.12158846541911</v>
      </c>
      <c r="FJ23" s="60">
        <f ca="1">AVERAGE(OFFSET($FI$3,0,0,'Données projet'!$E$16+1,1))-AVERAGE(OFFSET($H$3,0,0,'Données projet'!$E$16+1,1))</f>
        <v>308.58270639204238</v>
      </c>
      <c r="FK23" s="60">
        <f t="shared" si="48"/>
        <v>258.90832875500325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15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42</v>
      </c>
      <c r="FX23" s="13">
        <f>VLOOKUP(A23,'Données projet'!$A$243:$I$263,9,0)</f>
        <v>2.1</v>
      </c>
      <c r="FY23" s="13">
        <f t="array" ref="FY23">INDEX(FX:FX,MIN(IF(ISNUMBER(FX23:FX219),ROW(FX23:FX219),"")))</f>
        <v>2.1</v>
      </c>
      <c r="FZ23" s="13">
        <f>IF('Données projet'!$A$244&gt;35,FZ22+FY23-GH22,IF(A23&lt;'Données projet'!$A$244,$FW$205^A23,IF(A23='Données projet'!$A$244,'Données projet'!$B$244,FZ22+FY23-GH22)))</f>
        <v>42</v>
      </c>
      <c r="GA23" s="18">
        <f>FZ23*VLOOKUP('Données projet'!$B$17,Paramètres!$A$1:$I$89,3,0)*VLOOKUP('Données projet'!$B$17,Paramètres!$A$1:$I$89,5,0)</f>
        <v>40.622399999999999</v>
      </c>
      <c r="GB23" s="14">
        <f t="shared" si="49"/>
        <v>12.163465560290264</v>
      </c>
      <c r="GC23" s="22">
        <f t="shared" si="25"/>
        <v>91.935382517505545</v>
      </c>
      <c r="GD23" s="60">
        <f t="shared" si="26"/>
        <v>308.45008540440125</v>
      </c>
      <c r="GE23" s="60">
        <f ca="1">AVERAGE(OFFSET($GD$3,0,0,'Données projet'!$E$17+1,1))-AVERAGE(OFFSET($H$3,0,0,'Données projet'!$E$17+1,1))</f>
        <v>495.77880062178235</v>
      </c>
      <c r="GF23" s="60">
        <f t="shared" si="50"/>
        <v>263.55891737750301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8.8000000000000007</v>
      </c>
      <c r="N24" s="14">
        <f>IF('Données projet'!$A$36&gt;35,N23+M24-V23,IF(A24&lt;'Données projet'!$A$36,$K$205^A24,IF(A24='Données projet'!$A$36,'Données projet'!$B$36,N23+M24-V23)))</f>
        <v>40.799999999999997</v>
      </c>
      <c r="O24" s="14">
        <f>N24*VLOOKUP('Données projet'!$B$9,Paramètres!$A$1:$I$89,3,0)*VLOOKUP('Données projet'!$B$9,Paramètres!$A$1:$I$89,5,0)</f>
        <v>35.006400000000006</v>
      </c>
      <c r="P24" s="14">
        <f t="shared" si="33"/>
        <v>10.664997365847841</v>
      </c>
      <c r="Q24" s="22">
        <f t="shared" si="2"/>
        <v>79.544350412184983</v>
      </c>
      <c r="R24" s="60">
        <f t="shared" si="0"/>
        <v>298.40187878805938</v>
      </c>
      <c r="S24" s="60">
        <f ca="1">AVERAGE(OFFSET($R$3,0,0,'Données projet'!$E$9+1,1))-AVERAGE(OFFSET($H$3,0,0,'Données projet'!$E$9+1,1))</f>
        <v>598.73855311281966</v>
      </c>
      <c r="T24" s="60">
        <f t="shared" si="34"/>
        <v>275.88160405468193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0">
        <f t="shared" si="5"/>
        <v>327.59245112039338</v>
      </c>
      <c r="AN24" s="60">
        <f ca="1">AVERAGE(OFFSET($AM$3,0,0,'Données projet'!$E$10+1,1))-AVERAGE(OFFSET($H$3,0,0,'Données projet'!$E$10+1,1))</f>
        <v>515.72324585399997</v>
      </c>
      <c r="AO24" s="60">
        <f t="shared" si="36"/>
        <v>273.35778700650792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51.316200000000009</v>
      </c>
      <c r="BF24" s="14">
        <f t="shared" si="37"/>
        <v>14.953158316506878</v>
      </c>
      <c r="BG24" s="22">
        <f t="shared" si="7"/>
        <v>115.41913240124948</v>
      </c>
      <c r="BH24" s="60">
        <f t="shared" si="8"/>
        <v>334.27666077712388</v>
      </c>
      <c r="BI24" s="60">
        <f ca="1">AVERAGE(OFFSET($BH$3,0,0,'Données projet'!$E$11+1,1))-AVERAGE(OFFSET($H$3,0,0,'Données projet'!$E$11+1,1))</f>
        <v>336.25341821407534</v>
      </c>
      <c r="BJ24" s="60">
        <f t="shared" si="38"/>
        <v>360.3246221345039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7.5641025641025648</v>
      </c>
      <c r="BY24" s="13">
        <f>IF('Données projet'!$A$114&gt;35,BY23+BX24-CG23,IF(A24&lt;'Données projet'!$A$114,$BV$205^A24,IF(A24='Données projet'!$A$114,'Données projet'!$B$114,BY23+BX24-CG23)))</f>
        <v>71.025641025641022</v>
      </c>
      <c r="BZ24" s="14">
        <f>BY24*VLOOKUP('Données projet'!$B$12,Paramètres!$A$1:$I$89,3,0)*VLOOKUP('Données projet'!$B$12,Paramètres!$A$1:$I$89,5,0)</f>
        <v>67.587999999999994</v>
      </c>
      <c r="CA24" s="14">
        <f t="shared" si="39"/>
        <v>19.073256065008206</v>
      </c>
      <c r="CB24" s="22">
        <f t="shared" si="10"/>
        <v>150.93502097988929</v>
      </c>
      <c r="CC24" s="60">
        <f t="shared" si="11"/>
        <v>369.79254935576364</v>
      </c>
      <c r="CD24" s="60">
        <f ca="1">AVERAGE(OFFSET($CC$3,0,0,'Données projet'!$E$12+1,1))-AVERAGE(OFFSET($H$3,0,0,'Données projet'!$E$12+1,1))</f>
        <v>438.41611139377829</v>
      </c>
      <c r="CE24" s="60">
        <f t="shared" si="40"/>
        <v>345.17417065809605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14.74</v>
      </c>
      <c r="CT24" s="13">
        <f>IF('Données projet'!$A$140&gt;35,CT23+CS24-DB23,IF(A24&lt;'Données projet'!$A$140,$CQ$205^A24,IF(A24='Données projet'!$A$140,'Données projet'!$B$140,CT23+CS24-DB23)))</f>
        <v>116.54</v>
      </c>
      <c r="CU24" s="18">
        <f>CT24*VLOOKUP('Données projet'!$B$13,Paramètres!$A$1:$I$89,3,0)*VLOOKUP('Données projet'!$B$13,Paramètres!$A$1:$I$89,5,0)</f>
        <v>92.719224000000011</v>
      </c>
      <c r="CV24" s="14">
        <f t="shared" si="41"/>
        <v>25.219895907118399</v>
      </c>
      <c r="CW24" s="22">
        <f t="shared" si="13"/>
        <v>205.41063383823121</v>
      </c>
      <c r="CX24" s="60">
        <f t="shared" si="14"/>
        <v>424.26816221410559</v>
      </c>
      <c r="CY24" s="60">
        <f ca="1">AVERAGE(OFFSET($CX$3,0,0,'Données projet'!$E$13+1,1))-AVERAGE(OFFSET($H$3,0,0,'Données projet'!$E$13+1,1))</f>
        <v>395.27840703467933</v>
      </c>
      <c r="CZ24" s="60">
        <f t="shared" si="42"/>
        <v>364.24192380053944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3.56</v>
      </c>
      <c r="DO24" s="13">
        <f>IF('Données projet'!$A$166&gt;35,DO23+DN24-DW23,IF(A24&lt;'Données projet'!$A$166,$DL$205^A24,IF(A24='Données projet'!$A$166,'Données projet'!$B$166,DO23+DN24-DW23)))</f>
        <v>43.399787751457886</v>
      </c>
      <c r="DP24" s="18">
        <f>DO24*VLOOKUP('Données projet'!$B$14,Paramètres!$A$1:$I$89,3,0)*VLOOKUP('Données projet'!$B$14,Paramètres!$A$1:$I$89,5,0)</f>
        <v>33.851834446137154</v>
      </c>
      <c r="DQ24" s="14">
        <f t="shared" si="43"/>
        <v>10.353588595423204</v>
      </c>
      <c r="DR24" s="22">
        <f t="shared" si="16"/>
        <v>76.991111797384278</v>
      </c>
      <c r="DS24" s="60">
        <f t="shared" si="17"/>
        <v>295.84864017325867</v>
      </c>
      <c r="DT24" s="60">
        <f ca="1">AVERAGE(OFFSET($DS$3,0,0,'Données projet'!$E$14+1,1))-AVERAGE(OFFSET($H$3,0,0,'Données projet'!$E$14+1,1))</f>
        <v>308.76306523144956</v>
      </c>
      <c r="DU24" s="60">
        <f t="shared" si="44"/>
        <v>283.28099819802776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9.2307692307692299</v>
      </c>
      <c r="EJ24" s="13">
        <f>IF('Données projet'!$A$192&gt;35,EJ23+EI24-ER23,IF(A24&lt;'Données projet'!$A$192,$EG$205^A24,IF(A24='Données projet'!$A$192,'Données projet'!$B$192,EJ23+EI24-ER23)))</f>
        <v>88.717948717948744</v>
      </c>
      <c r="EK24" s="18">
        <f>EJ24*VLOOKUP('Données projet'!$B$15,Paramètres!$A$1:$I$89,3,0)*VLOOKUP('Données projet'!$B$15,Paramètres!$A$1:$I$89,5,0)</f>
        <v>59.512000000000015</v>
      </c>
      <c r="EL24" s="14">
        <f t="shared" si="45"/>
        <v>17.044828720000172</v>
      </c>
      <c r="EM24" s="22">
        <f t="shared" si="19"/>
        <v>133.33647668733366</v>
      </c>
      <c r="EN24" s="60">
        <f t="shared" si="20"/>
        <v>352.19400506320801</v>
      </c>
      <c r="EO24" s="60">
        <f ca="1">AVERAGE(OFFSET($EN$3,0,0,'Données projet'!$E$15+1,1))-AVERAGE(OFFSET($H$3,0,0,'Données projet'!$E$15+1,1))</f>
        <v>375.49921531693559</v>
      </c>
      <c r="EP24" s="60">
        <f t="shared" si="46"/>
        <v>306.93934681565599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5.8</v>
      </c>
      <c r="FE24" s="13">
        <f>IF('Données projet'!$A$218&gt;35,FE23+FD24-FM23,IF(A24&lt;'Données projet'!$A$218,$FB$205^A24,IF(A24='Données projet'!$A$218,'Données projet'!$B$218,FE23+FD24-FM23)))</f>
        <v>59.8</v>
      </c>
      <c r="FF24" s="18">
        <f>FE24*VLOOKUP('Données projet'!$B$16,Paramètres!$A$1:$I$89,3,0)*VLOOKUP('Données projet'!$B$16,Paramètres!$A$1:$I$89,5,0)</f>
        <v>48.50976</v>
      </c>
      <c r="FG24" s="14">
        <f t="shared" si="47"/>
        <v>14.228223566336322</v>
      </c>
      <c r="FH24" s="22">
        <f t="shared" si="22"/>
        <v>109.26865471136909</v>
      </c>
      <c r="FI24" s="60">
        <f t="shared" si="23"/>
        <v>328.12618308724348</v>
      </c>
      <c r="FJ24" s="60">
        <f ca="1">AVERAGE(OFFSET($FI$3,0,0,'Données projet'!$E$16+1,1))-AVERAGE(OFFSET($H$3,0,0,'Données projet'!$E$16+1,1))</f>
        <v>308.58270639204238</v>
      </c>
      <c r="FK24" s="60">
        <f t="shared" si="48"/>
        <v>258.90832875500325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5.6</v>
      </c>
      <c r="FZ24" s="13">
        <f>IF('Données projet'!$A$244&gt;35,FZ23+FY24-GH23,IF(A24&lt;'Données projet'!$A$244,$FW$205^A24,IF(A24='Données projet'!$A$244,'Données projet'!$B$244,FZ23+FY24-GH23)))</f>
        <v>47.6</v>
      </c>
      <c r="GA24" s="18">
        <f>FZ24*VLOOKUP('Données projet'!$B$17,Paramètres!$A$1:$I$89,3,0)*VLOOKUP('Données projet'!$B$17,Paramètres!$A$1:$I$89,5,0)</f>
        <v>46.038720000000005</v>
      </c>
      <c r="GB24" s="14">
        <f t="shared" si="49"/>
        <v>13.585879560828786</v>
      </c>
      <c r="GC24" s="22">
        <f t="shared" si="25"/>
        <v>103.84617756844348</v>
      </c>
      <c r="GD24" s="60">
        <f t="shared" si="26"/>
        <v>322.70370594431785</v>
      </c>
      <c r="GE24" s="60">
        <f ca="1">AVERAGE(OFFSET($GD$3,0,0,'Données projet'!$E$17+1,1))-AVERAGE(OFFSET($H$3,0,0,'Données projet'!$E$17+1,1))</f>
        <v>495.77880062178235</v>
      </c>
      <c r="GF24" s="60">
        <f t="shared" si="50"/>
        <v>263.55891737750301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8.8000000000000007</v>
      </c>
      <c r="N25" s="14">
        <f>IF('Données projet'!$A$36&gt;35,N24+M25-V24,IF(A25&lt;'Données projet'!$A$36,$K$205^A25,IF(A25='Données projet'!$A$36,'Données projet'!$B$36,N24+M25-V24)))</f>
        <v>49.599999999999994</v>
      </c>
      <c r="O25" s="14">
        <f>N25*VLOOKUP('Données projet'!$B$9,Paramètres!$A$1:$I$89,3,0)*VLOOKUP('Données projet'!$B$9,Paramètres!$A$1:$I$89,5,0)</f>
        <v>42.556799999999996</v>
      </c>
      <c r="P25" s="14">
        <f t="shared" si="33"/>
        <v>12.673863978067095</v>
      </c>
      <c r="Q25" s="22">
        <f t="shared" si="2"/>
        <v>96.193406428466844</v>
      </c>
      <c r="R25" s="60">
        <f t="shared" si="0"/>
        <v>317.37432033193522</v>
      </c>
      <c r="S25" s="60">
        <f ca="1">AVERAGE(OFFSET($R$3,0,0,'Données projet'!$E$9+1,1))-AVERAGE(OFFSET($H$3,0,0,'Données projet'!$E$9+1,1))</f>
        <v>598.73855311281966</v>
      </c>
      <c r="T25" s="60">
        <f t="shared" si="34"/>
        <v>275.88160405468193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0">
        <f t="shared" si="5"/>
        <v>342.35349780478379</v>
      </c>
      <c r="AN25" s="60">
        <f ca="1">AVERAGE(OFFSET($AM$3,0,0,'Données projet'!$E$10+1,1))-AVERAGE(OFFSET($H$3,0,0,'Données projet'!$E$10+1,1))</f>
        <v>515.72324585399997</v>
      </c>
      <c r="AO25" s="60">
        <f t="shared" si="36"/>
        <v>273.35778700650792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61.261200000000009</v>
      </c>
      <c r="BF25" s="14">
        <f t="shared" si="37"/>
        <v>17.486752865339852</v>
      </c>
      <c r="BG25" s="22">
        <f t="shared" si="7"/>
        <v>137.15268457380026</v>
      </c>
      <c r="BH25" s="60">
        <f t="shared" si="8"/>
        <v>358.33359847726865</v>
      </c>
      <c r="BI25" s="60">
        <f ca="1">AVERAGE(OFFSET($BH$3,0,0,'Données projet'!$E$11+1,1))-AVERAGE(OFFSET($H$3,0,0,'Données projet'!$E$11+1,1))</f>
        <v>336.25341821407534</v>
      </c>
      <c r="BJ25" s="60">
        <f t="shared" si="38"/>
        <v>360.3246221345039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7.5641025641025648</v>
      </c>
      <c r="BY25" s="13">
        <f>IF('Données projet'!$A$114&gt;35,BY24+BX25-CG24,IF(A25&lt;'Données projet'!$A$114,$BV$205^A25,IF(A25='Données projet'!$A$114,'Données projet'!$B$114,BY24+BX25-CG24)))</f>
        <v>78.589743589743591</v>
      </c>
      <c r="BZ25" s="14">
        <f>BY25*VLOOKUP('Données projet'!$B$12,Paramètres!$A$1:$I$89,3,0)*VLOOKUP('Données projet'!$B$12,Paramètres!$A$1:$I$89,5,0)</f>
        <v>74.786000000000001</v>
      </c>
      <c r="CA25" s="14">
        <f t="shared" si="39"/>
        <v>20.857376778776572</v>
      </c>
      <c r="CB25" s="22">
        <f t="shared" si="10"/>
        <v>166.57888122303586</v>
      </c>
      <c r="CC25" s="60">
        <f t="shared" si="11"/>
        <v>387.75979512650429</v>
      </c>
      <c r="CD25" s="60">
        <f ca="1">AVERAGE(OFFSET($CC$3,0,0,'Données projet'!$E$12+1,1))-AVERAGE(OFFSET($H$3,0,0,'Données projet'!$E$12+1,1))</f>
        <v>438.41611139377829</v>
      </c>
      <c r="CE25" s="60">
        <f t="shared" si="40"/>
        <v>345.17417065809605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14.74</v>
      </c>
      <c r="CT25" s="13">
        <f>IF('Données projet'!$A$140&gt;35,CT24+CS25-DB24,IF(A25&lt;'Données projet'!$A$140,$CQ$205^A25,IF(A25='Données projet'!$A$140,'Données projet'!$B$140,CT24+CS25-DB24)))</f>
        <v>131.28</v>
      </c>
      <c r="CU25" s="18">
        <f>CT25*VLOOKUP('Données projet'!$B$13,Paramètres!$A$1:$I$89,3,0)*VLOOKUP('Données projet'!$B$13,Paramètres!$A$1:$I$89,5,0)</f>
        <v>104.44636799999999</v>
      </c>
      <c r="CV25" s="14">
        <f t="shared" si="41"/>
        <v>28.018586523891109</v>
      </c>
      <c r="CW25" s="22">
        <f t="shared" si="13"/>
        <v>230.70979579577696</v>
      </c>
      <c r="CX25" s="60">
        <f t="shared" si="14"/>
        <v>451.89070969924535</v>
      </c>
      <c r="CY25" s="60">
        <f ca="1">AVERAGE(OFFSET($CX$3,0,0,'Données projet'!$E$13+1,1))-AVERAGE(OFFSET($H$3,0,0,'Données projet'!$E$13+1,1))</f>
        <v>395.27840703467933</v>
      </c>
      <c r="CZ25" s="60">
        <f t="shared" si="42"/>
        <v>364.24192380053944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3.56</v>
      </c>
      <c r="DO25" s="13">
        <f>IF('Données projet'!$A$166&gt;35,DO24+DN25-DW24,IF(A25&lt;'Données projet'!$A$166,$DL$205^A25,IF(A25='Données projet'!$A$166,'Données projet'!$B$166,DO24+DN25-DW24)))</f>
        <v>51.935367113427411</v>
      </c>
      <c r="DP25" s="18">
        <f>DO25*VLOOKUP('Données projet'!$B$14,Paramètres!$A$1:$I$89,3,0)*VLOOKUP('Données projet'!$B$14,Paramètres!$A$1:$I$89,5,0)</f>
        <v>40.509586348473384</v>
      </c>
      <c r="DQ25" s="14">
        <f t="shared" si="43"/>
        <v>12.133613151721432</v>
      </c>
      <c r="DR25" s="22">
        <f t="shared" si="16"/>
        <v>91.686905796172638</v>
      </c>
      <c r="DS25" s="60">
        <f t="shared" si="17"/>
        <v>312.86781969964102</v>
      </c>
      <c r="DT25" s="60">
        <f ca="1">AVERAGE(OFFSET($DS$3,0,0,'Données projet'!$E$14+1,1))-AVERAGE(OFFSET($H$3,0,0,'Données projet'!$E$14+1,1))</f>
        <v>308.76306523144956</v>
      </c>
      <c r="DU25" s="60">
        <f t="shared" si="44"/>
        <v>283.28099819802776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9.2307692307692299</v>
      </c>
      <c r="EJ25" s="13">
        <f>IF('Données projet'!$A$192&gt;35,EJ24+EI25-ER24,IF(A25&lt;'Données projet'!$A$192,$EG$205^A25,IF(A25='Données projet'!$A$192,'Données projet'!$B$192,EJ24+EI25-ER24)))</f>
        <v>97.94871794871797</v>
      </c>
      <c r="EK25" s="18">
        <f>EJ25*VLOOKUP('Données projet'!$B$15,Paramètres!$A$1:$I$89,3,0)*VLOOKUP('Données projet'!$B$15,Paramètres!$A$1:$I$89,5,0)</f>
        <v>65.704000000000022</v>
      </c>
      <c r="EL25" s="14">
        <f t="shared" si="45"/>
        <v>18.60270880826749</v>
      </c>
      <c r="EM25" s="22">
        <f t="shared" si="19"/>
        <v>146.83418450773257</v>
      </c>
      <c r="EN25" s="60">
        <f t="shared" si="20"/>
        <v>368.01509841120094</v>
      </c>
      <c r="EO25" s="60">
        <f ca="1">AVERAGE(OFFSET($EN$3,0,0,'Données projet'!$E$15+1,1))-AVERAGE(OFFSET($H$3,0,0,'Données projet'!$E$15+1,1))</f>
        <v>375.49921531693559</v>
      </c>
      <c r="EP25" s="60">
        <f t="shared" si="46"/>
        <v>306.93934681565599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5.8</v>
      </c>
      <c r="FE25" s="13">
        <f>IF('Données projet'!$A$218&gt;35,FE24+FD25-FM24,IF(A25&lt;'Données projet'!$A$218,$FB$205^A25,IF(A25='Données projet'!$A$218,'Données projet'!$B$218,FE24+FD25-FM24)))</f>
        <v>65.599999999999994</v>
      </c>
      <c r="FF25" s="18">
        <f>FE25*VLOOKUP('Données projet'!$B$16,Paramètres!$A$1:$I$89,3,0)*VLOOKUP('Données projet'!$B$16,Paramètres!$A$1:$I$89,5,0)</f>
        <v>53.214719999999993</v>
      </c>
      <c r="FG25" s="14">
        <f t="shared" si="47"/>
        <v>15.440940408182183</v>
      </c>
      <c r="FH25" s="22">
        <f t="shared" si="22"/>
        <v>119.57527521091727</v>
      </c>
      <c r="FI25" s="60">
        <f t="shared" si="23"/>
        <v>340.75618911438568</v>
      </c>
      <c r="FJ25" s="60">
        <f ca="1">AVERAGE(OFFSET($FI$3,0,0,'Données projet'!$E$16+1,1))-AVERAGE(OFFSET($H$3,0,0,'Données projet'!$E$16+1,1))</f>
        <v>308.58270639204238</v>
      </c>
      <c r="FK25" s="60">
        <f t="shared" si="48"/>
        <v>258.90832875500325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5.6</v>
      </c>
      <c r="FZ25" s="13">
        <f>IF('Données projet'!$A$244&gt;35,FZ24+FY25-GH24,IF(A25&lt;'Données projet'!$A$244,$FW$205^A25,IF(A25='Données projet'!$A$244,'Données projet'!$B$244,FZ24+FY25-GH24)))</f>
        <v>53.2</v>
      </c>
      <c r="GA25" s="18">
        <f>FZ25*VLOOKUP('Données projet'!$B$17,Paramètres!$A$1:$I$89,3,0)*VLOOKUP('Données projet'!$B$17,Paramètres!$A$1:$I$89,5,0)</f>
        <v>51.455040000000004</v>
      </c>
      <c r="GB25" s="14">
        <f t="shared" si="49"/>
        <v>14.988900446655085</v>
      </c>
      <c r="GC25" s="22">
        <f t="shared" si="25"/>
        <v>115.72319627792427</v>
      </c>
      <c r="GD25" s="60">
        <f t="shared" si="26"/>
        <v>336.90411018139264</v>
      </c>
      <c r="GE25" s="60">
        <f ca="1">AVERAGE(OFFSET($GD$3,0,0,'Données projet'!$E$17+1,1))-AVERAGE(OFFSET($H$3,0,0,'Données projet'!$E$17+1,1))</f>
        <v>495.77880062178235</v>
      </c>
      <c r="GF25" s="60">
        <f t="shared" si="50"/>
        <v>263.55891737750301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8.8000000000000007</v>
      </c>
      <c r="N26" s="14">
        <f>IF('Données projet'!$A$36&gt;35,N25+M26-V25,IF(A26&lt;'Données projet'!$A$36,$K$205^A26,IF(A26='Données projet'!$A$36,'Données projet'!$B$36,N25+M26-V25)))</f>
        <v>58.399999999999991</v>
      </c>
      <c r="O26" s="14">
        <f>N26*VLOOKUP('Données projet'!$B$9,Paramètres!$A$1:$I$89,3,0)*VLOOKUP('Données projet'!$B$9,Paramètres!$A$1:$I$89,5,0)</f>
        <v>50.107199999999999</v>
      </c>
      <c r="P26" s="14">
        <f t="shared" si="33"/>
        <v>14.641441079141797</v>
      </c>
      <c r="Q26" s="22">
        <f t="shared" si="2"/>
        <v>112.77054987950528</v>
      </c>
      <c r="R26" s="60">
        <f t="shared" si="0"/>
        <v>336.2557465890518</v>
      </c>
      <c r="S26" s="60">
        <f ca="1">AVERAGE(OFFSET($R$3,0,0,'Données projet'!$E$9+1,1))-AVERAGE(OFFSET($H$3,0,0,'Données projet'!$E$9+1,1))</f>
        <v>598.73855311281966</v>
      </c>
      <c r="T26" s="60">
        <f t="shared" si="34"/>
        <v>275.88160405468193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0">
        <f t="shared" si="5"/>
        <v>357.06435466839378</v>
      </c>
      <c r="AN26" s="60">
        <f ca="1">AVERAGE(OFFSET($AM$3,0,0,'Données projet'!$E$10+1,1))-AVERAGE(OFFSET($H$3,0,0,'Données projet'!$E$10+1,1))</f>
        <v>515.72324585399997</v>
      </c>
      <c r="AO26" s="60">
        <f t="shared" si="36"/>
        <v>273.35778700650792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71.20620000000001</v>
      </c>
      <c r="BF26" s="14">
        <f t="shared" si="37"/>
        <v>19.972701050724211</v>
      </c>
      <c r="BG26" s="22">
        <f t="shared" si="7"/>
        <v>158.80325266334467</v>
      </c>
      <c r="BH26" s="60">
        <f t="shared" si="8"/>
        <v>382.28844937289114</v>
      </c>
      <c r="BI26" s="60">
        <f ca="1">AVERAGE(OFFSET($BH$3,0,0,'Données projet'!$E$11+1,1))-AVERAGE(OFFSET($H$3,0,0,'Données projet'!$E$11+1,1))</f>
        <v>336.25341821407534</v>
      </c>
      <c r="BJ26" s="60">
        <f t="shared" si="38"/>
        <v>360.3246221345039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7.5641025641025648</v>
      </c>
      <c r="BY26" s="13">
        <f>IF('Données projet'!$A$114&gt;35,BY25+BX26-CG25,IF(A26&lt;'Données projet'!$A$114,$BV$205^A26,IF(A26='Données projet'!$A$114,'Données projet'!$B$114,BY25+BX26-CG25)))</f>
        <v>86.15384615384616</v>
      </c>
      <c r="BZ26" s="14">
        <f>BY26*VLOOKUP('Données projet'!$B$12,Paramètres!$A$1:$I$89,3,0)*VLOOKUP('Données projet'!$B$12,Paramètres!$A$1:$I$89,5,0)</f>
        <v>81.984000000000009</v>
      </c>
      <c r="CA26" s="14">
        <f t="shared" si="39"/>
        <v>22.621588649697724</v>
      </c>
      <c r="CB26" s="22">
        <f t="shared" si="10"/>
        <v>182.18806689822352</v>
      </c>
      <c r="CC26" s="60">
        <f t="shared" si="11"/>
        <v>405.67326360777002</v>
      </c>
      <c r="CD26" s="60">
        <f ca="1">AVERAGE(OFFSET($CC$3,0,0,'Données projet'!$E$12+1,1))-AVERAGE(OFFSET($H$3,0,0,'Données projet'!$E$12+1,1))</f>
        <v>438.41611139377829</v>
      </c>
      <c r="CE26" s="60">
        <f t="shared" si="40"/>
        <v>345.17417065809605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14.74</v>
      </c>
      <c r="CT26" s="13">
        <f>IF('Données projet'!$A$140&gt;35,CT25+CS26-DB25,IF(A26&lt;'Données projet'!$A$140,$CQ$205^A26,IF(A26='Données projet'!$A$140,'Données projet'!$B$140,CT25+CS26-DB25)))</f>
        <v>146.02000000000001</v>
      </c>
      <c r="CU26" s="18">
        <f>CT26*VLOOKUP('Données projet'!$B$13,Paramètres!$A$1:$I$89,3,0)*VLOOKUP('Données projet'!$B$13,Paramètres!$A$1:$I$89,5,0)</f>
        <v>116.17351200000002</v>
      </c>
      <c r="CV26" s="14">
        <f t="shared" si="41"/>
        <v>30.780857534732188</v>
      </c>
      <c r="CW26" s="22">
        <f t="shared" si="13"/>
        <v>255.94552693965855</v>
      </c>
      <c r="CX26" s="60">
        <f t="shared" si="14"/>
        <v>479.43072364920505</v>
      </c>
      <c r="CY26" s="60">
        <f ca="1">AVERAGE(OFFSET($CX$3,0,0,'Données projet'!$E$13+1,1))-AVERAGE(OFFSET($H$3,0,0,'Données projet'!$E$13+1,1))</f>
        <v>395.27840703467933</v>
      </c>
      <c r="CZ26" s="60">
        <f t="shared" si="42"/>
        <v>364.24192380053944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3.56</v>
      </c>
      <c r="DO26" s="13">
        <f>IF('Données projet'!$A$166&gt;35,DO25+DN26-DW25,IF(A26&lt;'Données projet'!$A$166,$DL$205^A26,IF(A26='Données projet'!$A$166,'Données projet'!$B$166,DO25+DN26-DW25)))</f>
        <v>62.149667013426139</v>
      </c>
      <c r="DP26" s="18">
        <f>DO26*VLOOKUP('Données projet'!$B$14,Paramètres!$A$1:$I$89,3,0)*VLOOKUP('Données projet'!$B$14,Paramètres!$A$1:$I$89,5,0)</f>
        <v>48.476740270472391</v>
      </c>
      <c r="DQ26" s="14">
        <f t="shared" si="43"/>
        <v>14.219665651067873</v>
      </c>
      <c r="DR26" s="22">
        <f t="shared" si="16"/>
        <v>109.19624031334928</v>
      </c>
      <c r="DS26" s="60">
        <f t="shared" si="17"/>
        <v>332.68143702289581</v>
      </c>
      <c r="DT26" s="60">
        <f ca="1">AVERAGE(OFFSET($DS$3,0,0,'Données projet'!$E$14+1,1))-AVERAGE(OFFSET($H$3,0,0,'Données projet'!$E$14+1,1))</f>
        <v>308.76306523144956</v>
      </c>
      <c r="DU26" s="60">
        <f t="shared" si="44"/>
        <v>283.28099819802776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9.2307692307692299</v>
      </c>
      <c r="EJ26" s="13">
        <f>IF('Données projet'!$A$192&gt;35,EJ25+EI26-ER25,IF(A26&lt;'Données projet'!$A$192,$EG$205^A26,IF(A26='Données projet'!$A$192,'Données projet'!$B$192,EJ25+EI26-ER25)))</f>
        <v>107.1794871794872</v>
      </c>
      <c r="EK26" s="18">
        <f>EJ26*VLOOKUP('Données projet'!$B$15,Paramètres!$A$1:$I$89,3,0)*VLOOKUP('Données projet'!$B$15,Paramètres!$A$1:$I$89,5,0)</f>
        <v>71.896000000000001</v>
      </c>
      <c r="EL26" s="14">
        <f t="shared" si="45"/>
        <v>20.143566338202721</v>
      </c>
      <c r="EM26" s="22">
        <f t="shared" si="19"/>
        <v>160.30224470570306</v>
      </c>
      <c r="EN26" s="60">
        <f t="shared" si="20"/>
        <v>383.78744141524953</v>
      </c>
      <c r="EO26" s="60">
        <f ca="1">AVERAGE(OFFSET($EN$3,0,0,'Données projet'!$E$15+1,1))-AVERAGE(OFFSET($H$3,0,0,'Données projet'!$E$15+1,1))</f>
        <v>375.49921531693559</v>
      </c>
      <c r="EP26" s="60">
        <f t="shared" si="46"/>
        <v>306.93934681565599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5.8</v>
      </c>
      <c r="FE26" s="13">
        <f>IF('Données projet'!$A$218&gt;35,FE25+FD26-FM25,IF(A26&lt;'Données projet'!$A$218,$FB$205^A26,IF(A26='Données projet'!$A$218,'Données projet'!$B$218,FE25+FD26-FM25)))</f>
        <v>71.399999999999991</v>
      </c>
      <c r="FF26" s="18">
        <f>FE26*VLOOKUP('Données projet'!$B$16,Paramètres!$A$1:$I$89,3,0)*VLOOKUP('Données projet'!$B$16,Paramètres!$A$1:$I$89,5,0)</f>
        <v>57.91968</v>
      </c>
      <c r="FG26" s="14">
        <f t="shared" si="47"/>
        <v>16.641223534705848</v>
      </c>
      <c r="FH26" s="22">
        <f t="shared" si="22"/>
        <v>129.860240322946</v>
      </c>
      <c r="FI26" s="60">
        <f t="shared" si="23"/>
        <v>353.3454370324925</v>
      </c>
      <c r="FJ26" s="60">
        <f ca="1">AVERAGE(OFFSET($FI$3,0,0,'Données projet'!$E$16+1,1))-AVERAGE(OFFSET($H$3,0,0,'Données projet'!$E$16+1,1))</f>
        <v>308.58270639204238</v>
      </c>
      <c r="FK26" s="60">
        <f t="shared" si="48"/>
        <v>258.90832875500325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5.6</v>
      </c>
      <c r="FZ26" s="13">
        <f>IF('Données projet'!$A$244&gt;35,FZ25+FY26-GH25,IF(A26&lt;'Données projet'!$A$244,$FW$205^A26,IF(A26='Données projet'!$A$244,'Données projet'!$B$244,FZ25+FY26-GH25)))</f>
        <v>58.800000000000004</v>
      </c>
      <c r="GA26" s="18">
        <f>FZ26*VLOOKUP('Données projet'!$B$17,Paramètres!$A$1:$I$89,3,0)*VLOOKUP('Données projet'!$B$17,Paramètres!$A$1:$I$89,5,0)</f>
        <v>56.87136000000001</v>
      </c>
      <c r="GB26" s="14">
        <f t="shared" si="49"/>
        <v>16.374802181791551</v>
      </c>
      <c r="GC26" s="22">
        <f t="shared" si="25"/>
        <v>127.57039913328697</v>
      </c>
      <c r="GD26" s="60">
        <f t="shared" si="26"/>
        <v>351.05559584283344</v>
      </c>
      <c r="GE26" s="60">
        <f ca="1">AVERAGE(OFFSET($GD$3,0,0,'Données projet'!$E$17+1,1))-AVERAGE(OFFSET($H$3,0,0,'Données projet'!$E$17+1,1))</f>
        <v>495.77880062178235</v>
      </c>
      <c r="GF26" s="60">
        <f t="shared" si="50"/>
        <v>263.55891737750301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8.8000000000000007</v>
      </c>
      <c r="N27" s="14">
        <f>IF('Données projet'!$A$36&gt;35,N26+M27-V26,IF(A27&lt;'Données projet'!$A$36,$K$205^A27,IF(A27='Données projet'!$A$36,'Données projet'!$B$36,N26+M27-V26)))</f>
        <v>67.199999999999989</v>
      </c>
      <c r="O27" s="14">
        <f>N27*VLOOKUP('Données projet'!$B$9,Paramètres!$A$1:$I$89,3,0)*VLOOKUP('Données projet'!$B$9,Paramètres!$A$1:$I$89,5,0)</f>
        <v>57.657599999999995</v>
      </c>
      <c r="P27" s="14">
        <f t="shared" si="33"/>
        <v>16.574671209026025</v>
      </c>
      <c r="Q27" s="22">
        <f t="shared" si="2"/>
        <v>129.28787235572034</v>
      </c>
      <c r="R27" s="60">
        <f t="shared" si="0"/>
        <v>355.05858053934014</v>
      </c>
      <c r="S27" s="60">
        <f ca="1">AVERAGE(OFFSET($R$3,0,0,'Données projet'!$E$9+1,1))-AVERAGE(OFFSET($H$3,0,0,'Données projet'!$E$9+1,1))</f>
        <v>598.73855311281966</v>
      </c>
      <c r="T27" s="60">
        <f t="shared" si="34"/>
        <v>275.88160405468193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0">
        <f t="shared" si="5"/>
        <v>371.72865061439427</v>
      </c>
      <c r="AN27" s="60">
        <f ca="1">AVERAGE(OFFSET($AM$3,0,0,'Données projet'!$E$10+1,1))-AVERAGE(OFFSET($H$3,0,0,'Données projet'!$E$10+1,1))</f>
        <v>515.72324585399997</v>
      </c>
      <c r="AO27" s="60">
        <f t="shared" si="36"/>
        <v>273.35778700650792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81.151200000000003</v>
      </c>
      <c r="BF27" s="14">
        <f t="shared" si="37"/>
        <v>22.418424032002342</v>
      </c>
      <c r="BG27" s="22">
        <f t="shared" si="7"/>
        <v>180.38376185573739</v>
      </c>
      <c r="BH27" s="60">
        <f t="shared" si="8"/>
        <v>406.15447003935719</v>
      </c>
      <c r="BI27" s="60">
        <f ca="1">AVERAGE(OFFSET($BH$3,0,0,'Données projet'!$E$11+1,1))-AVERAGE(OFFSET($H$3,0,0,'Données projet'!$E$11+1,1))</f>
        <v>336.25341821407534</v>
      </c>
      <c r="BJ27" s="60">
        <f t="shared" si="38"/>
        <v>360.3246221345039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7.5641025641025648</v>
      </c>
      <c r="BY27" s="13">
        <f>IF('Données projet'!$A$114&gt;35,BY26+BX27-CG26,IF(A27&lt;'Données projet'!$A$114,$BV$205^A27,IF(A27='Données projet'!$A$114,'Données projet'!$B$114,BY26+BX27-CG26)))</f>
        <v>93.71794871794873</v>
      </c>
      <c r="BZ27" s="14">
        <f>BY27*VLOOKUP('Données projet'!$B$12,Paramètres!$A$1:$I$89,3,0)*VLOOKUP('Données projet'!$B$12,Paramètres!$A$1:$I$89,5,0)</f>
        <v>89.182000000000016</v>
      </c>
      <c r="CA27" s="14">
        <f t="shared" si="39"/>
        <v>24.367838379770792</v>
      </c>
      <c r="CB27" s="22">
        <f t="shared" si="10"/>
        <v>197.76596851143412</v>
      </c>
      <c r="CC27" s="60">
        <f t="shared" si="11"/>
        <v>423.53667669505393</v>
      </c>
      <c r="CD27" s="60">
        <f ca="1">AVERAGE(OFFSET($CC$3,0,0,'Données projet'!$E$12+1,1))-AVERAGE(OFFSET($H$3,0,0,'Données projet'!$E$12+1,1))</f>
        <v>438.41611139377829</v>
      </c>
      <c r="CE27" s="60">
        <f t="shared" si="40"/>
        <v>345.17417065809605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14.74</v>
      </c>
      <c r="CT27" s="13">
        <f>IF('Données projet'!$A$140&gt;35,CT26+CS27-DB26,IF(A27&lt;'Données projet'!$A$140,$CQ$205^A27,IF(A27='Données projet'!$A$140,'Données projet'!$B$140,CT26+CS27-DB26)))</f>
        <v>160.76000000000002</v>
      </c>
      <c r="CU27" s="18">
        <f>CT27*VLOOKUP('Données projet'!$B$13,Paramètres!$A$1:$I$89,3,0)*VLOOKUP('Données projet'!$B$13,Paramètres!$A$1:$I$89,5,0)</f>
        <v>127.90065600000003</v>
      </c>
      <c r="CV27" s="14">
        <f t="shared" si="41"/>
        <v>33.510803885566233</v>
      </c>
      <c r="CW27" s="22">
        <f t="shared" si="13"/>
        <v>281.12495930069457</v>
      </c>
      <c r="CX27" s="60">
        <f t="shared" si="14"/>
        <v>506.89566748431434</v>
      </c>
      <c r="CY27" s="60">
        <f ca="1">AVERAGE(OFFSET($CX$3,0,0,'Données projet'!$E$13+1,1))-AVERAGE(OFFSET($H$3,0,0,'Données projet'!$E$13+1,1))</f>
        <v>395.27840703467933</v>
      </c>
      <c r="CZ27" s="60">
        <f t="shared" si="42"/>
        <v>364.24192380053944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3.56</v>
      </c>
      <c r="DO27" s="13">
        <f>IF('Données projet'!$A$166&gt;35,DO26+DN27-DW26,IF(A27&lt;'Données projet'!$A$166,$DL$205^A27,IF(A27='Données projet'!$A$166,'Données projet'!$B$166,DO26+DN27-DW26)))</f>
        <v>74.372846955020648</v>
      </c>
      <c r="DP27" s="18">
        <f>DO27*VLOOKUP('Données projet'!$B$14,Paramètres!$A$1:$I$89,3,0)*VLOOKUP('Données projet'!$B$14,Paramètres!$A$1:$I$89,5,0)</f>
        <v>58.010820624916107</v>
      </c>
      <c r="DQ27" s="14">
        <f t="shared" si="43"/>
        <v>16.664359469831368</v>
      </c>
      <c r="DR27" s="22">
        <f t="shared" si="16"/>
        <v>130.05927199835185</v>
      </c>
      <c r="DS27" s="60">
        <f t="shared" si="17"/>
        <v>355.82998018197168</v>
      </c>
      <c r="DT27" s="60">
        <f ca="1">AVERAGE(OFFSET($DS$3,0,0,'Données projet'!$E$14+1,1))-AVERAGE(OFFSET($H$3,0,0,'Données projet'!$E$14+1,1))</f>
        <v>308.76306523144956</v>
      </c>
      <c r="DU27" s="60">
        <f t="shared" si="44"/>
        <v>283.28099819802776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9.2307692307692299</v>
      </c>
      <c r="EJ27" s="13">
        <f>IF('Données projet'!$A$192&gt;35,EJ26+EI27-ER26,IF(A27&lt;'Données projet'!$A$192,$EG$205^A27,IF(A27='Données projet'!$A$192,'Données projet'!$B$192,EJ26+EI27-ER26)))</f>
        <v>116.41025641025642</v>
      </c>
      <c r="EK27" s="18">
        <f>EJ27*VLOOKUP('Données projet'!$B$15,Paramètres!$A$1:$I$89,3,0)*VLOOKUP('Données projet'!$B$15,Paramètres!$A$1:$I$89,5,0)</f>
        <v>78.088000000000008</v>
      </c>
      <c r="EL27" s="14">
        <f t="shared" si="45"/>
        <v>21.669034056246403</v>
      </c>
      <c r="EM27" s="22">
        <f t="shared" si="19"/>
        <v>173.74350098129582</v>
      </c>
      <c r="EN27" s="60">
        <f t="shared" si="20"/>
        <v>399.51420916491566</v>
      </c>
      <c r="EO27" s="60">
        <f ca="1">AVERAGE(OFFSET($EN$3,0,0,'Données projet'!$E$15+1,1))-AVERAGE(OFFSET($H$3,0,0,'Données projet'!$E$15+1,1))</f>
        <v>375.49921531693559</v>
      </c>
      <c r="EP27" s="60">
        <f t="shared" si="46"/>
        <v>306.93934681565599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5.8</v>
      </c>
      <c r="FE27" s="13">
        <f>IF('Données projet'!$A$218&gt;35,FE26+FD27-FM26,IF(A27&lt;'Données projet'!$A$218,$FB$205^A27,IF(A27='Données projet'!$A$218,'Données projet'!$B$218,FE26+FD27-FM26)))</f>
        <v>77.199999999999989</v>
      </c>
      <c r="FF27" s="18">
        <f>FE27*VLOOKUP('Données projet'!$B$16,Paramètres!$A$1:$I$89,3,0)*VLOOKUP('Données projet'!$B$16,Paramètres!$A$1:$I$89,5,0)</f>
        <v>62.624639999999999</v>
      </c>
      <c r="FG27" s="14">
        <f t="shared" si="47"/>
        <v>17.830197796836153</v>
      </c>
      <c r="FH27" s="22">
        <f t="shared" si="22"/>
        <v>140.12550916282296</v>
      </c>
      <c r="FI27" s="60">
        <f t="shared" si="23"/>
        <v>365.89621734644277</v>
      </c>
      <c r="FJ27" s="60">
        <f ca="1">AVERAGE(OFFSET($FI$3,0,0,'Données projet'!$E$16+1,1))-AVERAGE(OFFSET($H$3,0,0,'Données projet'!$E$16+1,1))</f>
        <v>308.58270639204238</v>
      </c>
      <c r="FK27" s="60">
        <f t="shared" si="48"/>
        <v>258.90832875500325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5.6</v>
      </c>
      <c r="FZ27" s="13">
        <f>IF('Données projet'!$A$244&gt;35,FZ26+FY27-GH26,IF(A27&lt;'Données projet'!$A$244,$FW$205^A27,IF(A27='Données projet'!$A$244,'Données projet'!$B$244,FZ26+FY27-GH26)))</f>
        <v>64.400000000000006</v>
      </c>
      <c r="GA27" s="18">
        <f>FZ27*VLOOKUP('Données projet'!$B$17,Paramètres!$A$1:$I$89,3,0)*VLOOKUP('Données projet'!$B$17,Paramètres!$A$1:$I$89,5,0)</f>
        <v>62.287680000000009</v>
      </c>
      <c r="GB27" s="14">
        <f t="shared" si="49"/>
        <v>17.745400652396182</v>
      </c>
      <c r="GC27" s="22">
        <f t="shared" si="25"/>
        <v>139.39094880292336</v>
      </c>
      <c r="GD27" s="60">
        <f t="shared" si="26"/>
        <v>365.16165698654316</v>
      </c>
      <c r="GE27" s="60">
        <f ca="1">AVERAGE(OFFSET($GD$3,0,0,'Données projet'!$E$17+1,1))-AVERAGE(OFFSET($H$3,0,0,'Données projet'!$E$17+1,1))</f>
        <v>495.77880062178235</v>
      </c>
      <c r="GF27" s="60">
        <f t="shared" si="50"/>
        <v>263.55891737750301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76</v>
      </c>
      <c r="L28" s="13">
        <f>VLOOKUP(A28,'Données projet'!$A$35:$I$55,9,0)</f>
        <v>8.8000000000000007</v>
      </c>
      <c r="M28" s="13">
        <f t="array" ref="M28">INDEX(L:L,MIN(IF(ISNUMBER(L28:L224),ROW(L28:L224),"")))</f>
        <v>8.8000000000000007</v>
      </c>
      <c r="N28" s="14">
        <f>IF('Données projet'!$A$36&gt;35,N27+M28-V27,IF(A28&lt;'Données projet'!$A$36,$K$205^A28,IF(A28='Données projet'!$A$36,'Données projet'!$B$36,N27+M28-V27)))</f>
        <v>75.999999999999986</v>
      </c>
      <c r="O28" s="14">
        <f>N28*VLOOKUP('Données projet'!$B$9,Paramètres!$A$1:$I$89,3,0)*VLOOKUP('Données projet'!$B$9,Paramètres!$A$1:$I$89,5,0)</f>
        <v>65.207999999999998</v>
      </c>
      <c r="P28" s="14">
        <f t="shared" si="33"/>
        <v>18.478568429485204</v>
      </c>
      <c r="Q28" s="22">
        <f t="shared" si="2"/>
        <v>145.75410668135339</v>
      </c>
      <c r="R28" s="60">
        <f t="shared" si="0"/>
        <v>373.7918806476855</v>
      </c>
      <c r="S28" s="60">
        <f ca="1">AVERAGE(OFFSET($R$3,0,0,'Données projet'!$E$9+1,1))-AVERAGE(OFFSET($H$3,0,0,'Données projet'!$E$9+1,1))</f>
        <v>598.73855311281966</v>
      </c>
      <c r="T28" s="60">
        <f t="shared" si="34"/>
        <v>275.88160405468193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7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0">
        <f t="shared" si="5"/>
        <v>386.34940252889123</v>
      </c>
      <c r="AN28" s="60">
        <f ca="1">AVERAGE(OFFSET($AM$3,0,0,'Données projet'!$E$10+1,1))-AVERAGE(OFFSET($H$3,0,0,'Données projet'!$E$10+1,1))</f>
        <v>515.72324585399997</v>
      </c>
      <c r="AO28" s="60">
        <f t="shared" si="36"/>
        <v>273.35778700650792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91.09620000000001</v>
      </c>
      <c r="BF28" s="14">
        <f t="shared" si="37"/>
        <v>24.829415470949538</v>
      </c>
      <c r="BG28" s="22">
        <f t="shared" si="7"/>
        <v>201.90378027857048</v>
      </c>
      <c r="BH28" s="60">
        <f t="shared" si="8"/>
        <v>429.94155424490259</v>
      </c>
      <c r="BI28" s="60">
        <f ca="1">AVERAGE(OFFSET($BH$3,0,0,'Données projet'!$E$11+1,1))-AVERAGE(OFFSET($H$3,0,0,'Données projet'!$E$11+1,1))</f>
        <v>336.25341821407534</v>
      </c>
      <c r="BJ28" s="60">
        <f t="shared" si="38"/>
        <v>360.3246221345039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101.28205128205128</v>
      </c>
      <c r="BW28" s="13">
        <f>VLOOKUP(A28,'Données projet'!$A$113:$I$133,9,0)</f>
        <v>7.5641025641025648</v>
      </c>
      <c r="BX28" s="13">
        <f t="array" ref="BX28">INDEX(BW:BW,MIN(IF(ISNUMBER(BW28:BW224),ROW(BW28:BW224),"")))</f>
        <v>7.5641025641025648</v>
      </c>
      <c r="BY28" s="13">
        <f>IF('Données projet'!$A$114&gt;35,BY27+BX28-CG27,IF(A28&lt;'Données projet'!$A$114,$BV$205^A28,IF(A28='Données projet'!$A$114,'Données projet'!$B$114,BY27+BX28-CG27)))</f>
        <v>101.2820512820513</v>
      </c>
      <c r="BZ28" s="14">
        <f>BY28*VLOOKUP('Données projet'!$B$12,Paramètres!$A$1:$I$89,3,0)*VLOOKUP('Données projet'!$B$12,Paramètres!$A$1:$I$89,5,0)</f>
        <v>96.380000000000024</v>
      </c>
      <c r="CA28" s="14">
        <f t="shared" si="39"/>
        <v>26.097740539854968</v>
      </c>
      <c r="CB28" s="22">
        <f t="shared" si="10"/>
        <v>213.3153981069141</v>
      </c>
      <c r="CC28" s="60">
        <f t="shared" si="11"/>
        <v>441.35317207324624</v>
      </c>
      <c r="CD28" s="60">
        <f ca="1">AVERAGE(OFFSET($CC$3,0,0,'Données projet'!$E$12+1,1))-AVERAGE(OFFSET($H$3,0,0,'Données projet'!$E$12+1,1))</f>
        <v>438.41611139377829</v>
      </c>
      <c r="CE28" s="60">
        <f t="shared" si="40"/>
        <v>345.17417065809605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175.5</v>
      </c>
      <c r="CR28" s="13">
        <f>VLOOKUP(A28,'Données projet'!$A$139:$I$159,9,0)</f>
        <v>14.74</v>
      </c>
      <c r="CS28" s="13">
        <f t="array" ref="CS28">INDEX(CR:CR,MIN(IF(ISNUMBER(CR28:CR224),ROW(CR28:CR224),"")))</f>
        <v>14.74</v>
      </c>
      <c r="CT28" s="13">
        <f>IF('Données projet'!$A$140&gt;35,CT27+CS28-DB27,IF(A28&lt;'Données projet'!$A$140,$CQ$205^A28,IF(A28='Données projet'!$A$140,'Données projet'!$B$140,CT27+CS28-DB27)))</f>
        <v>175.50000000000003</v>
      </c>
      <c r="CU28" s="18">
        <f>CT28*VLOOKUP('Données projet'!$B$13,Paramètres!$A$1:$I$89,3,0)*VLOOKUP('Données projet'!$B$13,Paramètres!$A$1:$I$89,5,0)</f>
        <v>139.62780000000001</v>
      </c>
      <c r="CV28" s="14">
        <f t="shared" si="41"/>
        <v>36.211726495462521</v>
      </c>
      <c r="CW28" s="22">
        <f t="shared" si="13"/>
        <v>306.25384197959721</v>
      </c>
      <c r="CX28" s="60">
        <f t="shared" si="14"/>
        <v>534.29161594592938</v>
      </c>
      <c r="CY28" s="60">
        <f ca="1">AVERAGE(OFFSET($CX$3,0,0,'Données projet'!$E$13+1,1))-AVERAGE(OFFSET($H$3,0,0,'Données projet'!$E$13+1,1))</f>
        <v>395.27840703467933</v>
      </c>
      <c r="CZ28" s="60">
        <f t="shared" si="42"/>
        <v>364.24192380053944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70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89</v>
      </c>
      <c r="DM28" s="13">
        <f>VLOOKUP(A28,'Données projet'!$A$165:$I$185,9,0)</f>
        <v>3.56</v>
      </c>
      <c r="DN28" s="13">
        <f t="array" ref="DN28">INDEX(DM:DM,MIN(IF(ISNUMBER(DM28:DM224),ROW(DM28:DM224),"")))</f>
        <v>3.56</v>
      </c>
      <c r="DO28" s="13">
        <f>IF('Données projet'!$A$166&gt;35,DO27+DN28-DW27,IF(A28&lt;'Données projet'!$A$166,$DL$205^A28,IF(A28='Données projet'!$A$166,'Données projet'!$B$166,DO27+DN28-DW27)))</f>
        <v>89</v>
      </c>
      <c r="DP28" s="18">
        <f>DO28*VLOOKUP('Données projet'!$B$14,Paramètres!$A$1:$I$89,3,0)*VLOOKUP('Données projet'!$B$14,Paramètres!$A$1:$I$89,5,0)</f>
        <v>69.42</v>
      </c>
      <c r="DQ28" s="14">
        <f t="shared" si="43"/>
        <v>19.529353456978352</v>
      </c>
      <c r="DR28" s="22">
        <f t="shared" si="16"/>
        <v>154.92012393757065</v>
      </c>
      <c r="DS28" s="60">
        <f t="shared" si="17"/>
        <v>382.95789790390279</v>
      </c>
      <c r="DT28" s="60">
        <f ca="1">AVERAGE(OFFSET($DS$3,0,0,'Données projet'!$E$14+1,1))-AVERAGE(OFFSET($H$3,0,0,'Données projet'!$E$14+1,1))</f>
        <v>308.76306523144956</v>
      </c>
      <c r="DU28" s="60">
        <f t="shared" si="44"/>
        <v>283.28099819802776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28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125.64102564102564</v>
      </c>
      <c r="EH28" s="13">
        <f>VLOOKUP(A28,'Données projet'!$A$191:$I$211,9,0)</f>
        <v>9.2307692307692299</v>
      </c>
      <c r="EI28" s="13">
        <f t="array" ref="EI28">INDEX(EH:EH,MIN(IF(ISNUMBER(EH28:EH224),ROW(EH28:EH224),"")))</f>
        <v>9.2307692307692299</v>
      </c>
      <c r="EJ28" s="13">
        <f>IF('Données projet'!$A$192&gt;35,EJ27+EI28-ER27,IF(A28&lt;'Données projet'!$A$192,$EG$205^A28,IF(A28='Données projet'!$A$192,'Données projet'!$B$192,EJ27+EI28-ER27)))</f>
        <v>125.64102564102565</v>
      </c>
      <c r="EK28" s="18">
        <f>EJ28*VLOOKUP('Données projet'!$B$15,Paramètres!$A$1:$I$89,3,0)*VLOOKUP('Données projet'!$B$15,Paramètres!$A$1:$I$89,5,0)</f>
        <v>84.280000000000015</v>
      </c>
      <c r="EL28" s="14">
        <f t="shared" si="45"/>
        <v>23.180471042604371</v>
      </c>
      <c r="EM28" s="22">
        <f t="shared" si="19"/>
        <v>187.16032039920265</v>
      </c>
      <c r="EN28" s="60">
        <f t="shared" si="20"/>
        <v>415.19809436553476</v>
      </c>
      <c r="EO28" s="60">
        <f ca="1">AVERAGE(OFFSET($EN$3,0,0,'Données projet'!$E$15+1,1))-AVERAGE(OFFSET($H$3,0,0,'Données projet'!$E$15+1,1))</f>
        <v>375.49921531693559</v>
      </c>
      <c r="EP28" s="60">
        <f t="shared" si="46"/>
        <v>306.93934681565599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83</v>
      </c>
      <c r="FC28" s="13">
        <f>VLOOKUP(A28,'Données projet'!$A$217:$I$237,9,0)</f>
        <v>5.8</v>
      </c>
      <c r="FD28" s="13">
        <f t="array" ref="FD28">INDEX(FC:FC,MIN(IF(ISNUMBER(FC28:FC224),ROW(FC28:FC224),"")))</f>
        <v>5.8</v>
      </c>
      <c r="FE28" s="13">
        <f>IF('Données projet'!$A$218&gt;35,FE27+FD28-FM27,IF(A28&lt;'Données projet'!$A$218,$FB$205^A28,IF(A28='Données projet'!$A$218,'Données projet'!$B$218,FE27+FD28-FM27)))</f>
        <v>82.999999999999986</v>
      </c>
      <c r="FF28" s="18">
        <f>FE28*VLOOKUP('Données projet'!$B$16,Paramètres!$A$1:$I$89,3,0)*VLOOKUP('Données projet'!$B$16,Paramètres!$A$1:$I$89,5,0)</f>
        <v>67.329599999999999</v>
      </c>
      <c r="FG28" s="14">
        <f t="shared" si="47"/>
        <v>19.008809433660961</v>
      </c>
      <c r="FH28" s="22">
        <f t="shared" si="22"/>
        <v>150.37272976362615</v>
      </c>
      <c r="FI28" s="60">
        <f t="shared" si="23"/>
        <v>378.41050372995824</v>
      </c>
      <c r="FJ28" s="60">
        <f ca="1">AVERAGE(OFFSET($FI$3,0,0,'Données projet'!$E$16+1,1))-AVERAGE(OFFSET($H$3,0,0,'Données projet'!$E$16+1,1))</f>
        <v>308.58270639204238</v>
      </c>
      <c r="FK28" s="60">
        <f t="shared" si="48"/>
        <v>258.90832875500325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70</v>
      </c>
      <c r="FX28" s="13">
        <f>VLOOKUP(A28,'Données projet'!$A$243:$I$263,9,0)</f>
        <v>5.6</v>
      </c>
      <c r="FY28" s="13">
        <f t="array" ref="FY28">INDEX(FX:FX,MIN(IF(ISNUMBER(FX28:FX224),ROW(FX28:FX224),"")))</f>
        <v>5.6</v>
      </c>
      <c r="FZ28" s="13">
        <f>IF('Données projet'!$A$244&gt;35,FZ27+FY28-GH27,IF(A28&lt;'Données projet'!$A$244,$FW$205^A28,IF(A28='Données projet'!$A$244,'Données projet'!$B$244,FZ27+FY28-GH27)))</f>
        <v>70</v>
      </c>
      <c r="GA28" s="18">
        <f>FZ28*VLOOKUP('Données projet'!$B$17,Paramètres!$A$1:$I$89,3,0)*VLOOKUP('Données projet'!$B$17,Paramètres!$A$1:$I$89,5,0)</f>
        <v>67.703999999999994</v>
      </c>
      <c r="GB28" s="14">
        <f t="shared" si="49"/>
        <v>19.102177882771514</v>
      </c>
      <c r="GC28" s="22">
        <f t="shared" si="25"/>
        <v>151.18742647916039</v>
      </c>
      <c r="GD28" s="60">
        <f t="shared" si="26"/>
        <v>379.22520044549253</v>
      </c>
      <c r="GE28" s="60">
        <f ca="1">AVERAGE(OFFSET($GD$3,0,0,'Données projet'!$E$17+1,1))-AVERAGE(OFFSET($H$3,0,0,'Données projet'!$E$17+1,1))</f>
        <v>495.77880062178235</v>
      </c>
      <c r="GF28" s="60">
        <f t="shared" si="50"/>
        <v>263.55891737750301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8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9.4</v>
      </c>
      <c r="N29" s="14">
        <f>IF('Données projet'!$A$36&gt;35,N28+M29-V28,IF(A29&lt;'Données projet'!$A$36,$K$205^A29,IF(A29='Données projet'!$A$36,'Données projet'!$B$36,N28+M29-V28)))</f>
        <v>78.399999999999991</v>
      </c>
      <c r="O29" s="14">
        <f>N29*VLOOKUP('Données projet'!$B$9,Paramètres!$A$1:$I$89,3,0)*VLOOKUP('Données projet'!$B$9,Paramètres!$A$1:$I$89,5,0)</f>
        <v>67.267200000000003</v>
      </c>
      <c r="P29" s="14">
        <f t="shared" si="33"/>
        <v>18.993242158132926</v>
      </c>
      <c r="Q29" s="22">
        <f t="shared" si="2"/>
        <v>150.23693675874819</v>
      </c>
      <c r="R29" s="60">
        <f t="shared" si="0"/>
        <v>380.52365080793834</v>
      </c>
      <c r="S29" s="60">
        <f ca="1">AVERAGE(OFFSET($R$3,0,0,'Données projet'!$E$9+1,1))-AVERAGE(OFFSET($H$3,0,0,'Données projet'!$E$9+1,1))</f>
        <v>598.73855311281966</v>
      </c>
      <c r="T29" s="60">
        <f t="shared" si="34"/>
        <v>275.88160405468193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69.966000000000008</v>
      </c>
      <c r="AK29" s="14">
        <f t="shared" si="35"/>
        <v>19.665013934342461</v>
      </c>
      <c r="AL29" s="22">
        <f t="shared" si="4"/>
        <v>156.10734926897979</v>
      </c>
      <c r="AM29" s="60">
        <f t="shared" si="5"/>
        <v>386.39406331816997</v>
      </c>
      <c r="AN29" s="60">
        <f ca="1">AVERAGE(OFFSET($AM$3,0,0,'Données projet'!$E$10+1,1))-AVERAGE(OFFSET($H$3,0,0,'Données projet'!$E$10+1,1))</f>
        <v>515.72324585399997</v>
      </c>
      <c r="AO29" s="60">
        <f t="shared" si="36"/>
        <v>273.35778700650792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100.6434</v>
      </c>
      <c r="BF29" s="14">
        <f t="shared" si="37"/>
        <v>27.115221465557241</v>
      </c>
      <c r="BG29" s="22">
        <f t="shared" si="7"/>
        <v>222.51293238584552</v>
      </c>
      <c r="BH29" s="60">
        <f t="shared" si="8"/>
        <v>452.7996464350357</v>
      </c>
      <c r="BI29" s="60">
        <f ca="1">AVERAGE(OFFSET($BH$3,0,0,'Données projet'!$E$11+1,1))-AVERAGE(OFFSET($H$3,0,0,'Données projet'!$E$11+1,1))</f>
        <v>336.25341821407534</v>
      </c>
      <c r="BJ29" s="60">
        <f t="shared" si="38"/>
        <v>360.3246221345039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7.4358974358974335</v>
      </c>
      <c r="BY29" s="13">
        <f>IF('Données projet'!$A$114&gt;35,BY28+BX29-CG28,IF(A29&lt;'Données projet'!$A$114,$BV$205^A29,IF(A29='Données projet'!$A$114,'Données projet'!$B$114,BY28+BX29-CG28)))</f>
        <v>108.71794871794873</v>
      </c>
      <c r="BZ29" s="14">
        <f>BY29*VLOOKUP('Données projet'!$B$12,Paramètres!$A$1:$I$89,3,0)*VLOOKUP('Données projet'!$B$12,Paramètres!$A$1:$I$89,5,0)</f>
        <v>103.45600000000002</v>
      </c>
      <c r="CA29" s="14">
        <f t="shared" si="39"/>
        <v>27.783706740361961</v>
      </c>
      <c r="CB29" s="22">
        <f t="shared" si="10"/>
        <v>228.57582257279714</v>
      </c>
      <c r="CC29" s="60">
        <f t="shared" si="11"/>
        <v>458.86253662198732</v>
      </c>
      <c r="CD29" s="60">
        <f ca="1">AVERAGE(OFFSET($CC$3,0,0,'Données projet'!$E$12+1,1))-AVERAGE(OFFSET($H$3,0,0,'Données projet'!$E$12+1,1))</f>
        <v>438.41611139377829</v>
      </c>
      <c r="CE29" s="60">
        <f t="shared" si="40"/>
        <v>345.17417065809605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14.260000000000002</v>
      </c>
      <c r="CT29" s="13">
        <f>IF('Données projet'!$A$140&gt;35,CT28+CS29-DB28,IF(A29&lt;'Données projet'!$A$140,$CQ$205^A29,IF(A29='Données projet'!$A$140,'Données projet'!$B$140,CT28+CS29-DB28)))</f>
        <v>119.76000000000002</v>
      </c>
      <c r="CU29" s="18">
        <f>CT29*VLOOKUP('Données projet'!$B$13,Paramètres!$A$1:$I$89,3,0)*VLOOKUP('Données projet'!$B$13,Paramètres!$A$1:$I$89,5,0)</f>
        <v>95.281056000000021</v>
      </c>
      <c r="CV29" s="14">
        <f t="shared" si="41"/>
        <v>25.834631002002201</v>
      </c>
      <c r="CW29" s="22">
        <f t="shared" si="13"/>
        <v>210.94315486182052</v>
      </c>
      <c r="CX29" s="60">
        <f t="shared" si="14"/>
        <v>441.22986891101073</v>
      </c>
      <c r="CY29" s="60">
        <f ca="1">AVERAGE(OFFSET($CX$3,0,0,'Données projet'!$E$13+1,1))-AVERAGE(OFFSET($H$3,0,0,'Données projet'!$E$13+1,1))</f>
        <v>395.27840703467933</v>
      </c>
      <c r="CZ29" s="60">
        <f t="shared" si="42"/>
        <v>364.24192380053944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</v>
      </c>
      <c r="DO29" s="13">
        <f>IF('Données projet'!$A$166&gt;35,DO28+DN29-DW28,IF(A29&lt;'Données projet'!$A$166,$DL$205^A29,IF(A29='Données projet'!$A$166,'Données projet'!$B$166,DO28+DN29-DW28)))</f>
        <v>75.2</v>
      </c>
      <c r="DP29" s="18">
        <f>DO29*VLOOKUP('Données projet'!$B$14,Paramètres!$A$1:$I$89,3,0)*VLOOKUP('Données projet'!$B$14,Paramètres!$A$1:$I$89,5,0)</f>
        <v>58.656000000000006</v>
      </c>
      <c r="DQ29" s="14">
        <f t="shared" si="43"/>
        <v>16.828016909929076</v>
      </c>
      <c r="DR29" s="22">
        <f t="shared" si="16"/>
        <v>131.46799611812648</v>
      </c>
      <c r="DS29" s="60">
        <f t="shared" si="17"/>
        <v>361.75471016731666</v>
      </c>
      <c r="DT29" s="60">
        <f ca="1">AVERAGE(OFFSET($DS$3,0,0,'Données projet'!$E$14+1,1))-AVERAGE(OFFSET($H$3,0,0,'Données projet'!$E$14+1,1))</f>
        <v>308.76306523144956</v>
      </c>
      <c r="DU29" s="60">
        <f t="shared" si="44"/>
        <v>283.28099819802776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8.8461538461538449</v>
      </c>
      <c r="EJ29" s="13">
        <f>IF('Données projet'!$A$192&gt;35,EJ28+EI29-ER28,IF(A29&lt;'Données projet'!$A$192,$EG$205^A29,IF(A29='Données projet'!$A$192,'Données projet'!$B$192,EJ28+EI29-ER28)))</f>
        <v>134.4871794871795</v>
      </c>
      <c r="EK29" s="18">
        <f>EJ29*VLOOKUP('Données projet'!$B$15,Paramètres!$A$1:$I$89,3,0)*VLOOKUP('Données projet'!$B$15,Paramètres!$A$1:$I$89,5,0)</f>
        <v>90.214000000000013</v>
      </c>
      <c r="EL29" s="14">
        <f t="shared" si="45"/>
        <v>24.61682950474863</v>
      </c>
      <c r="EM29" s="22">
        <f t="shared" si="19"/>
        <v>199.99702805410388</v>
      </c>
      <c r="EN29" s="60">
        <f t="shared" si="20"/>
        <v>430.28374210329406</v>
      </c>
      <c r="EO29" s="60">
        <f ca="1">AVERAGE(OFFSET($EN$3,0,0,'Données projet'!$E$15+1,1))-AVERAGE(OFFSET($H$3,0,0,'Données projet'!$E$15+1,1))</f>
        <v>375.49921531693559</v>
      </c>
      <c r="EP29" s="60">
        <f t="shared" si="46"/>
        <v>306.93934681565599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6</v>
      </c>
      <c r="FE29" s="13">
        <f>IF('Données projet'!$A$218&gt;35,FE28+FD29-FM28,IF(A29&lt;'Données projet'!$A$218,$FB$205^A29,IF(A29='Données projet'!$A$218,'Données projet'!$B$218,FE28+FD29-FM28)))</f>
        <v>88.999999999999986</v>
      </c>
      <c r="FF29" s="18">
        <f>FE29*VLOOKUP('Données projet'!$B$16,Paramètres!$A$1:$I$89,3,0)*VLOOKUP('Données projet'!$B$16,Paramètres!$A$1:$I$89,5,0)</f>
        <v>72.196799999999996</v>
      </c>
      <c r="FG29" s="14">
        <f t="shared" si="47"/>
        <v>20.218015459285905</v>
      </c>
      <c r="FH29" s="22">
        <f t="shared" si="22"/>
        <v>160.95580359158961</v>
      </c>
      <c r="FI29" s="60">
        <f t="shared" si="23"/>
        <v>391.24251764077979</v>
      </c>
      <c r="FJ29" s="60">
        <f ca="1">AVERAGE(OFFSET($FI$3,0,0,'Données projet'!$E$16+1,1))-AVERAGE(OFFSET($H$3,0,0,'Données projet'!$E$16+1,1))</f>
        <v>308.58270639204238</v>
      </c>
      <c r="FK29" s="60">
        <f t="shared" si="48"/>
        <v>258.90832875500325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</v>
      </c>
      <c r="FZ29" s="13">
        <f>IF('Données projet'!$A$244&gt;35,FZ28+FY29-GH28,IF(A29&lt;'Données projet'!$A$244,$FW$205^A29,IF(A29='Données projet'!$A$244,'Données projet'!$B$244,FZ28+FY29-GH28)))</f>
        <v>69</v>
      </c>
      <c r="GA29" s="18">
        <f>FZ29*VLOOKUP('Données projet'!$B$17,Paramètres!$A$1:$I$89,3,0)*VLOOKUP('Données projet'!$B$17,Paramètres!$A$1:$I$89,5,0)</f>
        <v>66.736800000000002</v>
      </c>
      <c r="GB29" s="14">
        <f t="shared" si="49"/>
        <v>18.860852268900601</v>
      </c>
      <c r="GC29" s="22">
        <f t="shared" si="25"/>
        <v>149.08257770166853</v>
      </c>
      <c r="GD29" s="60">
        <f t="shared" si="26"/>
        <v>379.36929175085868</v>
      </c>
      <c r="GE29" s="60">
        <f ca="1">AVERAGE(OFFSET($GD$3,0,0,'Données projet'!$E$17+1,1))-AVERAGE(OFFSET($H$3,0,0,'Données projet'!$E$17+1,1))</f>
        <v>495.77880062178235</v>
      </c>
      <c r="GF29" s="60">
        <f t="shared" si="50"/>
        <v>263.55891737750301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9.4</v>
      </c>
      <c r="N30" s="14">
        <f>IF('Données projet'!$A$36&gt;35,N29+M30-V29,IF(A30&lt;'Données projet'!$A$36,$K$205^A30,IF(A30='Données projet'!$A$36,'Données projet'!$B$36,N29+M30-V29)))</f>
        <v>87.8</v>
      </c>
      <c r="O30" s="14">
        <f>N30*VLOOKUP('Données projet'!$B$9,Paramètres!$A$1:$I$89,3,0)*VLOOKUP('Données projet'!$B$9,Paramètres!$A$1:$I$89,5,0)</f>
        <v>75.332400000000007</v>
      </c>
      <c r="P30" s="14">
        <f t="shared" si="33"/>
        <v>20.991969498724234</v>
      </c>
      <c r="Q30" s="22">
        <f t="shared" si="2"/>
        <v>167.76494354361137</v>
      </c>
      <c r="R30" s="60">
        <f t="shared" si="0"/>
        <v>400.28278641617487</v>
      </c>
      <c r="S30" s="60">
        <f ca="1">AVERAGE(OFFSET($R$3,0,0,'Données projet'!$E$9+1,1))-AVERAGE(OFFSET($H$3,0,0,'Données projet'!$E$9+1,1))</f>
        <v>598.73855311281966</v>
      </c>
      <c r="T30" s="60">
        <f t="shared" si="34"/>
        <v>275.88160405468193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77.064000000000007</v>
      </c>
      <c r="AK30" s="14">
        <f t="shared" si="35"/>
        <v>21.417762186678065</v>
      </c>
      <c r="AL30" s="22">
        <f t="shared" si="4"/>
        <v>171.52240247513097</v>
      </c>
      <c r="AM30" s="60">
        <f t="shared" si="5"/>
        <v>404.04024534769451</v>
      </c>
      <c r="AN30" s="60">
        <f ca="1">AVERAGE(OFFSET($AM$3,0,0,'Données projet'!$E$10+1,1))-AVERAGE(OFFSET($H$3,0,0,'Données projet'!$E$10+1,1))</f>
        <v>515.72324585399997</v>
      </c>
      <c r="AO30" s="60">
        <f t="shared" si="36"/>
        <v>273.35778700650792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110.19060000000002</v>
      </c>
      <c r="BF30" s="14">
        <f t="shared" si="37"/>
        <v>29.375886893482836</v>
      </c>
      <c r="BG30" s="22">
        <f t="shared" si="7"/>
        <v>243.07829800614925</v>
      </c>
      <c r="BH30" s="60">
        <f t="shared" si="8"/>
        <v>475.59614087871273</v>
      </c>
      <c r="BI30" s="60">
        <f ca="1">AVERAGE(OFFSET($BH$3,0,0,'Données projet'!$E$11+1,1))-AVERAGE(OFFSET($H$3,0,0,'Données projet'!$E$11+1,1))</f>
        <v>336.25341821407534</v>
      </c>
      <c r="BJ30" s="60">
        <f t="shared" si="38"/>
        <v>360.3246221345039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7.4358974358974335</v>
      </c>
      <c r="BY30" s="13">
        <f>IF('Données projet'!$A$114&gt;35,BY29+BX30-CG29,IF(A30&lt;'Données projet'!$A$114,$BV$205^A30,IF(A30='Données projet'!$A$114,'Données projet'!$B$114,BY29+BX30-CG29)))</f>
        <v>116.15384615384616</v>
      </c>
      <c r="BZ30" s="14">
        <f>BY30*VLOOKUP('Données projet'!$B$12,Paramètres!$A$1:$I$89,3,0)*VLOOKUP('Données projet'!$B$12,Paramètres!$A$1:$I$89,5,0)</f>
        <v>110.53200000000002</v>
      </c>
      <c r="CA30" s="14">
        <f t="shared" si="39"/>
        <v>29.456292704151686</v>
      </c>
      <c r="CB30" s="22">
        <f t="shared" si="10"/>
        <v>243.81294312639758</v>
      </c>
      <c r="CC30" s="60">
        <f t="shared" si="11"/>
        <v>476.33078599896112</v>
      </c>
      <c r="CD30" s="60">
        <f ca="1">AVERAGE(OFFSET($CC$3,0,0,'Données projet'!$E$12+1,1))-AVERAGE(OFFSET($H$3,0,0,'Données projet'!$E$12+1,1))</f>
        <v>438.41611139377829</v>
      </c>
      <c r="CE30" s="60">
        <f t="shared" si="40"/>
        <v>345.17417065809605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14.260000000000002</v>
      </c>
      <c r="CT30" s="13">
        <f>IF('Données projet'!$A$140&gt;35,CT29+CS30-DB29,IF(A30&lt;'Données projet'!$A$140,$CQ$205^A30,IF(A30='Données projet'!$A$140,'Données projet'!$B$140,CT29+CS30-DB29)))</f>
        <v>134.02000000000001</v>
      </c>
      <c r="CU30" s="18">
        <f>CT30*VLOOKUP('Données projet'!$B$13,Paramètres!$A$1:$I$89,3,0)*VLOOKUP('Données projet'!$B$13,Paramètres!$A$1:$I$89,5,0)</f>
        <v>106.626312</v>
      </c>
      <c r="CV30" s="14">
        <f t="shared" si="41"/>
        <v>28.534682076410931</v>
      </c>
      <c r="CW30" s="22">
        <f t="shared" si="13"/>
        <v>235.40539801641569</v>
      </c>
      <c r="CX30" s="60">
        <f t="shared" si="14"/>
        <v>467.92324088897919</v>
      </c>
      <c r="CY30" s="60">
        <f ca="1">AVERAGE(OFFSET($CX$3,0,0,'Données projet'!$E$13+1,1))-AVERAGE(OFFSET($H$3,0,0,'Données projet'!$E$13+1,1))</f>
        <v>395.27840703467933</v>
      </c>
      <c r="CZ30" s="60">
        <f t="shared" si="42"/>
        <v>364.24192380053944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</v>
      </c>
      <c r="DO30" s="13">
        <f>IF('Données projet'!$A$166&gt;35,DO29+DN30-DW29,IF(A30&lt;'Données projet'!$A$166,$DL$205^A30,IF(A30='Données projet'!$A$166,'Données projet'!$B$166,DO29+DN30-DW29)))</f>
        <v>89.4</v>
      </c>
      <c r="DP30" s="18">
        <f>DO30*VLOOKUP('Données projet'!$B$14,Paramètres!$A$1:$I$89,3,0)*VLOOKUP('Données projet'!$B$14,Paramètres!$A$1:$I$89,5,0)</f>
        <v>69.732000000000014</v>
      </c>
      <c r="DQ30" s="14">
        <f t="shared" si="43"/>
        <v>19.606888874982506</v>
      </c>
      <c r="DR30" s="22">
        <f t="shared" si="16"/>
        <v>155.59856479059454</v>
      </c>
      <c r="DS30" s="60">
        <f t="shared" si="17"/>
        <v>388.11640766315804</v>
      </c>
      <c r="DT30" s="60">
        <f ca="1">AVERAGE(OFFSET($DS$3,0,0,'Données projet'!$E$14+1,1))-AVERAGE(OFFSET($H$3,0,0,'Données projet'!$E$14+1,1))</f>
        <v>308.76306523144956</v>
      </c>
      <c r="DU30" s="60">
        <f t="shared" si="44"/>
        <v>283.28099819802776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8.8461538461538449</v>
      </c>
      <c r="EJ30" s="13">
        <f>IF('Données projet'!$A$192&gt;35,EJ29+EI30-ER29,IF(A30&lt;'Données projet'!$A$192,$EG$205^A30,IF(A30='Données projet'!$A$192,'Données projet'!$B$192,EJ29+EI30-ER29)))</f>
        <v>143.33333333333334</v>
      </c>
      <c r="EK30" s="18">
        <f>EJ30*VLOOKUP('Données projet'!$B$15,Paramètres!$A$1:$I$89,3,0)*VLOOKUP('Données projet'!$B$15,Paramètres!$A$1:$I$89,5,0)</f>
        <v>96.14800000000001</v>
      </c>
      <c r="EL30" s="14">
        <f t="shared" si="45"/>
        <v>26.042224232404749</v>
      </c>
      <c r="EM30" s="22">
        <f t="shared" si="19"/>
        <v>212.81464053810495</v>
      </c>
      <c r="EN30" s="60">
        <f t="shared" si="20"/>
        <v>445.33248341066849</v>
      </c>
      <c r="EO30" s="60">
        <f ca="1">AVERAGE(OFFSET($EN$3,0,0,'Données projet'!$E$15+1,1))-AVERAGE(OFFSET($H$3,0,0,'Données projet'!$E$15+1,1))</f>
        <v>375.49921531693559</v>
      </c>
      <c r="EP30" s="60">
        <f t="shared" si="46"/>
        <v>306.93934681565599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6</v>
      </c>
      <c r="FE30" s="13">
        <f>IF('Données projet'!$A$218&gt;35,FE29+FD30-FM29,IF(A30&lt;'Données projet'!$A$218,$FB$205^A30,IF(A30='Données projet'!$A$218,'Données projet'!$B$218,FE29+FD30-FM29)))</f>
        <v>94.999999999999986</v>
      </c>
      <c r="FF30" s="18">
        <f>FE30*VLOOKUP('Données projet'!$B$16,Paramètres!$A$1:$I$89,3,0)*VLOOKUP('Données projet'!$B$16,Paramètres!$A$1:$I$89,5,0)</f>
        <v>77.063999999999993</v>
      </c>
      <c r="FG30" s="14">
        <f t="shared" si="47"/>
        <v>21.417762186678065</v>
      </c>
      <c r="FH30" s="22">
        <f t="shared" si="22"/>
        <v>171.52240247513092</v>
      </c>
      <c r="FI30" s="60">
        <f t="shared" si="23"/>
        <v>404.04024534769439</v>
      </c>
      <c r="FJ30" s="60">
        <f ca="1">AVERAGE(OFFSET($FI$3,0,0,'Données projet'!$E$16+1,1))-AVERAGE(OFFSET($H$3,0,0,'Données projet'!$E$16+1,1))</f>
        <v>308.58270639204238</v>
      </c>
      <c r="FK30" s="60">
        <f t="shared" si="48"/>
        <v>258.90832875500325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</v>
      </c>
      <c r="FZ30" s="13">
        <f>IF('Données projet'!$A$244&gt;35,FZ29+FY30-GH29,IF(A30&lt;'Données projet'!$A$244,$FW$205^A30,IF(A30='Données projet'!$A$244,'Données projet'!$B$244,FZ29+FY30-GH29)))</f>
        <v>76</v>
      </c>
      <c r="GA30" s="18">
        <f>FZ30*VLOOKUP('Données projet'!$B$17,Paramètres!$A$1:$I$89,3,0)*VLOOKUP('Données projet'!$B$17,Paramètres!$A$1:$I$89,5,0)</f>
        <v>73.507199999999997</v>
      </c>
      <c r="GB30" s="14">
        <f t="shared" si="49"/>
        <v>20.541925364615185</v>
      </c>
      <c r="GC30" s="22">
        <f t="shared" si="25"/>
        <v>163.80222667670475</v>
      </c>
      <c r="GD30" s="60">
        <f t="shared" si="26"/>
        <v>396.32006954926828</v>
      </c>
      <c r="GE30" s="60">
        <f ca="1">AVERAGE(OFFSET($GD$3,0,0,'Données projet'!$E$17+1,1))-AVERAGE(OFFSET($H$3,0,0,'Données projet'!$E$17+1,1))</f>
        <v>495.77880062178235</v>
      </c>
      <c r="GF30" s="60">
        <f t="shared" si="50"/>
        <v>263.55891737750301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9.4</v>
      </c>
      <c r="N31" s="14">
        <f>IF('Données projet'!$A$36&gt;35,N30+M31-V30,IF(A31&lt;'Données projet'!$A$36,$K$205^A31,IF(A31='Données projet'!$A$36,'Données projet'!$B$36,N30+M31-V30)))</f>
        <v>97.2</v>
      </c>
      <c r="O31" s="14">
        <f>N31*VLOOKUP('Données projet'!$B$9,Paramètres!$A$1:$I$89,3,0)*VLOOKUP('Données projet'!$B$9,Paramètres!$A$1:$I$89,5,0)</f>
        <v>83.397600000000011</v>
      </c>
      <c r="P31" s="14">
        <f t="shared" si="33"/>
        <v>22.965893371329315</v>
      </c>
      <c r="Q31" s="22">
        <f t="shared" si="2"/>
        <v>185.24975095506522</v>
      </c>
      <c r="R31" s="60">
        <f t="shared" si="0"/>
        <v>419.98122037704934</v>
      </c>
      <c r="S31" s="60">
        <f ca="1">AVERAGE(OFFSET($R$3,0,0,'Données projet'!$E$9+1,1))-AVERAGE(OFFSET($H$3,0,0,'Données projet'!$E$9+1,1))</f>
        <v>598.73855311281966</v>
      </c>
      <c r="T31" s="60">
        <f t="shared" si="34"/>
        <v>275.88160405468193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84.162000000000006</v>
      </c>
      <c r="AK31" s="14">
        <f t="shared" si="35"/>
        <v>23.151791590506594</v>
      </c>
      <c r="AL31" s="22">
        <f t="shared" si="4"/>
        <v>186.90485368679899</v>
      </c>
      <c r="AM31" s="60">
        <f t="shared" si="5"/>
        <v>421.63632310878307</v>
      </c>
      <c r="AN31" s="60">
        <f ca="1">AVERAGE(OFFSET($AM$3,0,0,'Données projet'!$E$10+1,1))-AVERAGE(OFFSET($H$3,0,0,'Données projet'!$E$10+1,1))</f>
        <v>515.72324585399997</v>
      </c>
      <c r="AO31" s="60">
        <f t="shared" si="36"/>
        <v>273.35778700650792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119.73779999999999</v>
      </c>
      <c r="BF31" s="14">
        <f t="shared" si="37"/>
        <v>31.61383766685427</v>
      </c>
      <c r="BG31" s="22">
        <f t="shared" si="7"/>
        <v>263.6041022697712</v>
      </c>
      <c r="BH31" s="60">
        <f t="shared" si="8"/>
        <v>498.33557169175526</v>
      </c>
      <c r="BI31" s="60">
        <f ca="1">AVERAGE(OFFSET($BH$3,0,0,'Données projet'!$E$11+1,1))-AVERAGE(OFFSET($H$3,0,0,'Données projet'!$E$11+1,1))</f>
        <v>336.25341821407534</v>
      </c>
      <c r="BJ31" s="60">
        <f t="shared" si="38"/>
        <v>360.3246221345039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7.4358974358974335</v>
      </c>
      <c r="BY31" s="13">
        <f>IF('Données projet'!$A$114&gt;35,BY30+BX31-CG30,IF(A31&lt;'Données projet'!$A$114,$BV$205^A31,IF(A31='Données projet'!$A$114,'Données projet'!$B$114,BY30+BX31-CG30)))</f>
        <v>123.58974358974359</v>
      </c>
      <c r="BZ31" s="14">
        <f>BY31*VLOOKUP('Données projet'!$B$12,Paramètres!$A$1:$I$89,3,0)*VLOOKUP('Données projet'!$B$12,Paramètres!$A$1:$I$89,5,0)</f>
        <v>117.608</v>
      </c>
      <c r="CA31" s="14">
        <f t="shared" si="39"/>
        <v>31.11645249810654</v>
      </c>
      <c r="CB31" s="22">
        <f t="shared" si="10"/>
        <v>259.02842143420224</v>
      </c>
      <c r="CC31" s="60">
        <f t="shared" si="11"/>
        <v>493.7598908561863</v>
      </c>
      <c r="CD31" s="60">
        <f ca="1">AVERAGE(OFFSET($CC$3,0,0,'Données projet'!$E$12+1,1))-AVERAGE(OFFSET($H$3,0,0,'Données projet'!$E$12+1,1))</f>
        <v>438.41611139377829</v>
      </c>
      <c r="CE31" s="60">
        <f t="shared" si="40"/>
        <v>345.17417065809605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14.260000000000002</v>
      </c>
      <c r="CT31" s="13">
        <f>IF('Données projet'!$A$140&gt;35,CT30+CS31-DB30,IF(A31&lt;'Données projet'!$A$140,$CQ$205^A31,IF(A31='Données projet'!$A$140,'Données projet'!$B$140,CT30+CS31-DB30)))</f>
        <v>148.28</v>
      </c>
      <c r="CU31" s="18">
        <f>CT31*VLOOKUP('Données projet'!$B$13,Paramètres!$A$1:$I$89,3,0)*VLOOKUP('Données projet'!$B$13,Paramètres!$A$1:$I$89,5,0)</f>
        <v>117.971568</v>
      </c>
      <c r="CV31" s="14">
        <f t="shared" si="41"/>
        <v>31.201432457260601</v>
      </c>
      <c r="CW31" s="22">
        <f t="shared" si="13"/>
        <v>259.80964246306223</v>
      </c>
      <c r="CX31" s="60">
        <f t="shared" si="14"/>
        <v>494.54111188504635</v>
      </c>
      <c r="CY31" s="60">
        <f ca="1">AVERAGE(OFFSET($CX$3,0,0,'Données projet'!$E$13+1,1))-AVERAGE(OFFSET($H$3,0,0,'Données projet'!$E$13+1,1))</f>
        <v>395.27840703467933</v>
      </c>
      <c r="CZ31" s="60">
        <f t="shared" si="42"/>
        <v>364.24192380053944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</v>
      </c>
      <c r="DO31" s="13">
        <f>IF('Données projet'!$A$166&gt;35,DO30+DN31-DW30,IF(A31&lt;'Données projet'!$A$166,$DL$205^A31,IF(A31='Données projet'!$A$166,'Données projet'!$B$166,DO30+DN31-DW30)))</f>
        <v>103.60000000000001</v>
      </c>
      <c r="DP31" s="18">
        <f>DO31*VLOOKUP('Données projet'!$B$14,Paramètres!$A$1:$I$89,3,0)*VLOOKUP('Données projet'!$B$14,Paramètres!$A$1:$I$89,5,0)</f>
        <v>80.808000000000007</v>
      </c>
      <c r="DQ31" s="14">
        <f t="shared" si="43"/>
        <v>22.334628633536209</v>
      </c>
      <c r="DR31" s="22">
        <f t="shared" si="16"/>
        <v>179.64007820340893</v>
      </c>
      <c r="DS31" s="60">
        <f t="shared" si="17"/>
        <v>414.37154762539302</v>
      </c>
      <c r="DT31" s="60">
        <f ca="1">AVERAGE(OFFSET($DS$3,0,0,'Données projet'!$E$14+1,1))-AVERAGE(OFFSET($H$3,0,0,'Données projet'!$E$14+1,1))</f>
        <v>308.76306523144956</v>
      </c>
      <c r="DU31" s="60">
        <f t="shared" si="44"/>
        <v>283.28099819802776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8.8461538461538449</v>
      </c>
      <c r="EJ31" s="13">
        <f>IF('Données projet'!$A$192&gt;35,EJ30+EI31-ER30,IF(A31&lt;'Données projet'!$A$192,$EG$205^A31,IF(A31='Données projet'!$A$192,'Données projet'!$B$192,EJ30+EI31-ER30)))</f>
        <v>152.17948717948718</v>
      </c>
      <c r="EK31" s="18">
        <f>EJ31*VLOOKUP('Données projet'!$B$15,Paramètres!$A$1:$I$89,3,0)*VLOOKUP('Données projet'!$B$15,Paramètres!$A$1:$I$89,5,0)</f>
        <v>102.08200000000001</v>
      </c>
      <c r="EL31" s="14">
        <f t="shared" si="45"/>
        <v>27.457408919716965</v>
      </c>
      <c r="EM31" s="22">
        <f t="shared" si="19"/>
        <v>225.61447053517372</v>
      </c>
      <c r="EN31" s="60">
        <f t="shared" si="20"/>
        <v>460.34593995715784</v>
      </c>
      <c r="EO31" s="60">
        <f ca="1">AVERAGE(OFFSET($EN$3,0,0,'Données projet'!$E$15+1,1))-AVERAGE(OFFSET($H$3,0,0,'Données projet'!$E$15+1,1))</f>
        <v>375.49921531693559</v>
      </c>
      <c r="EP31" s="60">
        <f t="shared" si="46"/>
        <v>306.93934681565599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6</v>
      </c>
      <c r="FE31" s="13">
        <f>IF('Données projet'!$A$218&gt;35,FE30+FD31-FM30,IF(A31&lt;'Données projet'!$A$218,$FB$205^A31,IF(A31='Données projet'!$A$218,'Données projet'!$B$218,FE30+FD31-FM30)))</f>
        <v>100.99999999999999</v>
      </c>
      <c r="FF31" s="18">
        <f>FE31*VLOOKUP('Données projet'!$B$16,Paramètres!$A$1:$I$89,3,0)*VLOOKUP('Données projet'!$B$16,Paramètres!$A$1:$I$89,5,0)</f>
        <v>81.93119999999999</v>
      </c>
      <c r="FG31" s="14">
        <f t="shared" si="47"/>
        <v>22.608715052719766</v>
      </c>
      <c r="FH31" s="22">
        <f t="shared" si="22"/>
        <v>182.07368538348692</v>
      </c>
      <c r="FI31" s="60">
        <f t="shared" si="23"/>
        <v>416.80515480547103</v>
      </c>
      <c r="FJ31" s="60">
        <f ca="1">AVERAGE(OFFSET($FI$3,0,0,'Données projet'!$E$16+1,1))-AVERAGE(OFFSET($H$3,0,0,'Données projet'!$E$16+1,1))</f>
        <v>308.58270639204238</v>
      </c>
      <c r="FK31" s="60">
        <f t="shared" si="48"/>
        <v>258.90832875500325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</v>
      </c>
      <c r="FZ31" s="13">
        <f>IF('Données projet'!$A$244&gt;35,FZ30+FY31-GH30,IF(A31&lt;'Données projet'!$A$244,$FW$205^A31,IF(A31='Données projet'!$A$244,'Données projet'!$B$244,FZ30+FY31-GH30)))</f>
        <v>83</v>
      </c>
      <c r="GA31" s="18">
        <f>FZ31*VLOOKUP('Données projet'!$B$17,Paramètres!$A$1:$I$89,3,0)*VLOOKUP('Données projet'!$B$17,Paramètres!$A$1:$I$89,5,0)</f>
        <v>80.277600000000007</v>
      </c>
      <c r="GB31" s="14">
        <f t="shared" si="49"/>
        <v>22.205045081933264</v>
      </c>
      <c r="GC31" s="22">
        <f t="shared" si="25"/>
        <v>178.49060685103379</v>
      </c>
      <c r="GD31" s="60">
        <f t="shared" si="26"/>
        <v>413.22207627301788</v>
      </c>
      <c r="GE31" s="60">
        <f ca="1">AVERAGE(OFFSET($GD$3,0,0,'Données projet'!$E$17+1,1))-AVERAGE(OFFSET($H$3,0,0,'Données projet'!$E$17+1,1))</f>
        <v>495.77880062178235</v>
      </c>
      <c r="GF31" s="60">
        <f t="shared" si="50"/>
        <v>263.55891737750301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9.4</v>
      </c>
      <c r="N32" s="14">
        <f>IF('Données projet'!$A$36&gt;35,N31+M32-V31,IF(A32&lt;'Données projet'!$A$36,$K$205^A32,IF(A32='Données projet'!$A$36,'Données projet'!$B$36,N31+M32-V31)))</f>
        <v>106.60000000000001</v>
      </c>
      <c r="O32" s="14">
        <f>N32*VLOOKUP('Données projet'!$B$9,Paramètres!$A$1:$I$89,3,0)*VLOOKUP('Données projet'!$B$9,Paramètres!$A$1:$I$89,5,0)</f>
        <v>91.462800000000016</v>
      </c>
      <c r="P32" s="14">
        <f t="shared" si="33"/>
        <v>24.917685409456144</v>
      </c>
      <c r="Q32" s="22">
        <f t="shared" si="2"/>
        <v>202.69601208813614</v>
      </c>
      <c r="R32" s="60">
        <f t="shared" si="0"/>
        <v>439.62390941091201</v>
      </c>
      <c r="S32" s="60">
        <f ca="1">AVERAGE(OFFSET($R$3,0,0,'Données projet'!$E$9+1,1))-AVERAGE(OFFSET($H$3,0,0,'Données projet'!$E$9+1,1))</f>
        <v>598.73855311281966</v>
      </c>
      <c r="T32" s="60">
        <f t="shared" si="34"/>
        <v>275.88160405468193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91.26</v>
      </c>
      <c r="AK32" s="14">
        <f t="shared" si="35"/>
        <v>24.868860330902777</v>
      </c>
      <c r="AL32" s="22">
        <f t="shared" si="4"/>
        <v>202.25776507632233</v>
      </c>
      <c r="AM32" s="60">
        <f t="shared" si="5"/>
        <v>439.18566239909819</v>
      </c>
      <c r="AN32" s="60">
        <f ca="1">AVERAGE(OFFSET($AM$3,0,0,'Données projet'!$E$10+1,1))-AVERAGE(OFFSET($H$3,0,0,'Données projet'!$E$10+1,1))</f>
        <v>515.72324585399997</v>
      </c>
      <c r="AO32" s="60">
        <f t="shared" si="36"/>
        <v>273.35778700650792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129.285</v>
      </c>
      <c r="BF32" s="14">
        <f t="shared" si="37"/>
        <v>33.831090831224039</v>
      </c>
      <c r="BG32" s="22">
        <f t="shared" si="7"/>
        <v>284.09385819771518</v>
      </c>
      <c r="BH32" s="60">
        <f t="shared" si="8"/>
        <v>521.02175552049107</v>
      </c>
      <c r="BI32" s="60">
        <f ca="1">AVERAGE(OFFSET($BH$3,0,0,'Données projet'!$E$11+1,1))-AVERAGE(OFFSET($H$3,0,0,'Données projet'!$E$11+1,1))</f>
        <v>336.25341821407534</v>
      </c>
      <c r="BJ32" s="60">
        <f t="shared" si="38"/>
        <v>360.3246221345039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7.4358974358974335</v>
      </c>
      <c r="BY32" s="13">
        <f>IF('Données projet'!$A$114&gt;35,BY31+BX32-CG31,IF(A32&lt;'Données projet'!$A$114,$BV$205^A32,IF(A32='Données projet'!$A$114,'Données projet'!$B$114,BY31+BX32-CG31)))</f>
        <v>131.02564102564102</v>
      </c>
      <c r="BZ32" s="14">
        <f>BY32*VLOOKUP('Données projet'!$B$12,Paramètres!$A$1:$I$89,3,0)*VLOOKUP('Données projet'!$B$12,Paramètres!$A$1:$I$89,5,0)</f>
        <v>124.68400000000001</v>
      </c>
      <c r="CA32" s="14">
        <f t="shared" si="39"/>
        <v>32.765018897972467</v>
      </c>
      <c r="CB32" s="22">
        <f t="shared" si="10"/>
        <v>274.22370791396878</v>
      </c>
      <c r="CC32" s="60">
        <f t="shared" si="11"/>
        <v>511.15160523674462</v>
      </c>
      <c r="CD32" s="60">
        <f ca="1">AVERAGE(OFFSET($CC$3,0,0,'Données projet'!$E$12+1,1))-AVERAGE(OFFSET($H$3,0,0,'Données projet'!$E$12+1,1))</f>
        <v>438.41611139377829</v>
      </c>
      <c r="CE32" s="60">
        <f t="shared" si="40"/>
        <v>345.17417065809605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14.260000000000002</v>
      </c>
      <c r="CT32" s="13">
        <f>IF('Données projet'!$A$140&gt;35,CT31+CS32-DB31,IF(A32&lt;'Données projet'!$A$140,$CQ$205^A32,IF(A32='Données projet'!$A$140,'Données projet'!$B$140,CT31+CS32-DB31)))</f>
        <v>162.54</v>
      </c>
      <c r="CU32" s="18">
        <f>CT32*VLOOKUP('Données projet'!$B$13,Paramètres!$A$1:$I$89,3,0)*VLOOKUP('Données projet'!$B$13,Paramètres!$A$1:$I$89,5,0)</f>
        <v>129.316824</v>
      </c>
      <c r="CV32" s="14">
        <f t="shared" si="41"/>
        <v>33.838449040120956</v>
      </c>
      <c r="CW32" s="22">
        <f t="shared" si="13"/>
        <v>284.16210054487732</v>
      </c>
      <c r="CX32" s="60">
        <f t="shared" si="14"/>
        <v>521.08999786765321</v>
      </c>
      <c r="CY32" s="60">
        <f ca="1">AVERAGE(OFFSET($CX$3,0,0,'Données projet'!$E$13+1,1))-AVERAGE(OFFSET($H$3,0,0,'Données projet'!$E$13+1,1))</f>
        <v>395.27840703467933</v>
      </c>
      <c r="CZ32" s="60">
        <f t="shared" si="42"/>
        <v>364.24192380053944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</v>
      </c>
      <c r="DO32" s="13">
        <f>IF('Données projet'!$A$166&gt;35,DO31+DN32-DW31,IF(A32&lt;'Données projet'!$A$166,$DL$205^A32,IF(A32='Données projet'!$A$166,'Données projet'!$B$166,DO31+DN32-DW31)))</f>
        <v>117.80000000000001</v>
      </c>
      <c r="DP32" s="18">
        <f>DO32*VLOOKUP('Données projet'!$B$14,Paramètres!$A$1:$I$89,3,0)*VLOOKUP('Données projet'!$B$14,Paramètres!$A$1:$I$89,5,0)</f>
        <v>91.884000000000015</v>
      </c>
      <c r="DQ32" s="14">
        <f t="shared" si="43"/>
        <v>25.019051117801563</v>
      </c>
      <c r="DR32" s="22">
        <f t="shared" si="16"/>
        <v>203.60614736350442</v>
      </c>
      <c r="DS32" s="60">
        <f t="shared" si="17"/>
        <v>440.53404468628025</v>
      </c>
      <c r="DT32" s="60">
        <f ca="1">AVERAGE(OFFSET($DS$3,0,0,'Données projet'!$E$14+1,1))-AVERAGE(OFFSET($H$3,0,0,'Données projet'!$E$14+1,1))</f>
        <v>308.76306523144956</v>
      </c>
      <c r="DU32" s="60">
        <f t="shared" si="44"/>
        <v>283.28099819802776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8.8461538461538449</v>
      </c>
      <c r="EJ32" s="13">
        <f>IF('Données projet'!$A$192&gt;35,EJ31+EI32-ER31,IF(A32&lt;'Données projet'!$A$192,$EG$205^A32,IF(A32='Données projet'!$A$192,'Données projet'!$B$192,EJ31+EI32-ER31)))</f>
        <v>161.02564102564102</v>
      </c>
      <c r="EK32" s="18">
        <f>EJ32*VLOOKUP('Données projet'!$B$15,Paramètres!$A$1:$I$89,3,0)*VLOOKUP('Données projet'!$B$15,Paramètres!$A$1:$I$89,5,0)</f>
        <v>108.01600000000001</v>
      </c>
      <c r="EL32" s="14">
        <f t="shared" si="45"/>
        <v>28.863044687111241</v>
      </c>
      <c r="EM32" s="22">
        <f t="shared" si="19"/>
        <v>238.39766949671878</v>
      </c>
      <c r="EN32" s="60">
        <f t="shared" si="20"/>
        <v>475.32556681949461</v>
      </c>
      <c r="EO32" s="60">
        <f ca="1">AVERAGE(OFFSET($EN$3,0,0,'Données projet'!$E$15+1,1))-AVERAGE(OFFSET($H$3,0,0,'Données projet'!$E$15+1,1))</f>
        <v>375.49921531693559</v>
      </c>
      <c r="EP32" s="60">
        <f t="shared" si="46"/>
        <v>306.93934681565599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6</v>
      </c>
      <c r="FE32" s="13">
        <f>IF('Données projet'!$A$218&gt;35,FE31+FD32-FM31,IF(A32&lt;'Données projet'!$A$218,$FB$205^A32,IF(A32='Données projet'!$A$218,'Données projet'!$B$218,FE31+FD32-FM31)))</f>
        <v>106.99999999999999</v>
      </c>
      <c r="FF32" s="18">
        <f>FE32*VLOOKUP('Données projet'!$B$16,Paramètres!$A$1:$I$89,3,0)*VLOOKUP('Données projet'!$B$16,Paramètres!$A$1:$I$89,5,0)</f>
        <v>86.798399999999987</v>
      </c>
      <c r="FG32" s="14">
        <f t="shared" si="47"/>
        <v>23.79145596594833</v>
      </c>
      <c r="FH32" s="22">
        <f t="shared" si="22"/>
        <v>192.61066580735996</v>
      </c>
      <c r="FI32" s="60">
        <f t="shared" si="23"/>
        <v>429.5385631301358</v>
      </c>
      <c r="FJ32" s="60">
        <f ca="1">AVERAGE(OFFSET($FI$3,0,0,'Données projet'!$E$16+1,1))-AVERAGE(OFFSET($H$3,0,0,'Données projet'!$E$16+1,1))</f>
        <v>308.58270639204238</v>
      </c>
      <c r="FK32" s="60">
        <f t="shared" si="48"/>
        <v>258.90832875500325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</v>
      </c>
      <c r="FZ32" s="13">
        <f>IF('Données projet'!$A$244&gt;35,FZ31+FY32-GH31,IF(A32&lt;'Données projet'!$A$244,$FW$205^A32,IF(A32='Données projet'!$A$244,'Données projet'!$B$244,FZ31+FY32-GH31)))</f>
        <v>90</v>
      </c>
      <c r="GA32" s="18">
        <f>FZ32*VLOOKUP('Données projet'!$B$17,Paramètres!$A$1:$I$89,3,0)*VLOOKUP('Données projet'!$B$17,Paramètres!$A$1:$I$89,5,0)</f>
        <v>87.048000000000002</v>
      </c>
      <c r="GB32" s="14">
        <f t="shared" si="49"/>
        <v>23.851897708444891</v>
      </c>
      <c r="GC32" s="22">
        <f t="shared" si="25"/>
        <v>193.15065517554152</v>
      </c>
      <c r="GD32" s="60">
        <f t="shared" si="26"/>
        <v>430.07855249831732</v>
      </c>
      <c r="GE32" s="60">
        <f ca="1">AVERAGE(OFFSET($GD$3,0,0,'Données projet'!$E$17+1,1))-AVERAGE(OFFSET($H$3,0,0,'Données projet'!$E$17+1,1))</f>
        <v>495.77880062178235</v>
      </c>
      <c r="GF32" s="60">
        <f t="shared" si="50"/>
        <v>263.55891737750301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116</v>
      </c>
      <c r="L33" s="13">
        <f>VLOOKUP(A33,'Données projet'!$A$35:$I$55,9,0)</f>
        <v>9.4</v>
      </c>
      <c r="M33" s="13">
        <f t="array" ref="M33">INDEX(L:L,MIN(IF(ISNUMBER(L33:L229),ROW(L33:L229),"")))</f>
        <v>9.4</v>
      </c>
      <c r="N33" s="14">
        <f>IF('Données projet'!$A$36&gt;35,N32+M33-V32,IF(A33&lt;'Données projet'!$A$36,$K$205^A33,IF(A33='Données projet'!$A$36,'Données projet'!$B$36,N32+M33-V32)))</f>
        <v>116.00000000000001</v>
      </c>
      <c r="O33" s="14">
        <f>N33*VLOOKUP('Données projet'!$B$9,Paramètres!$A$1:$I$89,3,0)*VLOOKUP('Données projet'!$B$9,Paramètres!$A$1:$I$89,5,0)</f>
        <v>99.52800000000002</v>
      </c>
      <c r="P33" s="14">
        <f t="shared" si="33"/>
        <v>26.849519112903323</v>
      </c>
      <c r="Q33" s="22">
        <f t="shared" si="2"/>
        <v>220.10751245497332</v>
      </c>
      <c r="R33" s="60">
        <f t="shared" si="0"/>
        <v>459.2149373880153</v>
      </c>
      <c r="S33" s="60">
        <f ca="1">AVERAGE(OFFSET($R$3,0,0,'Données projet'!$E$9+1,1))-AVERAGE(OFFSET($H$3,0,0,'Données projet'!$E$9+1,1))</f>
        <v>598.73855311281966</v>
      </c>
      <c r="T33" s="60">
        <f t="shared" si="34"/>
        <v>275.88160405468193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98.358000000000004</v>
      </c>
      <c r="AK33" s="14">
        <f t="shared" si="35"/>
        <v>26.570437554143126</v>
      </c>
      <c r="AL33" s="22">
        <f t="shared" si="4"/>
        <v>217.58369540679928</v>
      </c>
      <c r="AM33" s="60">
        <f t="shared" si="5"/>
        <v>456.69112033984129</v>
      </c>
      <c r="AN33" s="60">
        <f ca="1">AVERAGE(OFFSET($AM$3,0,0,'Données projet'!$E$10+1,1))-AVERAGE(OFFSET($H$3,0,0,'Données projet'!$E$10+1,1))</f>
        <v>515.72324585399997</v>
      </c>
      <c r="AO33" s="60">
        <f t="shared" si="36"/>
        <v>273.35778700650792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138.8322</v>
      </c>
      <c r="BF33" s="14">
        <f t="shared" si="37"/>
        <v>36.029348632418326</v>
      </c>
      <c r="BG33" s="22">
        <f t="shared" si="7"/>
        <v>304.55053053479526</v>
      </c>
      <c r="BH33" s="60">
        <f t="shared" si="8"/>
        <v>543.65795546783727</v>
      </c>
      <c r="BI33" s="60">
        <f ca="1">AVERAGE(OFFSET($BH$3,0,0,'Données projet'!$E$11+1,1))-AVERAGE(OFFSET($H$3,0,0,'Données projet'!$E$11+1,1))</f>
        <v>336.25341821407534</v>
      </c>
      <c r="BJ33" s="60">
        <f t="shared" si="38"/>
        <v>360.3246221345039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0.10600000000000001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5.2002284024384311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5.2002284024384311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138.46153846153845</v>
      </c>
      <c r="BW33" s="13">
        <f>VLOOKUP(A33,'Données projet'!$A$113:$I$133,9,0)</f>
        <v>7.4358974358974335</v>
      </c>
      <c r="BX33" s="13">
        <f t="array" ref="BX33">INDEX(BW:BW,MIN(IF(ISNUMBER(BW33:BW229),ROW(BW33:BW229),"")))</f>
        <v>7.4358974358974335</v>
      </c>
      <c r="BY33" s="13">
        <f>IF('Données projet'!$A$114&gt;35,BY32+BX33-CG32,IF(A33&lt;'Données projet'!$A$114,$BV$205^A33,IF(A33='Données projet'!$A$114,'Données projet'!$B$114,BY32+BX33-CG32)))</f>
        <v>138.46153846153845</v>
      </c>
      <c r="BZ33" s="14">
        <f>BY33*VLOOKUP('Données projet'!$B$12,Paramètres!$A$1:$I$89,3,0)*VLOOKUP('Données projet'!$B$12,Paramètres!$A$1:$I$89,5,0)</f>
        <v>131.76</v>
      </c>
      <c r="CA33" s="14">
        <f t="shared" si="39"/>
        <v>34.402724818212867</v>
      </c>
      <c r="CB33" s="22">
        <f t="shared" si="10"/>
        <v>289.4000790583874</v>
      </c>
      <c r="CC33" s="60">
        <f t="shared" si="11"/>
        <v>528.50750399142942</v>
      </c>
      <c r="CD33" s="60">
        <f ca="1">AVERAGE(OFFSET($CC$3,0,0,'Données projet'!$E$12+1,1))-AVERAGE(OFFSET($H$3,0,0,'Données projet'!$E$12+1,1))</f>
        <v>438.41611139377829</v>
      </c>
      <c r="CE33" s="60">
        <f t="shared" si="40"/>
        <v>345.17417065809605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30.769230769230766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176.8</v>
      </c>
      <c r="CR33" s="13">
        <f>VLOOKUP(A33,'Données projet'!$A$139:$I$159,9,0)</f>
        <v>14.260000000000002</v>
      </c>
      <c r="CS33" s="13">
        <f t="array" ref="CS33">INDEX(CR:CR,MIN(IF(ISNUMBER(CR33:CR229),ROW(CR33:CR229),"")))</f>
        <v>14.260000000000002</v>
      </c>
      <c r="CT33" s="13">
        <f>IF('Données projet'!$A$140&gt;35,CT32+CS33-DB32,IF(A33&lt;'Données projet'!$A$140,$CQ$205^A33,IF(A33='Données projet'!$A$140,'Données projet'!$B$140,CT32+CS33-DB32)))</f>
        <v>176.79999999999998</v>
      </c>
      <c r="CU33" s="18">
        <f>CT33*VLOOKUP('Données projet'!$B$13,Paramètres!$A$1:$I$89,3,0)*VLOOKUP('Données projet'!$B$13,Paramètres!$A$1:$I$89,5,0)</f>
        <v>140.66208</v>
      </c>
      <c r="CV33" s="14">
        <f t="shared" si="41"/>
        <v>36.448637053108627</v>
      </c>
      <c r="CW33" s="22">
        <f t="shared" si="13"/>
        <v>308.46783220083086</v>
      </c>
      <c r="CX33" s="60">
        <f t="shared" si="14"/>
        <v>547.57525713387281</v>
      </c>
      <c r="CY33" s="60">
        <f ca="1">AVERAGE(OFFSET($CX$3,0,0,'Données projet'!$E$13+1,1))-AVERAGE(OFFSET($H$3,0,0,'Données projet'!$E$13+1,1))</f>
        <v>395.27840703467933</v>
      </c>
      <c r="CZ33" s="60">
        <f t="shared" si="42"/>
        <v>364.24192380053944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132</v>
      </c>
      <c r="DM33" s="13">
        <f>VLOOKUP(A33,'Données projet'!$A$165:$I$185,9,0)</f>
        <v>14.2</v>
      </c>
      <c r="DN33" s="13">
        <f t="array" ref="DN33">INDEX(DM:DM,MIN(IF(ISNUMBER(DM33:DM229),ROW(DM33:DM229),"")))</f>
        <v>14.2</v>
      </c>
      <c r="DO33" s="13">
        <f>IF('Données projet'!$A$166&gt;35,DO32+DN33-DW32,IF(A33&lt;'Données projet'!$A$166,$DL$205^A33,IF(A33='Données projet'!$A$166,'Données projet'!$B$166,DO32+DN33-DW32)))</f>
        <v>132</v>
      </c>
      <c r="DP33" s="18">
        <f>DO33*VLOOKUP('Données projet'!$B$14,Paramètres!$A$1:$I$89,3,0)*VLOOKUP('Données projet'!$B$14,Paramètres!$A$1:$I$89,5,0)</f>
        <v>102.96000000000001</v>
      </c>
      <c r="DQ33" s="14">
        <f t="shared" si="43"/>
        <v>27.665975080374633</v>
      </c>
      <c r="DR33" s="22">
        <f t="shared" si="16"/>
        <v>227.50690659831915</v>
      </c>
      <c r="DS33" s="60">
        <f t="shared" si="17"/>
        <v>466.61433153136113</v>
      </c>
      <c r="DT33" s="60">
        <f ca="1">AVERAGE(OFFSET($DS$3,0,0,'Données projet'!$E$14+1,1))-AVERAGE(OFFSET($H$3,0,0,'Données projet'!$E$14+1,1))</f>
        <v>308.76306523144956</v>
      </c>
      <c r="DU33" s="60">
        <f t="shared" si="44"/>
        <v>283.28099819802776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24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169.87179487179486</v>
      </c>
      <c r="EH33" s="13">
        <f>VLOOKUP(A33,'Données projet'!$A$191:$I$211,9,0)</f>
        <v>8.8461538461538449</v>
      </c>
      <c r="EI33" s="13">
        <f t="array" ref="EI33">INDEX(EH:EH,MIN(IF(ISNUMBER(EH33:EH229),ROW(EH33:EH229),"")))</f>
        <v>8.8461538461538449</v>
      </c>
      <c r="EJ33" s="13">
        <f>IF('Données projet'!$A$192&gt;35,EJ32+EI33-ER32,IF(A33&lt;'Données projet'!$A$192,$EG$205^A33,IF(A33='Données projet'!$A$192,'Données projet'!$B$192,EJ32+EI33-ER32)))</f>
        <v>169.87179487179486</v>
      </c>
      <c r="EK33" s="18">
        <f>EJ33*VLOOKUP('Données projet'!$B$15,Paramètres!$A$1:$I$89,3,0)*VLOOKUP('Données projet'!$B$15,Paramètres!$A$1:$I$89,5,0)</f>
        <v>113.95</v>
      </c>
      <c r="EL33" s="14">
        <f t="shared" si="45"/>
        <v>30.259715913462585</v>
      </c>
      <c r="EM33" s="22">
        <f t="shared" si="19"/>
        <v>251.16525521594735</v>
      </c>
      <c r="EN33" s="60">
        <f t="shared" si="20"/>
        <v>490.27268014898937</v>
      </c>
      <c r="EO33" s="60">
        <f ca="1">AVERAGE(OFFSET($EN$3,0,0,'Données projet'!$E$15+1,1))-AVERAGE(OFFSET($H$3,0,0,'Données projet'!$E$15+1,1))</f>
        <v>375.49921531693559</v>
      </c>
      <c r="EP33" s="60">
        <f t="shared" si="46"/>
        <v>306.93934681565599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36.53846153846154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113</v>
      </c>
      <c r="FC33" s="13">
        <f>VLOOKUP(A33,'Données projet'!$A$217:$I$237,9,0)</f>
        <v>6</v>
      </c>
      <c r="FD33" s="13">
        <f t="array" ref="FD33">INDEX(FC:FC,MIN(IF(ISNUMBER(FC33:FC229),ROW(FC33:FC229),"")))</f>
        <v>6</v>
      </c>
      <c r="FE33" s="13">
        <f>IF('Données projet'!$A$218&gt;35,FE32+FD33-FM32,IF(A33&lt;'Données projet'!$A$218,$FB$205^A33,IF(A33='Données projet'!$A$218,'Données projet'!$B$218,FE32+FD33-FM32)))</f>
        <v>112.99999999999999</v>
      </c>
      <c r="FF33" s="18">
        <f>FE33*VLOOKUP('Données projet'!$B$16,Paramètres!$A$1:$I$89,3,0)*VLOOKUP('Données projet'!$B$16,Paramètres!$A$1:$I$89,5,0)</f>
        <v>91.665599999999998</v>
      </c>
      <c r="FG33" s="14">
        <f t="shared" si="47"/>
        <v>24.966497888207439</v>
      </c>
      <c r="FH33" s="22">
        <f t="shared" si="22"/>
        <v>203.13423715529461</v>
      </c>
      <c r="FI33" s="60">
        <f t="shared" si="23"/>
        <v>442.24166208833662</v>
      </c>
      <c r="FJ33" s="60">
        <f ca="1">AVERAGE(OFFSET($FI$3,0,0,'Données projet'!$E$16+1,1))-AVERAGE(OFFSET($H$3,0,0,'Données projet'!$E$16+1,1))</f>
        <v>308.58270639204238</v>
      </c>
      <c r="FK33" s="60">
        <f t="shared" si="48"/>
        <v>258.90832875500325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21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97</v>
      </c>
      <c r="FX33" s="13">
        <f>VLOOKUP(A33,'Données projet'!$A$243:$I$263,9,0)</f>
        <v>7</v>
      </c>
      <c r="FY33" s="13">
        <f t="array" ref="FY33">INDEX(FX:FX,MIN(IF(ISNUMBER(FX33:FX229),ROW(FX33:FX229),"")))</f>
        <v>7</v>
      </c>
      <c r="FZ33" s="13">
        <f>IF('Données projet'!$A$244&gt;35,FZ32+FY33-GH32,IF(A33&lt;'Données projet'!$A$244,$FW$205^A33,IF(A33='Données projet'!$A$244,'Données projet'!$B$244,FZ32+FY33-GH32)))</f>
        <v>97</v>
      </c>
      <c r="GA33" s="18">
        <f>FZ33*VLOOKUP('Données projet'!$B$17,Paramètres!$A$1:$I$89,3,0)*VLOOKUP('Données projet'!$B$17,Paramètres!$A$1:$I$89,5,0)</f>
        <v>93.818400000000011</v>
      </c>
      <c r="GB33" s="14">
        <f t="shared" si="49"/>
        <v>25.483892312609182</v>
      </c>
      <c r="GC33" s="22">
        <f t="shared" si="25"/>
        <v>207.78482577779434</v>
      </c>
      <c r="GD33" s="60">
        <f t="shared" si="26"/>
        <v>446.89225071083632</v>
      </c>
      <c r="GE33" s="60">
        <f ca="1">AVERAGE(OFFSET($GD$3,0,0,'Données projet'!$E$17+1,1))-AVERAGE(OFFSET($H$3,0,0,'Données projet'!$E$17+1,1))</f>
        <v>495.77880062178235</v>
      </c>
      <c r="GF33" s="60">
        <f t="shared" si="50"/>
        <v>263.55891737750301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10.199999999999999</v>
      </c>
      <c r="N34" s="14">
        <f>IF('Données projet'!$A$36&gt;35,N33+M34-V33,IF(A34&lt;'Données projet'!$A$36,$K$205^A34,IF(A34='Données projet'!$A$36,'Données projet'!$B$36,N33+M34-V33)))</f>
        <v>126.20000000000002</v>
      </c>
      <c r="O34" s="14">
        <f>N34*VLOOKUP('Données projet'!$B$9,Paramètres!$A$1:$I$89,3,0)*VLOOKUP('Données projet'!$B$9,Paramètres!$A$1:$I$89,5,0)</f>
        <v>108.27960000000002</v>
      </c>
      <c r="P34" s="14">
        <f t="shared" si="33"/>
        <v>28.925273788969925</v>
      </c>
      <c r="Q34" s="22">
        <f t="shared" si="2"/>
        <v>238.96515518245596</v>
      </c>
      <c r="R34" s="60">
        <f t="shared" si="0"/>
        <v>479.01327839527352</v>
      </c>
      <c r="S34" s="60">
        <f ca="1">AVERAGE(OFFSET($R$3,0,0,'Données projet'!$E$9+1,1))-AVERAGE(OFFSET($H$3,0,0,'Données projet'!$E$9+1,1))</f>
        <v>598.73855311281966</v>
      </c>
      <c r="T34" s="60">
        <f t="shared" si="34"/>
        <v>275.88160405468193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105</v>
      </c>
      <c r="AJ34" s="14">
        <f>AI34*VLOOKUP('Données projet'!$B$10,Paramètres!$A$1:$I$89,3,0)*VLOOKUP('Données projet'!$B$10,Paramètres!$A$1:$I$89,5,0)</f>
        <v>106.47</v>
      </c>
      <c r="AK34" s="14">
        <f t="shared" si="35"/>
        <v>28.49771681771891</v>
      </c>
      <c r="AL34" s="22">
        <f t="shared" si="4"/>
        <v>235.06877345752704</v>
      </c>
      <c r="AM34" s="60">
        <f t="shared" si="5"/>
        <v>475.1168966703446</v>
      </c>
      <c r="AN34" s="60">
        <f ca="1">AVERAGE(OFFSET($AM$3,0,0,'Données projet'!$E$10+1,1))-AVERAGE(OFFSET($H$3,0,0,'Données projet'!$E$10+1,1))</f>
        <v>515.72324585399997</v>
      </c>
      <c r="AO34" s="60">
        <f t="shared" si="36"/>
        <v>273.35778700650792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102.85516800000001</v>
      </c>
      <c r="BF34" s="14">
        <f t="shared" si="37"/>
        <v>27.641083482825984</v>
      </c>
      <c r="BG34" s="22">
        <f t="shared" si="7"/>
        <v>227.28097133258856</v>
      </c>
      <c r="BH34" s="60">
        <f t="shared" si="8"/>
        <v>467.32909454540612</v>
      </c>
      <c r="BI34" s="60">
        <f ca="1">AVERAGE(OFFSET($BH$3,0,0,'Données projet'!$E$11+1,1))-AVERAGE(OFFSET($H$3,0,0,'Données projet'!$E$11+1,1))</f>
        <v>336.25341821407534</v>
      </c>
      <c r="BJ34" s="60">
        <f t="shared" si="38"/>
        <v>360.3246221345039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5.058027883305626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5.058027883305626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7.1794871794871824</v>
      </c>
      <c r="BY34" s="13">
        <f>IF('Données projet'!$A$114&gt;35,BY33+BX34-CG33,IF(A34&lt;'Données projet'!$A$114,$BV$205^A34,IF(A34='Données projet'!$A$114,'Données projet'!$B$114,BY33+BX34-CG33)))</f>
        <v>114.87179487179486</v>
      </c>
      <c r="BZ34" s="14">
        <f>BY34*VLOOKUP('Données projet'!$B$12,Paramètres!$A$1:$I$89,3,0)*VLOOKUP('Données projet'!$B$12,Paramètres!$A$1:$I$89,5,0)</f>
        <v>109.312</v>
      </c>
      <c r="CA34" s="14">
        <f t="shared" si="39"/>
        <v>29.168827262472544</v>
      </c>
      <c r="CB34" s="22">
        <f t="shared" si="10"/>
        <v>241.187440815473</v>
      </c>
      <c r="CC34" s="60">
        <f t="shared" si="11"/>
        <v>481.23556402829058</v>
      </c>
      <c r="CD34" s="60">
        <f ca="1">AVERAGE(OFFSET($CC$3,0,0,'Données projet'!$E$12+1,1))-AVERAGE(OFFSET($H$3,0,0,'Données projet'!$E$12+1,1))</f>
        <v>438.41611139377829</v>
      </c>
      <c r="CE34" s="60">
        <f t="shared" si="40"/>
        <v>345.17417065809605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12.919999999999998</v>
      </c>
      <c r="CT34" s="13">
        <f>IF('Données projet'!$A$140&gt;35,CT33+CS34-DB33,IF(A34&lt;'Données projet'!$A$140,$CQ$205^A34,IF(A34='Données projet'!$A$140,'Données projet'!$B$140,CT33+CS34-DB33)))</f>
        <v>189.71999999999997</v>
      </c>
      <c r="CU34" s="18">
        <f>CT34*VLOOKUP('Données projet'!$B$13,Paramètres!$A$1:$I$89,3,0)*VLOOKUP('Données projet'!$B$13,Paramètres!$A$1:$I$89,5,0)</f>
        <v>150.94123199999999</v>
      </c>
      <c r="CV34" s="14">
        <f t="shared" si="41"/>
        <v>38.792406036886817</v>
      </c>
      <c r="CW34" s="22">
        <f t="shared" si="13"/>
        <v>330.45275291424451</v>
      </c>
      <c r="CX34" s="60">
        <f t="shared" si="14"/>
        <v>570.50087612706204</v>
      </c>
      <c r="CY34" s="60">
        <f ca="1">AVERAGE(OFFSET($CX$3,0,0,'Données projet'!$E$13+1,1))-AVERAGE(OFFSET($H$3,0,0,'Données projet'!$E$13+1,1))</f>
        <v>395.27840703467933</v>
      </c>
      <c r="CZ34" s="60">
        <f t="shared" si="42"/>
        <v>364.24192380053944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13</v>
      </c>
      <c r="DO34" s="13">
        <f>IF('Données projet'!$A$166&gt;35,DO33+DN34-DW33,IF(A34&lt;'Données projet'!$A$166,$DL$205^A34,IF(A34='Données projet'!$A$166,'Données projet'!$B$166,DO33+DN34-DW33)))</f>
        <v>121</v>
      </c>
      <c r="DP34" s="18">
        <f>DO34*VLOOKUP('Données projet'!$B$14,Paramètres!$A$1:$I$89,3,0)*VLOOKUP('Données projet'!$B$14,Paramètres!$A$1:$I$89,5,0)</f>
        <v>94.38000000000001</v>
      </c>
      <c r="DQ34" s="14">
        <f t="shared" si="43"/>
        <v>25.618636348883211</v>
      </c>
      <c r="DR34" s="22">
        <f t="shared" si="16"/>
        <v>208.99762497430493</v>
      </c>
      <c r="DS34" s="60">
        <f t="shared" si="17"/>
        <v>449.04574818712251</v>
      </c>
      <c r="DT34" s="60">
        <f ca="1">AVERAGE(OFFSET($DS$3,0,0,'Données projet'!$E$14+1,1))-AVERAGE(OFFSET($H$3,0,0,'Données projet'!$E$14+1,1))</f>
        <v>308.76306523144956</v>
      </c>
      <c r="DU34" s="60">
        <f t="shared" si="44"/>
        <v>283.28099819802776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8.3333333333333375</v>
      </c>
      <c r="EJ34" s="13">
        <f>IF('Données projet'!$A$192&gt;35,EJ33+EI34-ER33,IF(A34&lt;'Données projet'!$A$192,$EG$205^A34,IF(A34='Données projet'!$A$192,'Données projet'!$B$192,EJ33+EI34-ER33)))</f>
        <v>141.66666666666666</v>
      </c>
      <c r="EK34" s="18">
        <f>EJ34*VLOOKUP('Données projet'!$B$15,Paramètres!$A$1:$I$89,3,0)*VLOOKUP('Données projet'!$B$15,Paramètres!$A$1:$I$89,5,0)</f>
        <v>95.03</v>
      </c>
      <c r="EL34" s="14">
        <f t="shared" si="45"/>
        <v>25.774473655280186</v>
      </c>
      <c r="EM34" s="22">
        <f t="shared" si="19"/>
        <v>210.40112494961298</v>
      </c>
      <c r="EN34" s="60">
        <f t="shared" si="20"/>
        <v>450.44924816243054</v>
      </c>
      <c r="EO34" s="60">
        <f ca="1">AVERAGE(OFFSET($EN$3,0,0,'Données projet'!$E$15+1,1))-AVERAGE(OFFSET($H$3,0,0,'Données projet'!$E$15+1,1))</f>
        <v>375.49921531693559</v>
      </c>
      <c r="EP34" s="60">
        <f t="shared" si="46"/>
        <v>306.93934681565599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5.8</v>
      </c>
      <c r="FE34" s="13">
        <f>IF('Données projet'!$A$218&gt;35,FE33+FD34-FM33,IF(A34&lt;'Données projet'!$A$218,$FB$205^A34,IF(A34='Données projet'!$A$218,'Données projet'!$B$218,FE33+FD34-FM33)))</f>
        <v>97.799999999999983</v>
      </c>
      <c r="FF34" s="18">
        <f>FE34*VLOOKUP('Données projet'!$B$16,Paramètres!$A$1:$I$89,3,0)*VLOOKUP('Données projet'!$B$16,Paramètres!$A$1:$I$89,5,0)</f>
        <v>79.335359999999994</v>
      </c>
      <c r="FG34" s="14">
        <f t="shared" si="47"/>
        <v>21.974597372641874</v>
      </c>
      <c r="FH34" s="22">
        <f t="shared" si="22"/>
        <v>176.44817575735124</v>
      </c>
      <c r="FI34" s="60">
        <f t="shared" si="23"/>
        <v>416.49629897016882</v>
      </c>
      <c r="FJ34" s="60">
        <f ca="1">AVERAGE(OFFSET($FI$3,0,0,'Données projet'!$E$16+1,1))-AVERAGE(OFFSET($H$3,0,0,'Données projet'!$E$16+1,1))</f>
        <v>308.58270639204238</v>
      </c>
      <c r="FK34" s="60">
        <f t="shared" si="48"/>
        <v>258.90832875500325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</v>
      </c>
      <c r="FZ34" s="13">
        <f>IF('Données projet'!$A$244&gt;35,FZ33+FY34-GH33,IF(A34&lt;'Données projet'!$A$244,$FW$205^A34,IF(A34='Données projet'!$A$244,'Données projet'!$B$244,FZ33+FY34-GH33)))</f>
        <v>105</v>
      </c>
      <c r="GA34" s="18">
        <f>FZ34*VLOOKUP('Données projet'!$B$17,Paramètres!$A$1:$I$89,3,0)*VLOOKUP('Données projet'!$B$17,Paramètres!$A$1:$I$89,5,0)</f>
        <v>101.556</v>
      </c>
      <c r="GB34" s="14">
        <f t="shared" si="49"/>
        <v>27.332359320696909</v>
      </c>
      <c r="GC34" s="22">
        <f t="shared" si="25"/>
        <v>224.48055915021379</v>
      </c>
      <c r="GD34" s="60">
        <f t="shared" si="26"/>
        <v>464.52868236303135</v>
      </c>
      <c r="GE34" s="60">
        <f ca="1">AVERAGE(OFFSET($GD$3,0,0,'Données projet'!$E$17+1,1))-AVERAGE(OFFSET($H$3,0,0,'Données projet'!$E$17+1,1))</f>
        <v>495.77880062178235</v>
      </c>
      <c r="GF34" s="60">
        <f t="shared" si="50"/>
        <v>263.55891737750301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10.199999999999999</v>
      </c>
      <c r="N35" s="14">
        <f>IF('Données projet'!$A$36&gt;35,N34+M35-V34,IF(A35&lt;'Données projet'!$A$36,$K$205^A35,IF(A35='Données projet'!$A$36,'Données projet'!$B$36,N34+M35-V34)))</f>
        <v>136.4</v>
      </c>
      <c r="O35" s="14">
        <f>N35*VLOOKUP('Données projet'!$B$9,Paramètres!$A$1:$I$89,3,0)*VLOOKUP('Données projet'!$B$9,Paramètres!$A$1:$I$89,5,0)</f>
        <v>117.03120000000003</v>
      </c>
      <c r="P35" s="14">
        <f t="shared" si="33"/>
        <v>30.981569147428555</v>
      </c>
      <c r="Q35" s="22">
        <f t="shared" ref="Q35:Q66" si="53">(O35+P35)*0.475*44/12</f>
        <v>257.78890626510474</v>
      </c>
      <c r="R35" s="60">
        <f t="shared" si="0"/>
        <v>498.76140874563009</v>
      </c>
      <c r="S35" s="60">
        <f ca="1">AVERAGE(OFFSET($R$3,0,0,'Données projet'!$E$9+1,1))-AVERAGE(OFFSET($H$3,0,0,'Données projet'!$E$9+1,1))</f>
        <v>598.73855311281966</v>
      </c>
      <c r="T35" s="60">
        <f t="shared" si="34"/>
        <v>275.88160405468193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113</v>
      </c>
      <c r="AJ35" s="14">
        <f>AI35*VLOOKUP('Données projet'!$B$10,Paramètres!$A$1:$I$89,3,0)*VLOOKUP('Données projet'!$B$10,Paramètres!$A$1:$I$89,5,0)</f>
        <v>114.58200000000001</v>
      </c>
      <c r="AK35" s="14">
        <f t="shared" si="35"/>
        <v>30.407962048850919</v>
      </c>
      <c r="AL35" s="22">
        <f t="shared" si="4"/>
        <v>252.52418390174873</v>
      </c>
      <c r="AM35" s="60">
        <f t="shared" si="5"/>
        <v>493.49668638227405</v>
      </c>
      <c r="AN35" s="60">
        <f ca="1">AVERAGE(OFFSET($AM$3,0,0,'Données projet'!$E$10+1,1))-AVERAGE(OFFSET($H$3,0,0,'Données projet'!$E$10+1,1))</f>
        <v>515.72324585399997</v>
      </c>
      <c r="AO35" s="60">
        <f t="shared" si="36"/>
        <v>273.35778700650792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111.431736</v>
      </c>
      <c r="BF35" s="14">
        <f t="shared" si="37"/>
        <v>29.668058438201339</v>
      </c>
      <c r="BG35" s="22">
        <f t="shared" si="7"/>
        <v>245.74880864653403</v>
      </c>
      <c r="BH35" s="60">
        <f t="shared" si="8"/>
        <v>486.72131112705938</v>
      </c>
      <c r="BI35" s="60">
        <f ca="1">AVERAGE(OFFSET($BH$3,0,0,'Données projet'!$E$11+1,1))-AVERAGE(OFFSET($H$3,0,0,'Données projet'!$E$11+1,1))</f>
        <v>336.25341821407534</v>
      </c>
      <c r="BJ35" s="60">
        <f t="shared" si="38"/>
        <v>360.3246221345039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4.9197158448465075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4.9197158448465075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7.1794871794871824</v>
      </c>
      <c r="BY35" s="13">
        <f>IF('Données projet'!$A$114&gt;35,BY34+BX35-CG34,IF(A35&lt;'Données projet'!$A$114,$BV$205^A35,IF(A35='Données projet'!$A$114,'Données projet'!$B$114,BY34+BX35-CG34)))</f>
        <v>122.05128205128204</v>
      </c>
      <c r="BZ35" s="14">
        <f>BY35*VLOOKUP('Données projet'!$B$12,Paramètres!$A$1:$I$89,3,0)*VLOOKUP('Données projet'!$B$12,Paramètres!$A$1:$I$89,5,0)</f>
        <v>116.14400000000001</v>
      </c>
      <c r="CA35" s="14">
        <f t="shared" si="39"/>
        <v>30.773948229686635</v>
      </c>
      <c r="CB35" s="22">
        <f t="shared" si="10"/>
        <v>255.88209316670418</v>
      </c>
      <c r="CC35" s="60">
        <f t="shared" si="11"/>
        <v>496.85459564722953</v>
      </c>
      <c r="CD35" s="60">
        <f ca="1">AVERAGE(OFFSET($CC$3,0,0,'Données projet'!$E$12+1,1))-AVERAGE(OFFSET($H$3,0,0,'Données projet'!$E$12+1,1))</f>
        <v>438.41611139377829</v>
      </c>
      <c r="CE35" s="60">
        <f t="shared" si="40"/>
        <v>345.17417065809605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12.919999999999998</v>
      </c>
      <c r="CT35" s="13">
        <f>IF('Données projet'!$A$140&gt;35,CT34+CS35-DB34,IF(A35&lt;'Données projet'!$A$140,$CQ$205^A35,IF(A35='Données projet'!$A$140,'Données projet'!$B$140,CT34+CS35-DB34)))</f>
        <v>202.63999999999996</v>
      </c>
      <c r="CU35" s="18">
        <f>CT35*VLOOKUP('Données projet'!$B$13,Paramètres!$A$1:$I$89,3,0)*VLOOKUP('Données projet'!$B$13,Paramètres!$A$1:$I$89,5,0)</f>
        <v>161.22038399999997</v>
      </c>
      <c r="CV35" s="14">
        <f t="shared" si="41"/>
        <v>41.117654577426968</v>
      </c>
      <c r="CW35" s="22">
        <f t="shared" si="13"/>
        <v>352.40541718901858</v>
      </c>
      <c r="CX35" s="60">
        <f t="shared" si="14"/>
        <v>593.37791966954387</v>
      </c>
      <c r="CY35" s="60">
        <f ca="1">AVERAGE(OFFSET($CX$3,0,0,'Données projet'!$E$13+1,1))-AVERAGE(OFFSET($H$3,0,0,'Données projet'!$E$13+1,1))</f>
        <v>395.27840703467933</v>
      </c>
      <c r="CZ35" s="60">
        <f t="shared" si="42"/>
        <v>364.24192380053944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13</v>
      </c>
      <c r="DO35" s="13">
        <f>IF('Données projet'!$A$166&gt;35,DO34+DN35-DW34,IF(A35&lt;'Données projet'!$A$166,$DL$205^A35,IF(A35='Données projet'!$A$166,'Données projet'!$B$166,DO34+DN35-DW34)))</f>
        <v>134</v>
      </c>
      <c r="DP35" s="18">
        <f>DO35*VLOOKUP('Données projet'!$B$14,Paramètres!$A$1:$I$89,3,0)*VLOOKUP('Données projet'!$B$14,Paramètres!$A$1:$I$89,5,0)</f>
        <v>104.52000000000001</v>
      </c>
      <c r="DQ35" s="14">
        <f t="shared" si="43"/>
        <v>28.036039012748962</v>
      </c>
      <c r="DR35" s="22">
        <f t="shared" si="16"/>
        <v>230.86843461387113</v>
      </c>
      <c r="DS35" s="60">
        <f t="shared" si="17"/>
        <v>471.84093709439645</v>
      </c>
      <c r="DT35" s="60">
        <f ca="1">AVERAGE(OFFSET($DS$3,0,0,'Données projet'!$E$14+1,1))-AVERAGE(OFFSET($H$3,0,0,'Données projet'!$E$14+1,1))</f>
        <v>308.76306523144956</v>
      </c>
      <c r="DU35" s="60">
        <f t="shared" si="44"/>
        <v>283.28099819802776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8.3333333333333375</v>
      </c>
      <c r="EJ35" s="13">
        <f>IF('Données projet'!$A$192&gt;35,EJ34+EI35-ER34,IF(A35&lt;'Données projet'!$A$192,$EG$205^A35,IF(A35='Données projet'!$A$192,'Données projet'!$B$192,EJ34+EI35-ER34)))</f>
        <v>150</v>
      </c>
      <c r="EK35" s="18">
        <f>EJ35*VLOOKUP('Données projet'!$B$15,Paramètres!$A$1:$I$89,3,0)*VLOOKUP('Données projet'!$B$15,Paramètres!$A$1:$I$89,5,0)</f>
        <v>100.62</v>
      </c>
      <c r="EL35" s="14">
        <f t="shared" si="45"/>
        <v>27.10965082293415</v>
      </c>
      <c r="EM35" s="22">
        <f t="shared" si="19"/>
        <v>222.46247518327698</v>
      </c>
      <c r="EN35" s="60">
        <f t="shared" si="20"/>
        <v>463.43497766380233</v>
      </c>
      <c r="EO35" s="60">
        <f ca="1">AVERAGE(OFFSET($EN$3,0,0,'Données projet'!$E$15+1,1))-AVERAGE(OFFSET($H$3,0,0,'Données projet'!$E$15+1,1))</f>
        <v>375.49921531693559</v>
      </c>
      <c r="EP35" s="60">
        <f t="shared" si="46"/>
        <v>306.93934681565599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5.8</v>
      </c>
      <c r="FE35" s="13">
        <f>IF('Données projet'!$A$218&gt;35,FE34+FD35-FM34,IF(A35&lt;'Données projet'!$A$218,$FB$205^A35,IF(A35='Données projet'!$A$218,'Données projet'!$B$218,FE34+FD35-FM34)))</f>
        <v>103.59999999999998</v>
      </c>
      <c r="FF35" s="18">
        <f>FE35*VLOOKUP('Données projet'!$B$16,Paramètres!$A$1:$I$89,3,0)*VLOOKUP('Données projet'!$B$16,Paramètres!$A$1:$I$89,5,0)</f>
        <v>84.040319999999994</v>
      </c>
      <c r="FG35" s="14">
        <f t="shared" si="47"/>
        <v>23.122212826195224</v>
      </c>
      <c r="FH35" s="22">
        <f t="shared" si="22"/>
        <v>186.64141133895666</v>
      </c>
      <c r="FI35" s="60">
        <f t="shared" si="23"/>
        <v>427.61391381948198</v>
      </c>
      <c r="FJ35" s="60">
        <f ca="1">AVERAGE(OFFSET($FI$3,0,0,'Données projet'!$E$16+1,1))-AVERAGE(OFFSET($H$3,0,0,'Données projet'!$E$16+1,1))</f>
        <v>308.58270639204238</v>
      </c>
      <c r="FK35" s="60">
        <f t="shared" si="48"/>
        <v>258.90832875500325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</v>
      </c>
      <c r="FZ35" s="13">
        <f>IF('Données projet'!$A$244&gt;35,FZ34+FY35-GH34,IF(A35&lt;'Données projet'!$A$244,$FW$205^A35,IF(A35='Données projet'!$A$244,'Données projet'!$B$244,FZ34+FY35-GH34)))</f>
        <v>113</v>
      </c>
      <c r="GA35" s="18">
        <f>FZ35*VLOOKUP('Données projet'!$B$17,Paramètres!$A$1:$I$89,3,0)*VLOOKUP('Données projet'!$B$17,Paramètres!$A$1:$I$89,5,0)</f>
        <v>109.29360000000001</v>
      </c>
      <c r="GB35" s="14">
        <f t="shared" si="49"/>
        <v>29.16448886924675</v>
      </c>
      <c r="GC35" s="22">
        <f t="shared" si="25"/>
        <v>241.14783811393806</v>
      </c>
      <c r="GD35" s="60">
        <f t="shared" si="26"/>
        <v>482.12034059446341</v>
      </c>
      <c r="GE35" s="60">
        <f ca="1">AVERAGE(OFFSET($GD$3,0,0,'Données projet'!$E$17+1,1))-AVERAGE(OFFSET($H$3,0,0,'Données projet'!$E$17+1,1))</f>
        <v>495.77880062178235</v>
      </c>
      <c r="GF35" s="60">
        <f t="shared" si="50"/>
        <v>263.55891737750301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10.199999999999999</v>
      </c>
      <c r="N36" s="14">
        <f>IF('Données projet'!$A$36&gt;35,N35+M36-V35,IF(A36&lt;'Données projet'!$A$36,$K$205^A36,IF(A36='Données projet'!$A$36,'Données projet'!$B$36,N35+M36-V35)))</f>
        <v>146.6</v>
      </c>
      <c r="O36" s="14">
        <f>N36*VLOOKUP('Données projet'!$B$9,Paramètres!$A$1:$I$89,3,0)*VLOOKUP('Données projet'!$B$9,Paramètres!$A$1:$I$89,5,0)</f>
        <v>125.78280000000002</v>
      </c>
      <c r="P36" s="14">
        <f t="shared" si="33"/>
        <v>33.020025823870341</v>
      </c>
      <c r="Q36" s="22">
        <f t="shared" si="53"/>
        <v>276.58158830990754</v>
      </c>
      <c r="R36" s="60">
        <f t="shared" si="0"/>
        <v>518.46243414444825</v>
      </c>
      <c r="S36" s="60">
        <f ca="1">AVERAGE(OFFSET($R$3,0,0,'Données projet'!$E$9+1,1))-AVERAGE(OFFSET($H$3,0,0,'Données projet'!$E$9+1,1))</f>
        <v>598.73855311281966</v>
      </c>
      <c r="T36" s="60">
        <f t="shared" si="34"/>
        <v>275.88160405468193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121</v>
      </c>
      <c r="AJ36" s="14">
        <f>AI36*VLOOKUP('Données projet'!$B$10,Paramètres!$A$1:$I$89,3,0)*VLOOKUP('Données projet'!$B$10,Paramètres!$A$1:$I$89,5,0)</f>
        <v>122.69400000000002</v>
      </c>
      <c r="AK36" s="14">
        <f t="shared" si="35"/>
        <v>32.302516360650685</v>
      </c>
      <c r="AL36" s="22">
        <f t="shared" si="4"/>
        <v>269.95226599479992</v>
      </c>
      <c r="AM36" s="60">
        <f t="shared" si="5"/>
        <v>511.83311182934062</v>
      </c>
      <c r="AN36" s="60">
        <f ca="1">AVERAGE(OFFSET($AM$3,0,0,'Données projet'!$E$10+1,1))-AVERAGE(OFFSET($H$3,0,0,'Données projet'!$E$10+1,1))</f>
        <v>515.72324585399997</v>
      </c>
      <c r="AO36" s="60">
        <f t="shared" si="36"/>
        <v>273.35778700650792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120.008304</v>
      </c>
      <c r="BF36" s="14">
        <f t="shared" si="37"/>
        <v>31.676936057955846</v>
      </c>
      <c r="BG36" s="22">
        <f t="shared" si="7"/>
        <v>264.18512643427306</v>
      </c>
      <c r="BH36" s="60">
        <f t="shared" si="8"/>
        <v>506.06597226881377</v>
      </c>
      <c r="BI36" s="60">
        <f ca="1">AVERAGE(OFFSET($BH$3,0,0,'Données projet'!$E$11+1,1))-AVERAGE(OFFSET($H$3,0,0,'Données projet'!$E$11+1,1))</f>
        <v>336.25341821407534</v>
      </c>
      <c r="BJ36" s="60">
        <f t="shared" si="38"/>
        <v>360.3246221345039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4.785185956352568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4.785185956352568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7.1794871794871824</v>
      </c>
      <c r="BY36" s="13">
        <f>IF('Données projet'!$A$114&gt;35,BY35+BX36-CG35,IF(A36&lt;'Données projet'!$A$114,$BV$205^A36,IF(A36='Données projet'!$A$114,'Données projet'!$B$114,BY35+BX36-CG35)))</f>
        <v>129.23076923076923</v>
      </c>
      <c r="BZ36" s="14">
        <f>BY36*VLOOKUP('Données projet'!$B$12,Paramètres!$A$1:$I$89,3,0)*VLOOKUP('Données projet'!$B$12,Paramètres!$A$1:$I$89,5,0)</f>
        <v>122.97599999999998</v>
      </c>
      <c r="CA36" s="14">
        <f t="shared" si="39"/>
        <v>32.368109708379897</v>
      </c>
      <c r="CB36" s="22">
        <f t="shared" si="10"/>
        <v>270.55765774209493</v>
      </c>
      <c r="CC36" s="60">
        <f t="shared" si="11"/>
        <v>512.43850357663564</v>
      </c>
      <c r="CD36" s="60">
        <f ca="1">AVERAGE(OFFSET($CC$3,0,0,'Données projet'!$E$12+1,1))-AVERAGE(OFFSET($H$3,0,0,'Données projet'!$E$12+1,1))</f>
        <v>438.41611139377829</v>
      </c>
      <c r="CE36" s="60">
        <f t="shared" si="40"/>
        <v>345.17417065809605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12.919999999999998</v>
      </c>
      <c r="CT36" s="13">
        <f>IF('Données projet'!$A$140&gt;35,CT35+CS36-DB35,IF(A36&lt;'Données projet'!$A$140,$CQ$205^A36,IF(A36='Données projet'!$A$140,'Données projet'!$B$140,CT35+CS36-DB35)))</f>
        <v>215.55999999999995</v>
      </c>
      <c r="CU36" s="18">
        <f>CT36*VLOOKUP('Données projet'!$B$13,Paramètres!$A$1:$I$89,3,0)*VLOOKUP('Données projet'!$B$13,Paramètres!$A$1:$I$89,5,0)</f>
        <v>171.49953599999998</v>
      </c>
      <c r="CV36" s="14">
        <f t="shared" si="41"/>
        <v>43.425697916057537</v>
      </c>
      <c r="CW36" s="22">
        <f t="shared" si="13"/>
        <v>374.32811573713349</v>
      </c>
      <c r="CX36" s="60">
        <f t="shared" si="14"/>
        <v>616.20896157167419</v>
      </c>
      <c r="CY36" s="60">
        <f ca="1">AVERAGE(OFFSET($CX$3,0,0,'Données projet'!$E$13+1,1))-AVERAGE(OFFSET($H$3,0,0,'Données projet'!$E$13+1,1))</f>
        <v>395.27840703467933</v>
      </c>
      <c r="CZ36" s="60">
        <f t="shared" si="42"/>
        <v>364.24192380053944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13</v>
      </c>
      <c r="DO36" s="13">
        <f>IF('Données projet'!$A$166&gt;35,DO35+DN36-DW35,IF(A36&lt;'Données projet'!$A$166,$DL$205^A36,IF(A36='Données projet'!$A$166,'Données projet'!$B$166,DO35+DN36-DW35)))</f>
        <v>147</v>
      </c>
      <c r="DP36" s="18">
        <f>DO36*VLOOKUP('Données projet'!$B$14,Paramètres!$A$1:$I$89,3,0)*VLOOKUP('Données projet'!$B$14,Paramètres!$A$1:$I$89,5,0)</f>
        <v>114.66000000000001</v>
      </c>
      <c r="DQ36" s="14">
        <f t="shared" si="43"/>
        <v>30.426251641117418</v>
      </c>
      <c r="DR36" s="22">
        <f t="shared" si="16"/>
        <v>252.69188827494614</v>
      </c>
      <c r="DS36" s="60">
        <f t="shared" si="17"/>
        <v>494.57273410948687</v>
      </c>
      <c r="DT36" s="60">
        <f ca="1">AVERAGE(OFFSET($DS$3,0,0,'Données projet'!$E$14+1,1))-AVERAGE(OFFSET($H$3,0,0,'Données projet'!$E$14+1,1))</f>
        <v>308.76306523144956</v>
      </c>
      <c r="DU36" s="60">
        <f t="shared" si="44"/>
        <v>283.28099819802776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8.3333333333333375</v>
      </c>
      <c r="EJ36" s="13">
        <f>IF('Données projet'!$A$192&gt;35,EJ35+EI36-ER35,IF(A36&lt;'Données projet'!$A$192,$EG$205^A36,IF(A36='Données projet'!$A$192,'Données projet'!$B$192,EJ35+EI36-ER35)))</f>
        <v>158.33333333333334</v>
      </c>
      <c r="EK36" s="18">
        <f>EJ36*VLOOKUP('Données projet'!$B$15,Paramètres!$A$1:$I$89,3,0)*VLOOKUP('Données projet'!$B$15,Paramètres!$A$1:$I$89,5,0)</f>
        <v>106.21000000000002</v>
      </c>
      <c r="EL36" s="14">
        <f t="shared" si="45"/>
        <v>28.436217026228483</v>
      </c>
      <c r="EM36" s="22">
        <f t="shared" si="19"/>
        <v>234.50882798734798</v>
      </c>
      <c r="EN36" s="60">
        <f t="shared" si="20"/>
        <v>476.38967382188872</v>
      </c>
      <c r="EO36" s="60">
        <f ca="1">AVERAGE(OFFSET($EN$3,0,0,'Données projet'!$E$15+1,1))-AVERAGE(OFFSET($H$3,0,0,'Données projet'!$E$15+1,1))</f>
        <v>375.49921531693559</v>
      </c>
      <c r="EP36" s="60">
        <f t="shared" si="46"/>
        <v>306.93934681565599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5.8</v>
      </c>
      <c r="FE36" s="13">
        <f>IF('Données projet'!$A$218&gt;35,FE35+FD36-FM35,IF(A36&lt;'Données projet'!$A$218,$FB$205^A36,IF(A36='Données projet'!$A$218,'Données projet'!$B$218,FE35+FD36-FM35)))</f>
        <v>109.39999999999998</v>
      </c>
      <c r="FF36" s="18">
        <f>FE36*VLOOKUP('Données projet'!$B$16,Paramètres!$A$1:$I$89,3,0)*VLOOKUP('Données projet'!$B$16,Paramètres!$A$1:$I$89,5,0)</f>
        <v>88.745279999999994</v>
      </c>
      <c r="FG36" s="14">
        <f t="shared" si="47"/>
        <v>24.262369928218718</v>
      </c>
      <c r="FH36" s="22">
        <f t="shared" si="22"/>
        <v>196.82165695831426</v>
      </c>
      <c r="FI36" s="60">
        <f t="shared" si="23"/>
        <v>438.702502792855</v>
      </c>
      <c r="FJ36" s="60">
        <f ca="1">AVERAGE(OFFSET($FI$3,0,0,'Données projet'!$E$16+1,1))-AVERAGE(OFFSET($H$3,0,0,'Données projet'!$E$16+1,1))</f>
        <v>308.58270639204238</v>
      </c>
      <c r="FK36" s="60">
        <f t="shared" si="48"/>
        <v>258.90832875500325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</v>
      </c>
      <c r="FZ36" s="13">
        <f>IF('Données projet'!$A$244&gt;35,FZ35+FY36-GH35,IF(A36&lt;'Données projet'!$A$244,$FW$205^A36,IF(A36='Données projet'!$A$244,'Données projet'!$B$244,FZ35+FY36-GH35)))</f>
        <v>121</v>
      </c>
      <c r="GA36" s="18">
        <f>FZ36*VLOOKUP('Données projet'!$B$17,Paramètres!$A$1:$I$89,3,0)*VLOOKUP('Données projet'!$B$17,Paramètres!$A$1:$I$89,5,0)</f>
        <v>117.0312</v>
      </c>
      <c r="GB36" s="14">
        <f t="shared" si="49"/>
        <v>30.981569147428527</v>
      </c>
      <c r="GC36" s="22">
        <f t="shared" si="25"/>
        <v>257.78890626510469</v>
      </c>
      <c r="GD36" s="60">
        <f t="shared" si="26"/>
        <v>499.66975209964539</v>
      </c>
      <c r="GE36" s="60">
        <f ca="1">AVERAGE(OFFSET($GD$3,0,0,'Données projet'!$E$17+1,1))-AVERAGE(OFFSET($H$3,0,0,'Données projet'!$E$17+1,1))</f>
        <v>495.77880062178235</v>
      </c>
      <c r="GF36" s="60">
        <f t="shared" si="50"/>
        <v>263.55891737750301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10.199999999999999</v>
      </c>
      <c r="N37" s="14">
        <f>IF('Données projet'!$A$36&gt;35,N36+M37-V36,IF(A37&lt;'Données projet'!$A$36,$K$205^A37,IF(A37='Données projet'!$A$36,'Données projet'!$B$36,N36+M37-V36)))</f>
        <v>156.79999999999998</v>
      </c>
      <c r="O37" s="14">
        <f>N37*VLOOKUP('Données projet'!$B$9,Paramètres!$A$1:$I$89,3,0)*VLOOKUP('Données projet'!$B$9,Paramètres!$A$1:$I$89,5,0)</f>
        <v>134.53440000000001</v>
      </c>
      <c r="P37" s="14">
        <f t="shared" si="33"/>
        <v>35.042026165482234</v>
      </c>
      <c r="Q37" s="22">
        <f t="shared" si="53"/>
        <v>295.34560890488154</v>
      </c>
      <c r="R37" s="60">
        <f t="shared" si="0"/>
        <v>538.11904036699707</v>
      </c>
      <c r="S37" s="60">
        <f ca="1">AVERAGE(OFFSET($R$3,0,0,'Données projet'!$E$9+1,1))-AVERAGE(OFFSET($H$3,0,0,'Données projet'!$E$9+1,1))</f>
        <v>598.73855311281966</v>
      </c>
      <c r="T37" s="60">
        <f t="shared" si="34"/>
        <v>275.88160405468193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129</v>
      </c>
      <c r="AJ37" s="14">
        <f>AI37*VLOOKUP('Données projet'!$B$10,Paramètres!$A$1:$I$89,3,0)*VLOOKUP('Données projet'!$B$10,Paramètres!$A$1:$I$89,5,0)</f>
        <v>130.80600000000001</v>
      </c>
      <c r="AK37" s="14">
        <f t="shared" si="35"/>
        <v>34.182535218254564</v>
      </c>
      <c r="AL37" s="22">
        <f t="shared" si="4"/>
        <v>287.35503217179337</v>
      </c>
      <c r="AM37" s="60">
        <f t="shared" si="5"/>
        <v>530.12846363390895</v>
      </c>
      <c r="AN37" s="60">
        <f ca="1">AVERAGE(OFFSET($AM$3,0,0,'Données projet'!$E$10+1,1))-AVERAGE(OFFSET($H$3,0,0,'Données projet'!$E$10+1,1))</f>
        <v>515.72324585399997</v>
      </c>
      <c r="AO37" s="60">
        <f t="shared" si="36"/>
        <v>273.35778700650792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128.58487200000002</v>
      </c>
      <c r="BF37" s="14">
        <f t="shared" si="37"/>
        <v>33.669156791917978</v>
      </c>
      <c r="BG37" s="22">
        <f t="shared" si="7"/>
        <v>282.59243347925718</v>
      </c>
      <c r="BH37" s="60">
        <f t="shared" si="8"/>
        <v>525.36586494137282</v>
      </c>
      <c r="BI37" s="60">
        <f ca="1">AVERAGE(OFFSET($BH$3,0,0,'Données projet'!$E$11+1,1))-AVERAGE(OFFSET($H$3,0,0,'Données projet'!$E$11+1,1))</f>
        <v>336.25341821407534</v>
      </c>
      <c r="BJ37" s="60">
        <f t="shared" si="38"/>
        <v>360.3246221345039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4.6543347947341145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4.6543347947341145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7.1794871794871824</v>
      </c>
      <c r="BY37" s="13">
        <f>IF('Données projet'!$A$114&gt;35,BY36+BX37-CG36,IF(A37&lt;'Données projet'!$A$114,$BV$205^A37,IF(A37='Données projet'!$A$114,'Données projet'!$B$114,BY36+BX37-CG36)))</f>
        <v>136.41025641025641</v>
      </c>
      <c r="BZ37" s="14">
        <f>BY37*VLOOKUP('Données projet'!$B$12,Paramètres!$A$1:$I$89,3,0)*VLOOKUP('Données projet'!$B$12,Paramètres!$A$1:$I$89,5,0)</f>
        <v>129.80799999999999</v>
      </c>
      <c r="CA37" s="14">
        <f t="shared" si="39"/>
        <v>33.951989953983613</v>
      </c>
      <c r="CB37" s="22">
        <f t="shared" si="10"/>
        <v>285.21531583652148</v>
      </c>
      <c r="CC37" s="60">
        <f t="shared" si="11"/>
        <v>527.98874729863701</v>
      </c>
      <c r="CD37" s="60">
        <f ca="1">AVERAGE(OFFSET($CC$3,0,0,'Données projet'!$E$12+1,1))-AVERAGE(OFFSET($H$3,0,0,'Données projet'!$E$12+1,1))</f>
        <v>438.41611139377829</v>
      </c>
      <c r="CE37" s="60">
        <f t="shared" si="40"/>
        <v>345.17417065809605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12.919999999999998</v>
      </c>
      <c r="CT37" s="13">
        <f>IF('Données projet'!$A$140&gt;35,CT36+CS37-DB36,IF(A37&lt;'Données projet'!$A$140,$CQ$205^A37,IF(A37='Données projet'!$A$140,'Données projet'!$B$140,CT36+CS37-DB36)))</f>
        <v>228.47999999999993</v>
      </c>
      <c r="CU37" s="18">
        <f>CT37*VLOOKUP('Données projet'!$B$13,Paramètres!$A$1:$I$89,3,0)*VLOOKUP('Données projet'!$B$13,Paramètres!$A$1:$I$89,5,0)</f>
        <v>181.77868799999996</v>
      </c>
      <c r="CV37" s="14">
        <f t="shared" si="41"/>
        <v>45.717684723491686</v>
      </c>
      <c r="CW37" s="22">
        <f t="shared" si="13"/>
        <v>396.2228491600813</v>
      </c>
      <c r="CX37" s="60">
        <f t="shared" si="14"/>
        <v>638.99628062219688</v>
      </c>
      <c r="CY37" s="60">
        <f ca="1">AVERAGE(OFFSET($CX$3,0,0,'Données projet'!$E$13+1,1))-AVERAGE(OFFSET($H$3,0,0,'Données projet'!$E$13+1,1))</f>
        <v>395.27840703467933</v>
      </c>
      <c r="CZ37" s="60">
        <f t="shared" si="42"/>
        <v>364.24192380053944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13</v>
      </c>
      <c r="DO37" s="13">
        <f>IF('Données projet'!$A$166&gt;35,DO36+DN37-DW36,IF(A37&lt;'Données projet'!$A$166,$DL$205^A37,IF(A37='Données projet'!$A$166,'Données projet'!$B$166,DO36+DN37-DW36)))</f>
        <v>160</v>
      </c>
      <c r="DP37" s="18">
        <f>DO37*VLOOKUP('Données projet'!$B$14,Paramètres!$A$1:$I$89,3,0)*VLOOKUP('Données projet'!$B$14,Paramètres!$A$1:$I$89,5,0)</f>
        <v>124.80000000000001</v>
      </c>
      <c r="DQ37" s="14">
        <f t="shared" si="43"/>
        <v>32.791952217579265</v>
      </c>
      <c r="DR37" s="22">
        <f t="shared" si="16"/>
        <v>274.47265011228387</v>
      </c>
      <c r="DS37" s="60">
        <f t="shared" si="17"/>
        <v>517.24608157439945</v>
      </c>
      <c r="DT37" s="60">
        <f ca="1">AVERAGE(OFFSET($DS$3,0,0,'Données projet'!$E$14+1,1))-AVERAGE(OFFSET($H$3,0,0,'Données projet'!$E$14+1,1))</f>
        <v>308.76306523144956</v>
      </c>
      <c r="DU37" s="60">
        <f t="shared" si="44"/>
        <v>283.28099819802776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8.3333333333333375</v>
      </c>
      <c r="EJ37" s="13">
        <f>IF('Données projet'!$A$192&gt;35,EJ36+EI37-ER36,IF(A37&lt;'Données projet'!$A$192,$EG$205^A37,IF(A37='Données projet'!$A$192,'Données projet'!$B$192,EJ36+EI37-ER36)))</f>
        <v>166.66666666666669</v>
      </c>
      <c r="EK37" s="18">
        <f>EJ37*VLOOKUP('Données projet'!$B$15,Paramètres!$A$1:$I$89,3,0)*VLOOKUP('Données projet'!$B$15,Paramètres!$A$1:$I$89,5,0)</f>
        <v>111.80000000000001</v>
      </c>
      <c r="EL37" s="14">
        <f t="shared" si="45"/>
        <v>29.75467715869992</v>
      </c>
      <c r="EM37" s="22">
        <f t="shared" si="19"/>
        <v>246.54106271806896</v>
      </c>
      <c r="EN37" s="60">
        <f t="shared" si="20"/>
        <v>489.31449418018451</v>
      </c>
      <c r="EO37" s="60">
        <f ca="1">AVERAGE(OFFSET($EN$3,0,0,'Données projet'!$E$15+1,1))-AVERAGE(OFFSET($H$3,0,0,'Données projet'!$E$15+1,1))</f>
        <v>375.49921531693559</v>
      </c>
      <c r="EP37" s="60">
        <f t="shared" si="46"/>
        <v>306.93934681565599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5.8</v>
      </c>
      <c r="FE37" s="13">
        <f>IF('Données projet'!$A$218&gt;35,FE36+FD37-FM36,IF(A37&lt;'Données projet'!$A$218,$FB$205^A37,IF(A37='Données projet'!$A$218,'Données projet'!$B$218,FE36+FD37-FM36)))</f>
        <v>115.19999999999997</v>
      </c>
      <c r="FF37" s="18">
        <f>FE37*VLOOKUP('Données projet'!$B$16,Paramètres!$A$1:$I$89,3,0)*VLOOKUP('Données projet'!$B$16,Paramètres!$A$1:$I$89,5,0)</f>
        <v>93.45023999999998</v>
      </c>
      <c r="FG37" s="14">
        <f t="shared" si="47"/>
        <v>25.395509184428445</v>
      </c>
      <c r="FH37" s="22">
        <f t="shared" si="22"/>
        <v>206.98967982954616</v>
      </c>
      <c r="FI37" s="60">
        <f t="shared" si="23"/>
        <v>449.76311129166174</v>
      </c>
      <c r="FJ37" s="60">
        <f ca="1">AVERAGE(OFFSET($FI$3,0,0,'Données projet'!$E$16+1,1))-AVERAGE(OFFSET($H$3,0,0,'Données projet'!$E$16+1,1))</f>
        <v>308.58270639204238</v>
      </c>
      <c r="FK37" s="60">
        <f t="shared" si="48"/>
        <v>258.90832875500325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</v>
      </c>
      <c r="FZ37" s="13">
        <f>IF('Données projet'!$A$244&gt;35,FZ36+FY37-GH36,IF(A37&lt;'Données projet'!$A$244,$FW$205^A37,IF(A37='Données projet'!$A$244,'Données projet'!$B$244,FZ36+FY37-GH36)))</f>
        <v>129</v>
      </c>
      <c r="GA37" s="18">
        <f>FZ37*VLOOKUP('Données projet'!$B$17,Paramètres!$A$1:$I$89,3,0)*VLOOKUP('Données projet'!$B$17,Paramètres!$A$1:$I$89,5,0)</f>
        <v>124.76880000000001</v>
      </c>
      <c r="GB37" s="14">
        <f t="shared" si="49"/>
        <v>32.784708369928126</v>
      </c>
      <c r="GC37" s="22">
        <f t="shared" si="25"/>
        <v>274.40569374429145</v>
      </c>
      <c r="GD37" s="60">
        <f t="shared" si="26"/>
        <v>517.17912520640698</v>
      </c>
      <c r="GE37" s="60">
        <f ca="1">AVERAGE(OFFSET($GD$3,0,0,'Données projet'!$E$17+1,1))-AVERAGE(OFFSET($H$3,0,0,'Données projet'!$E$17+1,1))</f>
        <v>495.77880062178235</v>
      </c>
      <c r="GF37" s="60">
        <f t="shared" si="50"/>
        <v>263.55891737750301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167</v>
      </c>
      <c r="L38" s="13">
        <f>VLOOKUP(A38,'Données projet'!$A$35:$I$55,9,0)</f>
        <v>10.199999999999999</v>
      </c>
      <c r="M38" s="13">
        <f t="array" ref="M38">INDEX(L:L,MIN(IF(ISNUMBER(L38:L234),ROW(L38:L234),"")))</f>
        <v>10.199999999999999</v>
      </c>
      <c r="N38" s="14">
        <f>IF('Données projet'!$A$36&gt;35,N37+M38-V37,IF(A38&lt;'Données projet'!$A$36,$K$205^A38,IF(A38='Données projet'!$A$36,'Données projet'!$B$36,N37+M38-V37)))</f>
        <v>166.99999999999997</v>
      </c>
      <c r="O38" s="14">
        <f>N38*VLOOKUP('Données projet'!$B$9,Paramètres!$A$1:$I$89,3,0)*VLOOKUP('Données projet'!$B$9,Paramètres!$A$1:$I$89,5,0)</f>
        <v>143.286</v>
      </c>
      <c r="P38" s="14">
        <f t="shared" si="33"/>
        <v>37.048762502809495</v>
      </c>
      <c r="Q38" s="22">
        <f t="shared" si="53"/>
        <v>314.08304469239323</v>
      </c>
      <c r="R38" s="60">
        <f t="shared" si="0"/>
        <v>557.73357741696771</v>
      </c>
      <c r="S38" s="60">
        <f ca="1">AVERAGE(OFFSET($R$3,0,0,'Données projet'!$E$9+1,1))-AVERAGE(OFFSET($H$3,0,0,'Données projet'!$E$9+1,1))</f>
        <v>598.73855311281966</v>
      </c>
      <c r="T38" s="60">
        <f t="shared" si="34"/>
        <v>275.88160405468193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137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137</v>
      </c>
      <c r="AJ38" s="14">
        <f>AI38*VLOOKUP('Données projet'!$B$10,Paramètres!$A$1:$I$89,3,0)*VLOOKUP('Données projet'!$B$10,Paramètres!$A$1:$I$89,5,0)</f>
        <v>138.91800000000001</v>
      </c>
      <c r="AK38" s="14">
        <f t="shared" si="35"/>
        <v>36.049022673886341</v>
      </c>
      <c r="AL38" s="22">
        <f t="shared" si="4"/>
        <v>304.73423115701871</v>
      </c>
      <c r="AM38" s="60">
        <f t="shared" si="5"/>
        <v>548.38476388159324</v>
      </c>
      <c r="AN38" s="60">
        <f ca="1">AVERAGE(OFFSET($AM$3,0,0,'Données projet'!$E$10+1,1))-AVERAGE(OFFSET($H$3,0,0,'Données projet'!$E$10+1,1))</f>
        <v>515.72324585399997</v>
      </c>
      <c r="AO38" s="60">
        <f t="shared" si="36"/>
        <v>273.35778700650792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137.16144000000003</v>
      </c>
      <c r="BF38" s="14">
        <f t="shared" si="37"/>
        <v>35.64595806367339</v>
      </c>
      <c r="BG38" s="22">
        <f t="shared" si="7"/>
        <v>300.97288496089783</v>
      </c>
      <c r="BH38" s="60">
        <f t="shared" si="8"/>
        <v>544.6234176854723</v>
      </c>
      <c r="BI38" s="60">
        <f ca="1">AVERAGE(OFFSET($BH$3,0,0,'Données projet'!$E$11+1,1))-AVERAGE(OFFSET($H$3,0,0,'Données projet'!$E$11+1,1))</f>
        <v>336.25341821407534</v>
      </c>
      <c r="BJ38" s="60">
        <f t="shared" si="38"/>
        <v>360.3246221345039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4.5270617650112808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4.5270617650112808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143.58974358974359</v>
      </c>
      <c r="BW38" s="13">
        <f>VLOOKUP(A38,'Données projet'!$A$113:$I$133,9,0)</f>
        <v>7.1794871794871824</v>
      </c>
      <c r="BX38" s="13">
        <f t="array" ref="BX38">INDEX(BW:BW,MIN(IF(ISNUMBER(BW38:BW234),ROW(BW38:BW234),"")))</f>
        <v>7.1794871794871824</v>
      </c>
      <c r="BY38" s="13">
        <f>IF('Données projet'!$A$114&gt;35,BY37+BX38-CG37,IF(A38&lt;'Données projet'!$A$114,$BV$205^A38,IF(A38='Données projet'!$A$114,'Données projet'!$B$114,BY37+BX38-CG37)))</f>
        <v>143.58974358974359</v>
      </c>
      <c r="BZ38" s="14">
        <f>BY38*VLOOKUP('Données projet'!$B$12,Paramètres!$A$1:$I$89,3,0)*VLOOKUP('Données projet'!$B$12,Paramètres!$A$1:$I$89,5,0)</f>
        <v>136.64000000000001</v>
      </c>
      <c r="CA38" s="14">
        <f t="shared" si="39"/>
        <v>35.526191794232275</v>
      </c>
      <c r="CB38" s="22">
        <f t="shared" si="10"/>
        <v>299.85611737495464</v>
      </c>
      <c r="CC38" s="60">
        <f t="shared" si="11"/>
        <v>543.50665009952911</v>
      </c>
      <c r="CD38" s="60">
        <f ca="1">AVERAGE(OFFSET($CC$3,0,0,'Données projet'!$E$12+1,1))-AVERAGE(OFFSET($H$3,0,0,'Données projet'!$E$12+1,1))</f>
        <v>438.41611139377829</v>
      </c>
      <c r="CE38" s="60">
        <f t="shared" si="40"/>
        <v>345.17417065809605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241.4</v>
      </c>
      <c r="CR38" s="13">
        <f>VLOOKUP(A38,'Données projet'!$A$139:$I$159,9,0)</f>
        <v>12.919999999999998</v>
      </c>
      <c r="CS38" s="13">
        <f t="array" ref="CS38">INDEX(CR:CR,MIN(IF(ISNUMBER(CR38:CR234),ROW(CR38:CR234),"")))</f>
        <v>12.919999999999998</v>
      </c>
      <c r="CT38" s="13">
        <f>IF('Données projet'!$A$140&gt;35,CT37+CS38-DB37,IF(A38&lt;'Données projet'!$A$140,$CQ$205^A38,IF(A38='Données projet'!$A$140,'Données projet'!$B$140,CT37+CS38-DB37)))</f>
        <v>241.39999999999992</v>
      </c>
      <c r="CU38" s="18">
        <f>CT38*VLOOKUP('Données projet'!$B$13,Paramètres!$A$1:$I$89,3,0)*VLOOKUP('Données projet'!$B$13,Paramètres!$A$1:$I$89,5,0)</f>
        <v>192.05783999999994</v>
      </c>
      <c r="CV38" s="14">
        <f t="shared" si="41"/>
        <v>47.994626423840657</v>
      </c>
      <c r="CW38" s="22">
        <f t="shared" si="13"/>
        <v>418.09137902152241</v>
      </c>
      <c r="CX38" s="60">
        <f t="shared" si="14"/>
        <v>661.74191174609689</v>
      </c>
      <c r="CY38" s="60">
        <f ca="1">AVERAGE(OFFSET($CX$3,0,0,'Données projet'!$E$13+1,1))-AVERAGE(OFFSET($H$3,0,0,'Données projet'!$E$13+1,1))</f>
        <v>395.27840703467933</v>
      </c>
      <c r="CZ38" s="60">
        <f t="shared" si="42"/>
        <v>364.24192380053944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70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173</v>
      </c>
      <c r="DM38" s="13">
        <f>VLOOKUP(A38,'Données projet'!$A$165:$I$185,9,0)</f>
        <v>13</v>
      </c>
      <c r="DN38" s="13">
        <f t="array" ref="DN38">INDEX(DM:DM,MIN(IF(ISNUMBER(DM38:DM234),ROW(DM38:DM234),"")))</f>
        <v>13</v>
      </c>
      <c r="DO38" s="13">
        <f>IF('Données projet'!$A$166&gt;35,DO37+DN38-DW37,IF(A38&lt;'Données projet'!$A$166,$DL$205^A38,IF(A38='Données projet'!$A$166,'Données projet'!$B$166,DO37+DN38-DW37)))</f>
        <v>173</v>
      </c>
      <c r="DP38" s="18">
        <f>DO38*VLOOKUP('Données projet'!$B$14,Paramètres!$A$1:$I$89,3,0)*VLOOKUP('Données projet'!$B$14,Paramètres!$A$1:$I$89,5,0)</f>
        <v>134.94</v>
      </c>
      <c r="DQ38" s="14">
        <f t="shared" si="43"/>
        <v>35.135358771568036</v>
      </c>
      <c r="DR38" s="22">
        <f t="shared" si="16"/>
        <v>296.21458319381429</v>
      </c>
      <c r="DS38" s="60">
        <f t="shared" si="17"/>
        <v>539.86511591838882</v>
      </c>
      <c r="DT38" s="60">
        <f ca="1">AVERAGE(OFFSET($DS$3,0,0,'Données projet'!$E$14+1,1))-AVERAGE(OFFSET($H$3,0,0,'Données projet'!$E$14+1,1))</f>
        <v>308.76306523144956</v>
      </c>
      <c r="DU38" s="60">
        <f t="shared" si="44"/>
        <v>283.28099819802776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27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175</v>
      </c>
      <c r="EH38" s="13">
        <f>VLOOKUP(A38,'Données projet'!$A$191:$I$211,9,0)</f>
        <v>8.3333333333333375</v>
      </c>
      <c r="EI38" s="13">
        <f t="array" ref="EI38">INDEX(EH:EH,MIN(IF(ISNUMBER(EH38:EH234),ROW(EH38:EH234),"")))</f>
        <v>8.3333333333333375</v>
      </c>
      <c r="EJ38" s="13">
        <f>IF('Données projet'!$A$192&gt;35,EJ37+EI38-ER37,IF(A38&lt;'Données projet'!$A$192,$EG$205^A38,IF(A38='Données projet'!$A$192,'Données projet'!$B$192,EJ37+EI38-ER37)))</f>
        <v>175.00000000000003</v>
      </c>
      <c r="EK38" s="18">
        <f>EJ38*VLOOKUP('Données projet'!$B$15,Paramètres!$A$1:$I$89,3,0)*VLOOKUP('Données projet'!$B$15,Paramètres!$A$1:$I$89,5,0)</f>
        <v>117.39000000000003</v>
      </c>
      <c r="EL38" s="14">
        <f t="shared" si="45"/>
        <v>31.065482772413461</v>
      </c>
      <c r="EM38" s="22">
        <f t="shared" si="19"/>
        <v>258.55996582862014</v>
      </c>
      <c r="EN38" s="60">
        <f t="shared" si="20"/>
        <v>502.21049855319461</v>
      </c>
      <c r="EO38" s="60">
        <f ca="1">AVERAGE(OFFSET($EN$3,0,0,'Données projet'!$E$15+1,1))-AVERAGE(OFFSET($H$3,0,0,'Données projet'!$E$15+1,1))</f>
        <v>375.49921531693559</v>
      </c>
      <c r="EP38" s="60">
        <f t="shared" si="46"/>
        <v>306.93934681565599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121</v>
      </c>
      <c r="FC38" s="13">
        <f>VLOOKUP(A38,'Données projet'!$A$217:$I$237,9,0)</f>
        <v>5.8</v>
      </c>
      <c r="FD38" s="13">
        <f t="array" ref="FD38">INDEX(FC:FC,MIN(IF(ISNUMBER(FC38:FC234),ROW(FC38:FC234),"")))</f>
        <v>5.8</v>
      </c>
      <c r="FE38" s="13">
        <f>IF('Données projet'!$A$218&gt;35,FE37+FD38-FM37,IF(A38&lt;'Données projet'!$A$218,$FB$205^A38,IF(A38='Données projet'!$A$218,'Données projet'!$B$218,FE37+FD38-FM37)))</f>
        <v>120.99999999999997</v>
      </c>
      <c r="FF38" s="18">
        <f>FE38*VLOOKUP('Données projet'!$B$16,Paramètres!$A$1:$I$89,3,0)*VLOOKUP('Données projet'!$B$16,Paramètres!$A$1:$I$89,5,0)</f>
        <v>98.155199999999979</v>
      </c>
      <c r="FG38" s="14">
        <f t="shared" si="47"/>
        <v>26.522024238465775</v>
      </c>
      <c r="FH38" s="22">
        <f t="shared" si="22"/>
        <v>217.14616554866117</v>
      </c>
      <c r="FI38" s="60">
        <f t="shared" si="23"/>
        <v>460.79669827323568</v>
      </c>
      <c r="FJ38" s="60">
        <f ca="1">AVERAGE(OFFSET($FI$3,0,0,'Données projet'!$E$16+1,1))-AVERAGE(OFFSET($H$3,0,0,'Données projet'!$E$16+1,1))</f>
        <v>308.58270639204238</v>
      </c>
      <c r="FK38" s="60">
        <f t="shared" si="48"/>
        <v>258.90832875500325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137</v>
      </c>
      <c r="FX38" s="13">
        <f>VLOOKUP(A38,'Données projet'!$A$243:$I$263,9,0)</f>
        <v>8</v>
      </c>
      <c r="FY38" s="13">
        <f t="array" ref="FY38">INDEX(FX:FX,MIN(IF(ISNUMBER(FX38:FX234),ROW(FX38:FX234),"")))</f>
        <v>8</v>
      </c>
      <c r="FZ38" s="13">
        <f>IF('Données projet'!$A$244&gt;35,FZ37+FY38-GH37,IF(A38&lt;'Données projet'!$A$244,$FW$205^A38,IF(A38='Données projet'!$A$244,'Données projet'!$B$244,FZ37+FY38-GH37)))</f>
        <v>137</v>
      </c>
      <c r="GA38" s="18">
        <f>FZ38*VLOOKUP('Données projet'!$B$17,Paramètres!$A$1:$I$89,3,0)*VLOOKUP('Données projet'!$B$17,Paramètres!$A$1:$I$89,5,0)</f>
        <v>132.50640000000001</v>
      </c>
      <c r="GB38" s="14">
        <f t="shared" si="49"/>
        <v>34.574869530248939</v>
      </c>
      <c r="GC38" s="22">
        <f t="shared" si="25"/>
        <v>290.99987776518356</v>
      </c>
      <c r="GD38" s="60">
        <f t="shared" si="26"/>
        <v>534.65041048975809</v>
      </c>
      <c r="GE38" s="60">
        <f ca="1">AVERAGE(OFFSET($GD$3,0,0,'Données projet'!$E$17+1,1))-AVERAGE(OFFSET($H$3,0,0,'Données projet'!$E$17+1,1))</f>
        <v>495.77880062178235</v>
      </c>
      <c r="GF38" s="60">
        <f t="shared" si="50"/>
        <v>263.55891737750301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42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10.6</v>
      </c>
      <c r="N39" s="14">
        <f>IF('Données projet'!$A$36&gt;35,N38+M39-V38,IF(A39&lt;'Données projet'!$A$36,$K$205^A39,IF(A39='Données projet'!$A$36,'Données projet'!$B$36,N38+M39-V38)))</f>
        <v>121.59999999999997</v>
      </c>
      <c r="O39" s="14">
        <f>N39*VLOOKUP('Données projet'!$B$9,Paramètres!$A$1:$I$89,3,0)*VLOOKUP('Données projet'!$B$9,Paramètres!$A$1:$I$89,5,0)</f>
        <v>104.33279999999998</v>
      </c>
      <c r="P39" s="14">
        <f t="shared" si="33"/>
        <v>27.991665469945527</v>
      </c>
      <c r="Q39" s="22">
        <f t="shared" si="53"/>
        <v>230.46511069348841</v>
      </c>
      <c r="R39" s="60">
        <f t="shared" si="0"/>
        <v>474.97752893452287</v>
      </c>
      <c r="S39" s="60">
        <f ca="1">AVERAGE(OFFSET($R$3,0,0,'Données projet'!$E$9+1,1))-AVERAGE(OFFSET($H$3,0,0,'Données projet'!$E$9+1,1))</f>
        <v>598.73855311281966</v>
      </c>
      <c r="T39" s="60">
        <f t="shared" si="34"/>
        <v>275.88160405468193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104.84760000000001</v>
      </c>
      <c r="AK39" s="14">
        <f t="shared" si="35"/>
        <v>28.113670466115643</v>
      </c>
      <c r="AL39" s="22">
        <f t="shared" si="4"/>
        <v>231.57421272848475</v>
      </c>
      <c r="AM39" s="60">
        <f t="shared" si="5"/>
        <v>476.08663096951921</v>
      </c>
      <c r="AN39" s="60">
        <f ca="1">AVERAGE(OFFSET($AM$3,0,0,'Données projet'!$E$10+1,1))-AVERAGE(OFFSET($H$3,0,0,'Données projet'!$E$10+1,1))</f>
        <v>515.72324585399997</v>
      </c>
      <c r="AO39" s="60">
        <f t="shared" si="36"/>
        <v>273.35778700650792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144.67190400000001</v>
      </c>
      <c r="BF39" s="14">
        <f t="shared" si="37"/>
        <v>37.365219813928285</v>
      </c>
      <c r="BG39" s="22">
        <f t="shared" si="7"/>
        <v>317.04799064259174</v>
      </c>
      <c r="BH39" s="60">
        <f t="shared" si="8"/>
        <v>561.56040888362622</v>
      </c>
      <c r="BI39" s="60">
        <f ca="1">AVERAGE(OFFSET($BH$3,0,0,'Données projet'!$E$11+1,1))-AVERAGE(OFFSET($H$3,0,0,'Données projet'!$E$11+1,1))</f>
        <v>336.25341821407534</v>
      </c>
      <c r="BJ39" s="60">
        <f t="shared" si="38"/>
        <v>360.3246221345039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4.4032690229792157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4.4032690229792157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6.7948717948717956</v>
      </c>
      <c r="BY39" s="13">
        <f>IF('Données projet'!$A$114&gt;35,BY38+BX39-CG38,IF(A39&lt;'Données projet'!$A$114,$BV$205^A39,IF(A39='Données projet'!$A$114,'Données projet'!$B$114,BY38+BX39-CG38)))</f>
        <v>150.38461538461539</v>
      </c>
      <c r="BZ39" s="14">
        <f>BY39*VLOOKUP('Données projet'!$B$12,Paramètres!$A$1:$I$89,3,0)*VLOOKUP('Données projet'!$B$12,Paramètres!$A$1:$I$89,5,0)</f>
        <v>143.10599999999999</v>
      </c>
      <c r="CA39" s="14">
        <f t="shared" si="39"/>
        <v>37.007635228701105</v>
      </c>
      <c r="CB39" s="22">
        <f t="shared" si="10"/>
        <v>313.69791468998773</v>
      </c>
      <c r="CC39" s="60">
        <f t="shared" si="11"/>
        <v>558.21033293102209</v>
      </c>
      <c r="CD39" s="60">
        <f ca="1">AVERAGE(OFFSET($CC$3,0,0,'Données projet'!$E$12+1,1))-AVERAGE(OFFSET($H$3,0,0,'Données projet'!$E$12+1,1))</f>
        <v>438.41611139377829</v>
      </c>
      <c r="CE39" s="60">
        <f t="shared" si="40"/>
        <v>345.17417065809605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11.339999999999998</v>
      </c>
      <c r="CT39" s="13">
        <f>IF('Données projet'!$A$140&gt;35,CT38+CS39-DB38,IF(A39&lt;'Données projet'!$A$140,$CQ$205^A39,IF(A39='Données projet'!$A$140,'Données projet'!$B$140,CT38+CS39-DB38)))</f>
        <v>182.73999999999992</v>
      </c>
      <c r="CU39" s="18">
        <f>CT39*VLOOKUP('Données projet'!$B$13,Paramètres!$A$1:$I$89,3,0)*VLOOKUP('Données projet'!$B$13,Paramètres!$A$1:$I$89,5,0)</f>
        <v>145.38794399999995</v>
      </c>
      <c r="CV39" s="14">
        <f t="shared" si="41"/>
        <v>37.52858196613942</v>
      </c>
      <c r="CW39" s="22">
        <f t="shared" si="13"/>
        <v>318.5796160576927</v>
      </c>
      <c r="CX39" s="60">
        <f t="shared" si="14"/>
        <v>563.09203429872719</v>
      </c>
      <c r="CY39" s="60">
        <f ca="1">AVERAGE(OFFSET($CX$3,0,0,'Données projet'!$E$13+1,1))-AVERAGE(OFFSET($H$3,0,0,'Données projet'!$E$13+1,1))</f>
        <v>395.27840703467933</v>
      </c>
      <c r="CZ39" s="60">
        <f t="shared" si="42"/>
        <v>364.24192380053944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12.4</v>
      </c>
      <c r="DO39" s="13">
        <f>IF('Données projet'!$A$166&gt;35,DO38+DN39-DW38,IF(A39&lt;'Données projet'!$A$166,$DL$205^A39,IF(A39='Données projet'!$A$166,'Données projet'!$B$166,DO38+DN39-DW38)))</f>
        <v>158.4</v>
      </c>
      <c r="DP39" s="18">
        <f>DO39*VLOOKUP('Données projet'!$B$14,Paramètres!$A$1:$I$89,3,0)*VLOOKUP('Données projet'!$B$14,Paramètres!$A$1:$I$89,5,0)</f>
        <v>123.55200000000001</v>
      </c>
      <c r="DQ39" s="14">
        <f t="shared" si="43"/>
        <v>32.502033262579566</v>
      </c>
      <c r="DR39" s="22">
        <f t="shared" si="16"/>
        <v>271.79410793232609</v>
      </c>
      <c r="DS39" s="60">
        <f t="shared" si="17"/>
        <v>516.30652617336045</v>
      </c>
      <c r="DT39" s="60">
        <f ca="1">AVERAGE(OFFSET($DS$3,0,0,'Données projet'!$E$14+1,1))-AVERAGE(OFFSET($H$3,0,0,'Données projet'!$E$14+1,1))</f>
        <v>308.76306523144956</v>
      </c>
      <c r="DU39" s="60">
        <f t="shared" si="44"/>
        <v>283.28099819802776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7.5641025641025639</v>
      </c>
      <c r="EJ39" s="13">
        <f>IF('Données projet'!$A$192&gt;35,EJ38+EI39-ER38,IF(A39&lt;'Données projet'!$A$192,$EG$205^A39,IF(A39='Données projet'!$A$192,'Données projet'!$B$192,EJ38+EI39-ER38)))</f>
        <v>182.5641025641026</v>
      </c>
      <c r="EK39" s="18">
        <f>EJ39*VLOOKUP('Données projet'!$B$15,Paramètres!$A$1:$I$89,3,0)*VLOOKUP('Données projet'!$B$15,Paramètres!$A$1:$I$89,5,0)</f>
        <v>122.46400000000004</v>
      </c>
      <c r="EL39" s="14">
        <f t="shared" si="45"/>
        <v>32.249005247502218</v>
      </c>
      <c r="EM39" s="22">
        <f t="shared" si="19"/>
        <v>269.45848413939979</v>
      </c>
      <c r="EN39" s="60">
        <f t="shared" si="20"/>
        <v>513.97090238043415</v>
      </c>
      <c r="EO39" s="60">
        <f ca="1">AVERAGE(OFFSET($EN$3,0,0,'Données projet'!$E$15+1,1))-AVERAGE(OFFSET($H$3,0,0,'Données projet'!$E$15+1,1))</f>
        <v>375.49921531693559</v>
      </c>
      <c r="EP39" s="60">
        <f t="shared" si="46"/>
        <v>306.93934681565599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6</v>
      </c>
      <c r="FE39" s="13">
        <f>IF('Données projet'!$A$218&gt;35,FE38+FD39-FM38,IF(A39&lt;'Données projet'!$A$218,$FB$205^A39,IF(A39='Données projet'!$A$218,'Données projet'!$B$218,FE38+FD39-FM38)))</f>
        <v>126.99999999999997</v>
      </c>
      <c r="FF39" s="18">
        <f>FE39*VLOOKUP('Données projet'!$B$16,Paramètres!$A$1:$I$89,3,0)*VLOOKUP('Données projet'!$B$16,Paramètres!$A$1:$I$89,5,0)</f>
        <v>103.02239999999999</v>
      </c>
      <c r="FG39" s="14">
        <f t="shared" si="47"/>
        <v>27.680790106744631</v>
      </c>
      <c r="FH39" s="22">
        <f t="shared" si="22"/>
        <v>227.64138943591354</v>
      </c>
      <c r="FI39" s="60">
        <f t="shared" si="23"/>
        <v>472.15380767694796</v>
      </c>
      <c r="FJ39" s="60">
        <f ca="1">AVERAGE(OFFSET($FI$3,0,0,'Données projet'!$E$16+1,1))-AVERAGE(OFFSET($H$3,0,0,'Données projet'!$E$16+1,1))</f>
        <v>308.58270639204238</v>
      </c>
      <c r="FK39" s="60">
        <f t="shared" si="48"/>
        <v>258.90832875500325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8.4</v>
      </c>
      <c r="FZ39" s="13">
        <f>IF('Données projet'!$A$244&gt;35,FZ38+FY39-GH38,IF(A39&lt;'Données projet'!$A$244,$FW$205^A39,IF(A39='Données projet'!$A$244,'Données projet'!$B$244,FZ38+FY39-GH38)))</f>
        <v>103.4</v>
      </c>
      <c r="GA39" s="18">
        <f>FZ39*VLOOKUP('Données projet'!$B$17,Paramètres!$A$1:$I$89,3,0)*VLOOKUP('Données projet'!$B$17,Paramètres!$A$1:$I$89,5,0)</f>
        <v>100.00848000000001</v>
      </c>
      <c r="GB39" s="14">
        <f t="shared" si="49"/>
        <v>26.964017781444337</v>
      </c>
      <c r="GC39" s="22">
        <f t="shared" si="25"/>
        <v>221.14376696934889</v>
      </c>
      <c r="GD39" s="60">
        <f t="shared" si="26"/>
        <v>465.65618521038334</v>
      </c>
      <c r="GE39" s="60">
        <f ca="1">AVERAGE(OFFSET($GD$3,0,0,'Données projet'!$E$17+1,1))-AVERAGE(OFFSET($H$3,0,0,'Données projet'!$E$17+1,1))</f>
        <v>495.77880062178235</v>
      </c>
      <c r="GF39" s="60">
        <f t="shared" si="50"/>
        <v>263.55891737750301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10.6</v>
      </c>
      <c r="N40" s="14">
        <f>IF('Données projet'!$A$36&gt;35,N39+M40-V39,IF(A40&lt;'Données projet'!$A$36,$K$205^A40,IF(A40='Données projet'!$A$36,'Données projet'!$B$36,N39+M40-V39)))</f>
        <v>132.19999999999996</v>
      </c>
      <c r="O40" s="14">
        <f>N40*VLOOKUP('Données projet'!$B$9,Paramètres!$A$1:$I$89,3,0)*VLOOKUP('Données projet'!$B$9,Paramètres!$A$1:$I$89,5,0)</f>
        <v>113.42759999999997</v>
      </c>
      <c r="P40" s="14">
        <f t="shared" si="33"/>
        <v>30.137106037876791</v>
      </c>
      <c r="Q40" s="22">
        <f t="shared" si="53"/>
        <v>250.04186301596869</v>
      </c>
      <c r="R40" s="60">
        <f t="shared" si="0"/>
        <v>495.40121498663979</v>
      </c>
      <c r="S40" s="60">
        <f ca="1">AVERAGE(OFFSET($R$3,0,0,'Données projet'!$E$9+1,1))-AVERAGE(OFFSET($H$3,0,0,'Données projet'!$E$9+1,1))</f>
        <v>598.73855311281966</v>
      </c>
      <c r="T40" s="60">
        <f t="shared" si="34"/>
        <v>275.88160405468193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113.36520000000003</v>
      </c>
      <c r="AK40" s="14">
        <f t="shared" si="35"/>
        <v>30.122456058687614</v>
      </c>
      <c r="AL40" s="22">
        <f t="shared" si="4"/>
        <v>249.9076676355476</v>
      </c>
      <c r="AM40" s="60">
        <f t="shared" si="5"/>
        <v>495.2670196062187</v>
      </c>
      <c r="AN40" s="60">
        <f ca="1">AVERAGE(OFFSET($AM$3,0,0,'Données projet'!$E$10+1,1))-AVERAGE(OFFSET($H$3,0,0,'Données projet'!$E$10+1,1))</f>
        <v>515.72324585399997</v>
      </c>
      <c r="AO40" s="60">
        <f t="shared" si="36"/>
        <v>273.35778700650792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152.18236800000003</v>
      </c>
      <c r="BF40" s="14">
        <f t="shared" si="37"/>
        <v>39.074118885510551</v>
      </c>
      <c r="BG40" s="22">
        <f t="shared" si="7"/>
        <v>333.10504799226425</v>
      </c>
      <c r="BH40" s="60">
        <f t="shared" si="8"/>
        <v>578.46439996293532</v>
      </c>
      <c r="BI40" s="60">
        <f ca="1">AVERAGE(OFFSET($BH$3,0,0,'Données projet'!$E$11+1,1))-AVERAGE(OFFSET($H$3,0,0,'Données projet'!$E$11+1,1))</f>
        <v>336.25341821407534</v>
      </c>
      <c r="BJ40" s="60">
        <f t="shared" si="38"/>
        <v>360.3246221345039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4.2828613999879952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4.2828613999879952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6.7948717948717956</v>
      </c>
      <c r="BY40" s="13">
        <f>IF('Données projet'!$A$114&gt;35,BY39+BX40-CG39,IF(A40&lt;'Données projet'!$A$114,$BV$205^A40,IF(A40='Données projet'!$A$114,'Données projet'!$B$114,BY39+BX40-CG39)))</f>
        <v>157.17948717948718</v>
      </c>
      <c r="BZ40" s="14">
        <f>BY40*VLOOKUP('Données projet'!$B$12,Paramètres!$A$1:$I$89,3,0)*VLOOKUP('Données projet'!$B$12,Paramètres!$A$1:$I$89,5,0)</f>
        <v>149.572</v>
      </c>
      <c r="CA40" s="14">
        <f t="shared" si="39"/>
        <v>38.481304915719448</v>
      </c>
      <c r="CB40" s="22">
        <f t="shared" si="10"/>
        <v>327.52617272821135</v>
      </c>
      <c r="CC40" s="60">
        <f t="shared" si="11"/>
        <v>572.88552469888248</v>
      </c>
      <c r="CD40" s="60">
        <f ca="1">AVERAGE(OFFSET($CC$3,0,0,'Données projet'!$E$12+1,1))-AVERAGE(OFFSET($H$3,0,0,'Données projet'!$E$12+1,1))</f>
        <v>438.41611139377829</v>
      </c>
      <c r="CE40" s="60">
        <f t="shared" si="40"/>
        <v>345.17417065809605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11.339999999999998</v>
      </c>
      <c r="CT40" s="13">
        <f>IF('Données projet'!$A$140&gt;35,CT39+CS40-DB39,IF(A40&lt;'Données projet'!$A$140,$CQ$205^A40,IF(A40='Données projet'!$A$140,'Données projet'!$B$140,CT39+CS40-DB39)))</f>
        <v>194.07999999999993</v>
      </c>
      <c r="CU40" s="18">
        <f>CT40*VLOOKUP('Données projet'!$B$13,Paramètres!$A$1:$I$89,3,0)*VLOOKUP('Données projet'!$B$13,Paramètres!$A$1:$I$89,5,0)</f>
        <v>154.41004799999993</v>
      </c>
      <c r="CV40" s="14">
        <f t="shared" si="41"/>
        <v>39.579088467394584</v>
      </c>
      <c r="CW40" s="22">
        <f t="shared" si="13"/>
        <v>337.86441268071212</v>
      </c>
      <c r="CX40" s="60">
        <f t="shared" si="14"/>
        <v>583.22376465138325</v>
      </c>
      <c r="CY40" s="60">
        <f ca="1">AVERAGE(OFFSET($CX$3,0,0,'Données projet'!$E$13+1,1))-AVERAGE(OFFSET($H$3,0,0,'Données projet'!$E$13+1,1))</f>
        <v>395.27840703467933</v>
      </c>
      <c r="CZ40" s="60">
        <f t="shared" si="42"/>
        <v>364.24192380053944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12.4</v>
      </c>
      <c r="DO40" s="13">
        <f>IF('Données projet'!$A$166&gt;35,DO39+DN40-DW39,IF(A40&lt;'Données projet'!$A$166,$DL$205^A40,IF(A40='Données projet'!$A$166,'Données projet'!$B$166,DO39+DN40-DW39)))</f>
        <v>170.8</v>
      </c>
      <c r="DP40" s="18">
        <f>DO40*VLOOKUP('Données projet'!$B$14,Paramètres!$A$1:$I$89,3,0)*VLOOKUP('Données projet'!$B$14,Paramètres!$A$1:$I$89,5,0)</f>
        <v>133.22400000000002</v>
      </c>
      <c r="DQ40" s="14">
        <f t="shared" si="43"/>
        <v>34.740265606230608</v>
      </c>
      <c r="DR40" s="22">
        <f t="shared" si="16"/>
        <v>292.53776259751834</v>
      </c>
      <c r="DS40" s="60">
        <f t="shared" si="17"/>
        <v>537.89711456818941</v>
      </c>
      <c r="DT40" s="60">
        <f ca="1">AVERAGE(OFFSET($DS$3,0,0,'Données projet'!$E$14+1,1))-AVERAGE(OFFSET($H$3,0,0,'Données projet'!$E$14+1,1))</f>
        <v>308.76306523144956</v>
      </c>
      <c r="DU40" s="60">
        <f t="shared" si="44"/>
        <v>283.28099819802776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7.5641025641025639</v>
      </c>
      <c r="EJ40" s="13">
        <f>IF('Données projet'!$A$192&gt;35,EJ39+EI40-ER39,IF(A40&lt;'Données projet'!$A$192,$EG$205^A40,IF(A40='Données projet'!$A$192,'Données projet'!$B$192,EJ39+EI40-ER39)))</f>
        <v>190.12820512820517</v>
      </c>
      <c r="EK40" s="18">
        <f>EJ40*VLOOKUP('Données projet'!$B$15,Paramètres!$A$1:$I$89,3,0)*VLOOKUP('Données projet'!$B$15,Paramètres!$A$1:$I$89,5,0)</f>
        <v>127.53800000000003</v>
      </c>
      <c r="EL40" s="14">
        <f t="shared" si="45"/>
        <v>33.426831906857181</v>
      </c>
      <c r="EM40" s="22">
        <f t="shared" si="19"/>
        <v>280.34708223777631</v>
      </c>
      <c r="EN40" s="60">
        <f t="shared" si="20"/>
        <v>525.70643420844738</v>
      </c>
      <c r="EO40" s="60">
        <f ca="1">AVERAGE(OFFSET($EN$3,0,0,'Données projet'!$E$15+1,1))-AVERAGE(OFFSET($H$3,0,0,'Données projet'!$E$15+1,1))</f>
        <v>375.49921531693559</v>
      </c>
      <c r="EP40" s="60">
        <f t="shared" si="46"/>
        <v>306.93934681565599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6</v>
      </c>
      <c r="FE40" s="13">
        <f>IF('Données projet'!$A$218&gt;35,FE39+FD40-FM39,IF(A40&lt;'Données projet'!$A$218,$FB$205^A40,IF(A40='Données projet'!$A$218,'Données projet'!$B$218,FE39+FD40-FM39)))</f>
        <v>132.99999999999997</v>
      </c>
      <c r="FF40" s="18">
        <f>FE40*VLOOKUP('Données projet'!$B$16,Paramètres!$A$1:$I$89,3,0)*VLOOKUP('Données projet'!$B$16,Paramètres!$A$1:$I$89,5,0)</f>
        <v>107.88959999999997</v>
      </c>
      <c r="FG40" s="14">
        <f t="shared" si="47"/>
        <v>28.833198667365593</v>
      </c>
      <c r="FH40" s="22">
        <f t="shared" si="22"/>
        <v>238.12554101232834</v>
      </c>
      <c r="FI40" s="60">
        <f t="shared" si="23"/>
        <v>483.48489298299944</v>
      </c>
      <c r="FJ40" s="60">
        <f ca="1">AVERAGE(OFFSET($FI$3,0,0,'Données projet'!$E$16+1,1))-AVERAGE(OFFSET($H$3,0,0,'Données projet'!$E$16+1,1))</f>
        <v>308.58270639204238</v>
      </c>
      <c r="FK40" s="60">
        <f t="shared" si="48"/>
        <v>258.90832875500325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8.4</v>
      </c>
      <c r="FZ40" s="13">
        <f>IF('Données projet'!$A$244&gt;35,FZ39+FY40-GH39,IF(A40&lt;'Données projet'!$A$244,$FW$205^A40,IF(A40='Données projet'!$A$244,'Données projet'!$B$244,FZ39+FY40-GH39)))</f>
        <v>111.80000000000001</v>
      </c>
      <c r="GA40" s="18">
        <f>FZ40*VLOOKUP('Données projet'!$B$17,Paramètres!$A$1:$I$89,3,0)*VLOOKUP('Données projet'!$B$17,Paramètres!$A$1:$I$89,5,0)</f>
        <v>108.13296000000001</v>
      </c>
      <c r="GB40" s="14">
        <f t="shared" si="49"/>
        <v>28.890658079177882</v>
      </c>
      <c r="GC40" s="22">
        <f t="shared" si="25"/>
        <v>238.64946815456815</v>
      </c>
      <c r="GD40" s="60">
        <f t="shared" si="26"/>
        <v>484.00882012523925</v>
      </c>
      <c r="GE40" s="60">
        <f ca="1">AVERAGE(OFFSET($GD$3,0,0,'Données projet'!$E$17+1,1))-AVERAGE(OFFSET($H$3,0,0,'Données projet'!$E$17+1,1))</f>
        <v>495.77880062178235</v>
      </c>
      <c r="GF40" s="60">
        <f t="shared" si="50"/>
        <v>263.55891737750301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10.6</v>
      </c>
      <c r="N41" s="14">
        <f>IF('Données projet'!$A$36&gt;35,N40+M41-V40,IF(A41&lt;'Données projet'!$A$36,$K$205^A41,IF(A41='Données projet'!$A$36,'Données projet'!$B$36,N40+M41-V40)))</f>
        <v>142.79999999999995</v>
      </c>
      <c r="O41" s="14">
        <f>N41*VLOOKUP('Données projet'!$B$9,Paramètres!$A$1:$I$89,3,0)*VLOOKUP('Données projet'!$B$9,Paramètres!$A$1:$I$89,5,0)</f>
        <v>122.52239999999998</v>
      </c>
      <c r="P41" s="14">
        <f t="shared" si="33"/>
        <v>32.26259352430629</v>
      </c>
      <c r="Q41" s="22">
        <f t="shared" si="53"/>
        <v>269.58386372150011</v>
      </c>
      <c r="R41" s="60">
        <f t="shared" si="0"/>
        <v>515.77545701505881</v>
      </c>
      <c r="S41" s="60">
        <f ca="1">AVERAGE(OFFSET($R$3,0,0,'Données projet'!$E$9+1,1))-AVERAGE(OFFSET($H$3,0,0,'Données projet'!$E$9+1,1))</f>
        <v>598.73855311281966</v>
      </c>
      <c r="T41" s="60">
        <f t="shared" si="34"/>
        <v>275.88160405468193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0">
        <f t="shared" si="5"/>
        <v>514.40222125365392</v>
      </c>
      <c r="AN41" s="60">
        <f ca="1">AVERAGE(OFFSET($AM$3,0,0,'Données projet'!$E$10+1,1))-AVERAGE(OFFSET($H$3,0,0,'Données projet'!$E$10+1,1))</f>
        <v>515.72324585399997</v>
      </c>
      <c r="AO41" s="60">
        <f t="shared" si="36"/>
        <v>273.35778700650792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159.69283200000001</v>
      </c>
      <c r="BF41" s="14">
        <f t="shared" si="37"/>
        <v>40.773225060243078</v>
      </c>
      <c r="BG41" s="22">
        <f t="shared" si="7"/>
        <v>349.14504937992336</v>
      </c>
      <c r="BH41" s="60">
        <f t="shared" si="8"/>
        <v>595.33664267348206</v>
      </c>
      <c r="BI41" s="60">
        <f ca="1">AVERAGE(OFFSET($BH$3,0,0,'Données projet'!$E$11+1,1))-AVERAGE(OFFSET($H$3,0,0,'Données projet'!$E$11+1,1))</f>
        <v>336.25341821407534</v>
      </c>
      <c r="BJ41" s="60">
        <f t="shared" si="38"/>
        <v>360.3246221345039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4.1657463297794308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4.1657463297794308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6.7948717948717956</v>
      </c>
      <c r="BY41" s="13">
        <f>IF('Données projet'!$A$114&gt;35,BY40+BX41-CG40,IF(A41&lt;'Données projet'!$A$114,$BV$205^A41,IF(A41='Données projet'!$A$114,'Données projet'!$B$114,BY40+BX41-CG40)))</f>
        <v>163.97435897435898</v>
      </c>
      <c r="BZ41" s="14">
        <f>BY41*VLOOKUP('Données projet'!$B$12,Paramètres!$A$1:$I$89,3,0)*VLOOKUP('Données projet'!$B$12,Paramètres!$A$1:$I$89,5,0)</f>
        <v>156.03800000000001</v>
      </c>
      <c r="CA41" s="14">
        <f t="shared" si="39"/>
        <v>39.94757532752773</v>
      </c>
      <c r="CB41" s="22">
        <f t="shared" si="10"/>
        <v>341.34154369544405</v>
      </c>
      <c r="CC41" s="60">
        <f t="shared" si="11"/>
        <v>587.53313698900274</v>
      </c>
      <c r="CD41" s="60">
        <f ca="1">AVERAGE(OFFSET($CC$3,0,0,'Données projet'!$E$12+1,1))-AVERAGE(OFFSET($H$3,0,0,'Données projet'!$E$12+1,1))</f>
        <v>438.41611139377829</v>
      </c>
      <c r="CE41" s="60">
        <f t="shared" si="40"/>
        <v>345.17417065809605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11.339999999999998</v>
      </c>
      <c r="CT41" s="13">
        <f>IF('Données projet'!$A$140&gt;35,CT40+CS41-DB40,IF(A41&lt;'Données projet'!$A$140,$CQ$205^A41,IF(A41='Données projet'!$A$140,'Données projet'!$B$140,CT40+CS41-DB40)))</f>
        <v>205.41999999999993</v>
      </c>
      <c r="CU41" s="18">
        <f>CT41*VLOOKUP('Données projet'!$B$13,Paramètres!$A$1:$I$89,3,0)*VLOOKUP('Données projet'!$B$13,Paramètres!$A$1:$I$89,5,0)</f>
        <v>163.43215199999995</v>
      </c>
      <c r="CV41" s="14">
        <f t="shared" si="41"/>
        <v>41.615688038271728</v>
      </c>
      <c r="CW41" s="22">
        <f t="shared" si="13"/>
        <v>357.12498806665644</v>
      </c>
      <c r="CX41" s="60">
        <f t="shared" si="14"/>
        <v>603.3165813602152</v>
      </c>
      <c r="CY41" s="60">
        <f ca="1">AVERAGE(OFFSET($CX$3,0,0,'Données projet'!$E$13+1,1))-AVERAGE(OFFSET($H$3,0,0,'Données projet'!$E$13+1,1))</f>
        <v>395.27840703467933</v>
      </c>
      <c r="CZ41" s="60">
        <f t="shared" si="42"/>
        <v>364.24192380053944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12.4</v>
      </c>
      <c r="DO41" s="13">
        <f>IF('Données projet'!$A$166&gt;35,DO40+DN41-DW40,IF(A41&lt;'Données projet'!$A$166,$DL$205^A41,IF(A41='Données projet'!$A$166,'Données projet'!$B$166,DO40+DN41-DW40)))</f>
        <v>183.20000000000002</v>
      </c>
      <c r="DP41" s="18">
        <f>DO41*VLOOKUP('Données projet'!$B$14,Paramètres!$A$1:$I$89,3,0)*VLOOKUP('Données projet'!$B$14,Paramètres!$A$1:$I$89,5,0)</f>
        <v>142.89600000000002</v>
      </c>
      <c r="DQ41" s="14">
        <f t="shared" si="43"/>
        <v>36.959645797372403</v>
      </c>
      <c r="DR41" s="22">
        <f t="shared" si="16"/>
        <v>313.24858309709026</v>
      </c>
      <c r="DS41" s="60">
        <f t="shared" si="17"/>
        <v>559.44017639064896</v>
      </c>
      <c r="DT41" s="60">
        <f ca="1">AVERAGE(OFFSET($DS$3,0,0,'Données projet'!$E$14+1,1))-AVERAGE(OFFSET($H$3,0,0,'Données projet'!$E$14+1,1))</f>
        <v>308.76306523144956</v>
      </c>
      <c r="DU41" s="60">
        <f t="shared" si="44"/>
        <v>283.28099819802776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7.5641025641025639</v>
      </c>
      <c r="EJ41" s="13">
        <f>IF('Données projet'!$A$192&gt;35,EJ40+EI41-ER40,IF(A41&lt;'Données projet'!$A$192,$EG$205^A41,IF(A41='Données projet'!$A$192,'Données projet'!$B$192,EJ40+EI41-ER40)))</f>
        <v>197.69230769230774</v>
      </c>
      <c r="EK41" s="18">
        <f>EJ41*VLOOKUP('Données projet'!$B$15,Paramètres!$A$1:$I$89,3,0)*VLOOKUP('Données projet'!$B$15,Paramètres!$A$1:$I$89,5,0)</f>
        <v>132.61200000000002</v>
      </c>
      <c r="EL41" s="14">
        <f t="shared" si="45"/>
        <v>34.599215281612565</v>
      </c>
      <c r="EM41" s="22">
        <f t="shared" si="19"/>
        <v>291.22619994880858</v>
      </c>
      <c r="EN41" s="60">
        <f t="shared" si="20"/>
        <v>537.41779324236734</v>
      </c>
      <c r="EO41" s="60">
        <f ca="1">AVERAGE(OFFSET($EN$3,0,0,'Données projet'!$E$15+1,1))-AVERAGE(OFFSET($H$3,0,0,'Données projet'!$E$15+1,1))</f>
        <v>375.49921531693559</v>
      </c>
      <c r="EP41" s="60">
        <f t="shared" si="46"/>
        <v>306.93934681565599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6</v>
      </c>
      <c r="FE41" s="13">
        <f>IF('Données projet'!$A$218&gt;35,FE40+FD41-FM40,IF(A41&lt;'Données projet'!$A$218,$FB$205^A41,IF(A41='Données projet'!$A$218,'Données projet'!$B$218,FE40+FD41-FM40)))</f>
        <v>138.99999999999997</v>
      </c>
      <c r="FF41" s="18">
        <f>FE41*VLOOKUP('Données projet'!$B$16,Paramètres!$A$1:$I$89,3,0)*VLOOKUP('Données projet'!$B$16,Paramètres!$A$1:$I$89,5,0)</f>
        <v>112.75679999999998</v>
      </c>
      <c r="FG41" s="14">
        <f t="shared" si="47"/>
        <v>29.979569481474449</v>
      </c>
      <c r="FH41" s="22">
        <f t="shared" si="22"/>
        <v>248.59917684690132</v>
      </c>
      <c r="FI41" s="60">
        <f t="shared" si="23"/>
        <v>494.79077014046004</v>
      </c>
      <c r="FJ41" s="60">
        <f ca="1">AVERAGE(OFFSET($FI$3,0,0,'Données projet'!$E$16+1,1))-AVERAGE(OFFSET($H$3,0,0,'Données projet'!$E$16+1,1))</f>
        <v>308.58270639204238</v>
      </c>
      <c r="FK41" s="60">
        <f t="shared" si="48"/>
        <v>258.90832875500325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8.4</v>
      </c>
      <c r="FZ41" s="13">
        <f>IF('Données projet'!$A$244&gt;35,FZ40+FY41-GH40,IF(A41&lt;'Données projet'!$A$244,$FW$205^A41,IF(A41='Données projet'!$A$244,'Données projet'!$B$244,FZ40+FY41-GH40)))</f>
        <v>120.20000000000002</v>
      </c>
      <c r="GA41" s="18">
        <f>FZ41*VLOOKUP('Données projet'!$B$17,Paramètres!$A$1:$I$89,3,0)*VLOOKUP('Données projet'!$B$17,Paramètres!$A$1:$I$89,5,0)</f>
        <v>116.25744000000003</v>
      </c>
      <c r="GB41" s="14">
        <f t="shared" si="49"/>
        <v>30.800505515381992</v>
      </c>
      <c r="GC41" s="22">
        <f t="shared" si="25"/>
        <v>256.12592177262371</v>
      </c>
      <c r="GD41" s="60">
        <f t="shared" si="26"/>
        <v>502.31751506618241</v>
      </c>
      <c r="GE41" s="60">
        <f ca="1">AVERAGE(OFFSET($GD$3,0,0,'Données projet'!$E$17+1,1))-AVERAGE(OFFSET($H$3,0,0,'Données projet'!$E$17+1,1))</f>
        <v>495.77880062178235</v>
      </c>
      <c r="GF41" s="60">
        <f t="shared" si="50"/>
        <v>263.55891737750301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10.6</v>
      </c>
      <c r="N42" s="14">
        <f>IF('Données projet'!$A$36&gt;35,N41+M42-V41,IF(A42&lt;'Données projet'!$A$36,$K$205^A42,IF(A42='Données projet'!$A$36,'Données projet'!$B$36,N41+M42-V41)))</f>
        <v>153.39999999999995</v>
      </c>
      <c r="O42" s="14">
        <f>N42*VLOOKUP('Données projet'!$B$9,Paramètres!$A$1:$I$89,3,0)*VLOOKUP('Données projet'!$B$9,Paramètres!$A$1:$I$89,5,0)</f>
        <v>131.61719999999997</v>
      </c>
      <c r="P42" s="14">
        <f t="shared" si="33"/>
        <v>34.3697774617943</v>
      </c>
      <c r="Q42" s="22">
        <f t="shared" si="53"/>
        <v>289.09398574595832</v>
      </c>
      <c r="R42" s="60">
        <f t="shared" si="0"/>
        <v>536.10338283606541</v>
      </c>
      <c r="S42" s="60">
        <f ca="1">AVERAGE(OFFSET($R$3,0,0,'Données projet'!$E$9+1,1))-AVERAGE(OFFSET($H$3,0,0,'Données projet'!$E$9+1,1))</f>
        <v>598.73855311281966</v>
      </c>
      <c r="T42" s="60">
        <f t="shared" si="34"/>
        <v>275.88160405468193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0">
        <f t="shared" si="5"/>
        <v>533.49486426623253</v>
      </c>
      <c r="AN42" s="60">
        <f ca="1">AVERAGE(OFFSET($AM$3,0,0,'Données projet'!$E$10+1,1))-AVERAGE(OFFSET($H$3,0,0,'Données projet'!$E$10+1,1))</f>
        <v>515.72324585399997</v>
      </c>
      <c r="AO42" s="60">
        <f t="shared" si="36"/>
        <v>273.35778700650792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167.20329600000002</v>
      </c>
      <c r="BF42" s="14">
        <f t="shared" si="37"/>
        <v>42.463051496825123</v>
      </c>
      <c r="BG42" s="22">
        <f t="shared" si="7"/>
        <v>365.16888855697044</v>
      </c>
      <c r="BH42" s="60">
        <f t="shared" si="8"/>
        <v>612.17828564707759</v>
      </c>
      <c r="BI42" s="60">
        <f ca="1">AVERAGE(OFFSET($BH$3,0,0,'Données projet'!$E$11+1,1))-AVERAGE(OFFSET($H$3,0,0,'Données projet'!$E$11+1,1))</f>
        <v>336.25341821407534</v>
      </c>
      <c r="BJ42" s="60">
        <f t="shared" si="38"/>
        <v>360.3246221345039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4.0518337773245339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4.0518337773245339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6.7948717948717956</v>
      </c>
      <c r="BY42" s="13">
        <f>IF('Données projet'!$A$114&gt;35,BY41+BX42-CG41,IF(A42&lt;'Données projet'!$A$114,$BV$205^A42,IF(A42='Données projet'!$A$114,'Données projet'!$B$114,BY41+BX42-CG41)))</f>
        <v>170.76923076923077</v>
      </c>
      <c r="BZ42" s="14">
        <f>BY42*VLOOKUP('Données projet'!$B$12,Paramètres!$A$1:$I$89,3,0)*VLOOKUP('Données projet'!$B$12,Paramètres!$A$1:$I$89,5,0)</f>
        <v>162.50399999999999</v>
      </c>
      <c r="CA42" s="14">
        <f t="shared" si="39"/>
        <v>41.406788145180982</v>
      </c>
      <c r="CB42" s="22">
        <f t="shared" si="10"/>
        <v>355.14462268619019</v>
      </c>
      <c r="CC42" s="60">
        <f t="shared" si="11"/>
        <v>602.15401977629733</v>
      </c>
      <c r="CD42" s="60">
        <f ca="1">AVERAGE(OFFSET($CC$3,0,0,'Données projet'!$E$12+1,1))-AVERAGE(OFFSET($H$3,0,0,'Données projet'!$E$12+1,1))</f>
        <v>438.41611139377829</v>
      </c>
      <c r="CE42" s="60">
        <f t="shared" si="40"/>
        <v>345.17417065809605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11.339999999999998</v>
      </c>
      <c r="CT42" s="13">
        <f>IF('Données projet'!$A$140&gt;35,CT41+CS42-DB41,IF(A42&lt;'Données projet'!$A$140,$CQ$205^A42,IF(A42='Données projet'!$A$140,'Données projet'!$B$140,CT41+CS42-DB41)))</f>
        <v>216.75999999999993</v>
      </c>
      <c r="CU42" s="18">
        <f>CT42*VLOOKUP('Données projet'!$B$13,Paramètres!$A$1:$I$89,3,0)*VLOOKUP('Données projet'!$B$13,Paramètres!$A$1:$I$89,5,0)</f>
        <v>172.45425599999996</v>
      </c>
      <c r="CV42" s="14">
        <f t="shared" si="41"/>
        <v>43.63923590321825</v>
      </c>
      <c r="CW42" s="22">
        <f t="shared" si="13"/>
        <v>376.36283173143835</v>
      </c>
      <c r="CX42" s="60">
        <f t="shared" si="14"/>
        <v>623.37222882154549</v>
      </c>
      <c r="CY42" s="60">
        <f ca="1">AVERAGE(OFFSET($CX$3,0,0,'Données projet'!$E$13+1,1))-AVERAGE(OFFSET($H$3,0,0,'Données projet'!$E$13+1,1))</f>
        <v>395.27840703467933</v>
      </c>
      <c r="CZ42" s="60">
        <f t="shared" si="42"/>
        <v>364.24192380053944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12.4</v>
      </c>
      <c r="DO42" s="13">
        <f>IF('Données projet'!$A$166&gt;35,DO41+DN42-DW41,IF(A42&lt;'Données projet'!$A$166,$DL$205^A42,IF(A42='Données projet'!$A$166,'Données projet'!$B$166,DO41+DN42-DW41)))</f>
        <v>195.60000000000002</v>
      </c>
      <c r="DP42" s="18">
        <f>DO42*VLOOKUP('Données projet'!$B$14,Paramètres!$A$1:$I$89,3,0)*VLOOKUP('Données projet'!$B$14,Paramètres!$A$1:$I$89,5,0)</f>
        <v>152.56800000000001</v>
      </c>
      <c r="DQ42" s="14">
        <f t="shared" si="43"/>
        <v>39.161595030150863</v>
      </c>
      <c r="DR42" s="22">
        <f t="shared" si="16"/>
        <v>333.92904467751276</v>
      </c>
      <c r="DS42" s="60">
        <f t="shared" si="17"/>
        <v>580.93844176761991</v>
      </c>
      <c r="DT42" s="60">
        <f ca="1">AVERAGE(OFFSET($DS$3,0,0,'Données projet'!$E$14+1,1))-AVERAGE(OFFSET($H$3,0,0,'Données projet'!$E$14+1,1))</f>
        <v>308.76306523144956</v>
      </c>
      <c r="DU42" s="60">
        <f t="shared" si="44"/>
        <v>283.28099819802776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7.5641025641025639</v>
      </c>
      <c r="EJ42" s="13">
        <f>IF('Données projet'!$A$192&gt;35,EJ41+EI42-ER41,IF(A42&lt;'Données projet'!$A$192,$EG$205^A42,IF(A42='Données projet'!$A$192,'Données projet'!$B$192,EJ41+EI42-ER41)))</f>
        <v>205.25641025641031</v>
      </c>
      <c r="EK42" s="18">
        <f>EJ42*VLOOKUP('Données projet'!$B$15,Paramètres!$A$1:$I$89,3,0)*VLOOKUP('Données projet'!$B$15,Paramètres!$A$1:$I$89,5,0)</f>
        <v>137.68600000000004</v>
      </c>
      <c r="EL42" s="14">
        <f t="shared" si="45"/>
        <v>35.766387483755281</v>
      </c>
      <c r="EM42" s="22">
        <f t="shared" si="19"/>
        <v>302.09624153420719</v>
      </c>
      <c r="EN42" s="60">
        <f t="shared" si="20"/>
        <v>549.10563862431434</v>
      </c>
      <c r="EO42" s="60">
        <f ca="1">AVERAGE(OFFSET($EN$3,0,0,'Données projet'!$E$15+1,1))-AVERAGE(OFFSET($H$3,0,0,'Données projet'!$E$15+1,1))</f>
        <v>375.49921531693559</v>
      </c>
      <c r="EP42" s="60">
        <f t="shared" si="46"/>
        <v>306.93934681565599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6</v>
      </c>
      <c r="FE42" s="13">
        <f>IF('Données projet'!$A$218&gt;35,FE41+FD42-FM41,IF(A42&lt;'Données projet'!$A$218,$FB$205^A42,IF(A42='Données projet'!$A$218,'Données projet'!$B$218,FE41+FD42-FM41)))</f>
        <v>144.99999999999997</v>
      </c>
      <c r="FF42" s="18">
        <f>FE42*VLOOKUP('Données projet'!$B$16,Paramètres!$A$1:$I$89,3,0)*VLOOKUP('Données projet'!$B$16,Paramètres!$A$1:$I$89,5,0)</f>
        <v>117.624</v>
      </c>
      <c r="FG42" s="14">
        <f t="shared" si="47"/>
        <v>31.120192961985413</v>
      </c>
      <c r="FH42" s="22">
        <f t="shared" si="22"/>
        <v>259.06280274212457</v>
      </c>
      <c r="FI42" s="60">
        <f t="shared" si="23"/>
        <v>506.07219983223172</v>
      </c>
      <c r="FJ42" s="60">
        <f ca="1">AVERAGE(OFFSET($FI$3,0,0,'Données projet'!$E$16+1,1))-AVERAGE(OFFSET($H$3,0,0,'Données projet'!$E$16+1,1))</f>
        <v>308.58270639204238</v>
      </c>
      <c r="FK42" s="60">
        <f t="shared" si="48"/>
        <v>258.90832875500325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8.4</v>
      </c>
      <c r="FZ42" s="13">
        <f>IF('Données projet'!$A$244&gt;35,FZ41+FY42-GH41,IF(A42&lt;'Données projet'!$A$244,$FW$205^A42,IF(A42='Données projet'!$A$244,'Données projet'!$B$244,FZ41+FY42-GH41)))</f>
        <v>128.60000000000002</v>
      </c>
      <c r="GA42" s="18">
        <f>FZ42*VLOOKUP('Données projet'!$B$17,Paramètres!$A$1:$I$89,3,0)*VLOOKUP('Données projet'!$B$17,Paramètres!$A$1:$I$89,5,0)</f>
        <v>124.38192000000002</v>
      </c>
      <c r="GB42" s="14">
        <f t="shared" si="49"/>
        <v>32.694867122876893</v>
      </c>
      <c r="GC42" s="22">
        <f t="shared" si="25"/>
        <v>273.5754042390106</v>
      </c>
      <c r="GD42" s="60">
        <f t="shared" si="26"/>
        <v>520.58480132911768</v>
      </c>
      <c r="GE42" s="60">
        <f ca="1">AVERAGE(OFFSET($GD$3,0,0,'Données projet'!$E$17+1,1))-AVERAGE(OFFSET($H$3,0,0,'Données projet'!$E$17+1,1))</f>
        <v>495.77880062178235</v>
      </c>
      <c r="GF42" s="60">
        <f t="shared" si="50"/>
        <v>263.55891737750301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164</v>
      </c>
      <c r="L43" s="13">
        <f>VLOOKUP(A43,'Données projet'!$A$35:$I$55,9,0)</f>
        <v>10.6</v>
      </c>
      <c r="M43" s="13">
        <f t="array" ref="M43">INDEX(L:L,MIN(IF(ISNUMBER(L43:L239),ROW(L43:L239),"")))</f>
        <v>10.6</v>
      </c>
      <c r="N43" s="14">
        <f>IF('Données projet'!$A$36&gt;35,N42+M43-V42,IF(A43&lt;'Données projet'!$A$36,$K$205^A43,IF(A43='Données projet'!$A$36,'Données projet'!$B$36,N42+M43-V42)))</f>
        <v>163.99999999999994</v>
      </c>
      <c r="O43" s="14">
        <f>N43*VLOOKUP('Données projet'!$B$9,Paramètres!$A$1:$I$89,3,0)*VLOOKUP('Données projet'!$B$9,Paramètres!$A$1:$I$89,5,0)</f>
        <v>140.71199999999996</v>
      </c>
      <c r="P43" s="14">
        <f t="shared" si="33"/>
        <v>36.46006650944075</v>
      </c>
      <c r="Q43" s="22">
        <f t="shared" si="53"/>
        <v>308.57468250394254</v>
      </c>
      <c r="R43" s="60">
        <f t="shared" si="0"/>
        <v>556.38769632306332</v>
      </c>
      <c r="S43" s="60">
        <f ca="1">AVERAGE(OFFSET($R$3,0,0,'Données projet'!$E$9+1,1))-AVERAGE(OFFSET($H$3,0,0,'Données projet'!$E$9+1,1))</f>
        <v>598.73855311281966</v>
      </c>
      <c r="T43" s="60">
        <f t="shared" si="34"/>
        <v>275.88160405468193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138.91800000000003</v>
      </c>
      <c r="AK43" s="14">
        <f t="shared" si="35"/>
        <v>36.049022673886341</v>
      </c>
      <c r="AL43" s="22">
        <f t="shared" si="4"/>
        <v>304.73423115701877</v>
      </c>
      <c r="AM43" s="60">
        <f t="shared" si="5"/>
        <v>552.54724497613961</v>
      </c>
      <c r="AN43" s="60">
        <f ca="1">AVERAGE(OFFSET($AM$3,0,0,'Données projet'!$E$10+1,1))-AVERAGE(OFFSET($H$3,0,0,'Données projet'!$E$10+1,1))</f>
        <v>515.72324585399997</v>
      </c>
      <c r="AO43" s="60">
        <f t="shared" si="36"/>
        <v>273.35778700650792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174.71376000000001</v>
      </c>
      <c r="BF43" s="14">
        <f t="shared" si="37"/>
        <v>44.144062647515817</v>
      </c>
      <c r="BG43" s="22">
        <f t="shared" si="7"/>
        <v>381.17737444442338</v>
      </c>
      <c r="BH43" s="60">
        <f t="shared" si="8"/>
        <v>628.99038826354422</v>
      </c>
      <c r="BI43" s="60">
        <f ca="1">AVERAGE(OFFSET($BH$3,0,0,'Données projet'!$E$11+1,1))-AVERAGE(OFFSET($H$3,0,0,'Données projet'!$E$11+1,1))</f>
        <v>336.25341821407534</v>
      </c>
      <c r="BJ43" s="60">
        <f t="shared" si="38"/>
        <v>360.3246221345039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3.9410361696069169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3.9410361696069169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177.56410256410257</v>
      </c>
      <c r="BW43" s="13">
        <f>VLOOKUP(A43,'Données projet'!$A$113:$I$133,9,0)</f>
        <v>6.7948717948717956</v>
      </c>
      <c r="BX43" s="13">
        <f t="array" ref="BX43">INDEX(BW:BW,MIN(IF(ISNUMBER(BW43:BW239),ROW(BW43:BW239),"")))</f>
        <v>6.7948717948717956</v>
      </c>
      <c r="BY43" s="13">
        <f>IF('Données projet'!$A$114&gt;35,BY42+BX43-CG42,IF(A43&lt;'Données projet'!$A$114,$BV$205^A43,IF(A43='Données projet'!$A$114,'Données projet'!$B$114,BY42+BX43-CG42)))</f>
        <v>177.56410256410257</v>
      </c>
      <c r="BZ43" s="14">
        <f>BY43*VLOOKUP('Données projet'!$B$12,Paramètres!$A$1:$I$89,3,0)*VLOOKUP('Données projet'!$B$12,Paramètres!$A$1:$I$89,5,0)</f>
        <v>168.97000000000003</v>
      </c>
      <c r="CA43" s="14">
        <f t="shared" si="39"/>
        <v>42.85925631971174</v>
      </c>
      <c r="CB43" s="22">
        <f t="shared" si="10"/>
        <v>368.93595475683128</v>
      </c>
      <c r="CC43" s="60">
        <f t="shared" si="11"/>
        <v>616.74896857595206</v>
      </c>
      <c r="CD43" s="60">
        <f ca="1">AVERAGE(OFFSET($CC$3,0,0,'Données projet'!$E$12+1,1))-AVERAGE(OFFSET($H$3,0,0,'Données projet'!$E$12+1,1))</f>
        <v>438.41611139377829</v>
      </c>
      <c r="CE43" s="60">
        <f t="shared" si="40"/>
        <v>345.17417065809605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34.615384615384613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228.1</v>
      </c>
      <c r="CR43" s="13">
        <f>VLOOKUP(A43,'Données projet'!$A$139:$I$159,9,0)</f>
        <v>11.339999999999998</v>
      </c>
      <c r="CS43" s="13">
        <f t="array" ref="CS43">INDEX(CR:CR,MIN(IF(ISNUMBER(CR43:CR239),ROW(CR43:CR239),"")))</f>
        <v>11.339999999999998</v>
      </c>
      <c r="CT43" s="13">
        <f>IF('Données projet'!$A$140&gt;35,CT42+CS43-DB42,IF(A43&lt;'Données projet'!$A$140,$CQ$205^A43,IF(A43='Données projet'!$A$140,'Données projet'!$B$140,CT42+CS43-DB42)))</f>
        <v>228.09999999999994</v>
      </c>
      <c r="CU43" s="18">
        <f>CT43*VLOOKUP('Données projet'!$B$13,Paramètres!$A$1:$I$89,3,0)*VLOOKUP('Données projet'!$B$13,Paramètres!$A$1:$I$89,5,0)</f>
        <v>181.47635999999997</v>
      </c>
      <c r="CV43" s="14">
        <f t="shared" si="41"/>
        <v>45.650492748883501</v>
      </c>
      <c r="CW43" s="22">
        <f t="shared" si="13"/>
        <v>395.57926853763865</v>
      </c>
      <c r="CX43" s="60">
        <f t="shared" si="14"/>
        <v>643.39228235675944</v>
      </c>
      <c r="CY43" s="60">
        <f ca="1">AVERAGE(OFFSET($CX$3,0,0,'Données projet'!$E$13+1,1))-AVERAGE(OFFSET($H$3,0,0,'Données projet'!$E$13+1,1))</f>
        <v>395.27840703467933</v>
      </c>
      <c r="CZ43" s="60">
        <f t="shared" si="42"/>
        <v>364.24192380053944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208</v>
      </c>
      <c r="DM43" s="13">
        <f>VLOOKUP(A43,'Données projet'!$A$165:$I$185,9,0)</f>
        <v>12.4</v>
      </c>
      <c r="DN43" s="13">
        <f t="array" ref="DN43">INDEX(DM:DM,MIN(IF(ISNUMBER(DM43:DM239),ROW(DM43:DM239),"")))</f>
        <v>12.4</v>
      </c>
      <c r="DO43" s="13">
        <f>IF('Données projet'!$A$166&gt;35,DO42+DN43-DW42,IF(A43&lt;'Données projet'!$A$166,$DL$205^A43,IF(A43='Données projet'!$A$166,'Données projet'!$B$166,DO42+DN43-DW42)))</f>
        <v>208.00000000000003</v>
      </c>
      <c r="DP43" s="18">
        <f>DO43*VLOOKUP('Données projet'!$B$14,Paramètres!$A$1:$I$89,3,0)*VLOOKUP('Données projet'!$B$14,Paramètres!$A$1:$I$89,5,0)</f>
        <v>162.24000000000004</v>
      </c>
      <c r="DQ43" s="14">
        <f t="shared" si="43"/>
        <v>41.347344120141088</v>
      </c>
      <c r="DR43" s="22">
        <f t="shared" si="16"/>
        <v>354.58129100924572</v>
      </c>
      <c r="DS43" s="60">
        <f t="shared" si="17"/>
        <v>602.39430482836656</v>
      </c>
      <c r="DT43" s="60">
        <f ca="1">AVERAGE(OFFSET($DS$3,0,0,'Données projet'!$E$14+1,1))-AVERAGE(OFFSET($H$3,0,0,'Données projet'!$E$14+1,1))</f>
        <v>308.76306523144956</v>
      </c>
      <c r="DU43" s="60">
        <f t="shared" si="44"/>
        <v>283.28099819802776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32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212.82051282051282</v>
      </c>
      <c r="EH43" s="13">
        <f>VLOOKUP(A43,'Données projet'!$A$191:$I$211,9,0)</f>
        <v>7.5641025641025639</v>
      </c>
      <c r="EI43" s="13">
        <f t="array" ref="EI43">INDEX(EH:EH,MIN(IF(ISNUMBER(EH43:EH239),ROW(EH43:EH239),"")))</f>
        <v>7.5641025641025639</v>
      </c>
      <c r="EJ43" s="13">
        <f>IF('Données projet'!$A$192&gt;35,EJ42+EI43-ER42,IF(A43&lt;'Données projet'!$A$192,$EG$205^A43,IF(A43='Données projet'!$A$192,'Données projet'!$B$192,EJ42+EI43-ER42)))</f>
        <v>212.82051282051287</v>
      </c>
      <c r="EK43" s="18">
        <f>EJ43*VLOOKUP('Données projet'!$B$15,Paramètres!$A$1:$I$89,3,0)*VLOOKUP('Données projet'!$B$15,Paramètres!$A$1:$I$89,5,0)</f>
        <v>142.76000000000005</v>
      </c>
      <c r="EL43" s="14">
        <f t="shared" si="45"/>
        <v>36.928562548329154</v>
      </c>
      <c r="EM43" s="22">
        <f t="shared" si="19"/>
        <v>312.95757977167335</v>
      </c>
      <c r="EN43" s="60">
        <f t="shared" si="20"/>
        <v>560.77059359079419</v>
      </c>
      <c r="EO43" s="60">
        <f ca="1">AVERAGE(OFFSET($EN$3,0,0,'Données projet'!$E$15+1,1))-AVERAGE(OFFSET($H$3,0,0,'Données projet'!$E$15+1,1))</f>
        <v>375.49921531693559</v>
      </c>
      <c r="EP43" s="60">
        <f t="shared" si="46"/>
        <v>306.93934681565599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37.179487179487175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151</v>
      </c>
      <c r="FC43" s="13">
        <f>VLOOKUP(A43,'Données projet'!$A$217:$I$237,9,0)</f>
        <v>6</v>
      </c>
      <c r="FD43" s="13">
        <f t="array" ref="FD43">INDEX(FC:FC,MIN(IF(ISNUMBER(FC43:FC239),ROW(FC43:FC239),"")))</f>
        <v>6</v>
      </c>
      <c r="FE43" s="13">
        <f>IF('Données projet'!$A$218&gt;35,FE42+FD43-FM42,IF(A43&lt;'Données projet'!$A$218,$FB$205^A43,IF(A43='Données projet'!$A$218,'Données projet'!$B$218,FE42+FD43-FM42)))</f>
        <v>150.99999999999997</v>
      </c>
      <c r="FF43" s="18">
        <f>FE43*VLOOKUP('Données projet'!$B$16,Paramètres!$A$1:$I$89,3,0)*VLOOKUP('Données projet'!$B$16,Paramètres!$A$1:$I$89,5,0)</f>
        <v>122.49119999999998</v>
      </c>
      <c r="FG43" s="14">
        <f t="shared" si="47"/>
        <v>32.255334127777445</v>
      </c>
      <c r="FH43" s="22">
        <f t="shared" si="22"/>
        <v>269.51688027254562</v>
      </c>
      <c r="FI43" s="60">
        <f t="shared" si="23"/>
        <v>517.32989409166646</v>
      </c>
      <c r="FJ43" s="60">
        <f ca="1">AVERAGE(OFFSET($FI$3,0,0,'Données projet'!$E$16+1,1))-AVERAGE(OFFSET($H$3,0,0,'Données projet'!$E$16+1,1))</f>
        <v>308.58270639204238</v>
      </c>
      <c r="FK43" s="60">
        <f t="shared" si="48"/>
        <v>258.90832875500325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27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137</v>
      </c>
      <c r="FX43" s="13">
        <f>VLOOKUP(A43,'Données projet'!$A$243:$I$263,9,0)</f>
        <v>8.4</v>
      </c>
      <c r="FY43" s="13">
        <f t="array" ref="FY43">INDEX(FX:FX,MIN(IF(ISNUMBER(FX43:FX239),ROW(FX43:FX239),"")))</f>
        <v>8.4</v>
      </c>
      <c r="FZ43" s="13">
        <f>IF('Données projet'!$A$244&gt;35,FZ42+FY43-GH42,IF(A43&lt;'Données projet'!$A$244,$FW$205^A43,IF(A43='Données projet'!$A$244,'Données projet'!$B$244,FZ42+FY43-GH42)))</f>
        <v>137.00000000000003</v>
      </c>
      <c r="GA43" s="18">
        <f>FZ43*VLOOKUP('Données projet'!$B$17,Paramètres!$A$1:$I$89,3,0)*VLOOKUP('Données projet'!$B$17,Paramètres!$A$1:$I$89,5,0)</f>
        <v>132.50640000000001</v>
      </c>
      <c r="GB43" s="14">
        <f t="shared" si="49"/>
        <v>34.574869530248939</v>
      </c>
      <c r="GC43" s="22">
        <f t="shared" si="25"/>
        <v>290.99987776518356</v>
      </c>
      <c r="GD43" s="60">
        <f t="shared" si="26"/>
        <v>538.81289158430434</v>
      </c>
      <c r="GE43" s="60">
        <f ca="1">AVERAGE(OFFSET($GD$3,0,0,'Données projet'!$E$17+1,1))-AVERAGE(OFFSET($H$3,0,0,'Données projet'!$E$17+1,1))</f>
        <v>495.77880062178235</v>
      </c>
      <c r="GF43" s="60">
        <f t="shared" si="50"/>
        <v>263.55891737750301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10.8</v>
      </c>
      <c r="N44" s="14">
        <f>IF('Données projet'!$A$36&gt;35,N43+M44-V43,IF(A44&lt;'Données projet'!$A$36,$K$205^A44,IF(A44='Données projet'!$A$36,'Données projet'!$B$36,N43+M44-V43)))</f>
        <v>174.79999999999995</v>
      </c>
      <c r="O44" s="14">
        <f>N44*VLOOKUP('Données projet'!$B$9,Paramètres!$A$1:$I$89,3,0)*VLOOKUP('Données projet'!$B$9,Paramètres!$A$1:$I$89,5,0)</f>
        <v>149.97839999999999</v>
      </c>
      <c r="P44" s="14">
        <f t="shared" si="33"/>
        <v>38.573676902204191</v>
      </c>
      <c r="Q44" s="22">
        <f t="shared" si="53"/>
        <v>328.39486727133897</v>
      </c>
      <c r="R44" s="60">
        <f t="shared" si="0"/>
        <v>576.99755686584297</v>
      </c>
      <c r="S44" s="60">
        <f ca="1">AVERAGE(OFFSET($R$3,0,0,'Données projet'!$E$9+1,1))-AVERAGE(OFFSET($H$3,0,0,'Données projet'!$E$9+1,1))</f>
        <v>598.73855311281966</v>
      </c>
      <c r="T44" s="60">
        <f t="shared" si="34"/>
        <v>275.88160405468193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145.40000000000003</v>
      </c>
      <c r="AJ44" s="14">
        <f>AI44*VLOOKUP('Données projet'!$B$10,Paramètres!$A$1:$I$89,3,0)*VLOOKUP('Données projet'!$B$10,Paramètres!$A$1:$I$89,5,0)</f>
        <v>147.43560000000002</v>
      </c>
      <c r="AK44" s="14">
        <f t="shared" si="35"/>
        <v>37.99523294834102</v>
      </c>
      <c r="AL44" s="22">
        <f t="shared" si="4"/>
        <v>322.95870071836066</v>
      </c>
      <c r="AM44" s="60">
        <f t="shared" si="5"/>
        <v>571.56139031286466</v>
      </c>
      <c r="AN44" s="60">
        <f ca="1">AVERAGE(OFFSET($AM$3,0,0,'Données projet'!$E$10+1,1))-AVERAGE(OFFSET($H$3,0,0,'Données projet'!$E$10+1,1))</f>
        <v>515.72324585399997</v>
      </c>
      <c r="AO44" s="60">
        <f t="shared" si="36"/>
        <v>273.35778700650792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136.68408000000002</v>
      </c>
      <c r="BF44" s="14">
        <f t="shared" si="37"/>
        <v>35.536318307654433</v>
      </c>
      <c r="BG44" s="22">
        <f t="shared" si="7"/>
        <v>299.9505270524981</v>
      </c>
      <c r="BH44" s="60">
        <f t="shared" si="8"/>
        <v>548.55321664700205</v>
      </c>
      <c r="BI44" s="60">
        <f ca="1">AVERAGE(OFFSET($BH$3,0,0,'Données projet'!$E$11+1,1))-AVERAGE(OFFSET($H$3,0,0,'Données projet'!$E$11+1,1))</f>
        <v>336.25341821407534</v>
      </c>
      <c r="BJ44" s="60">
        <f t="shared" si="38"/>
        <v>360.3246221345039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3.833268328298931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3.833268328298931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6.2820512820512819</v>
      </c>
      <c r="BY44" s="13">
        <f>IF('Données projet'!$A$114&gt;35,BY43+BX44-CG43,IF(A44&lt;'Données projet'!$A$114,$BV$205^A44,IF(A44='Données projet'!$A$114,'Données projet'!$B$114,BY43+BX44-CG43)))</f>
        <v>149.23076923076923</v>
      </c>
      <c r="BZ44" s="14">
        <f>BY44*VLOOKUP('Données projet'!$B$12,Paramètres!$A$1:$I$89,3,0)*VLOOKUP('Données projet'!$B$12,Paramètres!$A$1:$I$89,5,0)</f>
        <v>142.00799999999998</v>
      </c>
      <c r="CA44" s="14">
        <f t="shared" si="39"/>
        <v>36.756628141049653</v>
      </c>
      <c r="CB44" s="22">
        <f t="shared" si="10"/>
        <v>311.34839401232813</v>
      </c>
      <c r="CC44" s="60">
        <f t="shared" si="11"/>
        <v>559.95108360683207</v>
      </c>
      <c r="CD44" s="60">
        <f ca="1">AVERAGE(OFFSET($CC$3,0,0,'Données projet'!$E$12+1,1))-AVERAGE(OFFSET($H$3,0,0,'Données projet'!$E$12+1,1))</f>
        <v>438.41611139377829</v>
      </c>
      <c r="CE44" s="60">
        <f t="shared" si="40"/>
        <v>345.17417065809605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9.8199999999999985</v>
      </c>
      <c r="CT44" s="13">
        <f>IF('Données projet'!$A$140&gt;35,CT43+CS44-DB43,IF(A44&lt;'Données projet'!$A$140,$CQ$205^A44,IF(A44='Données projet'!$A$140,'Données projet'!$B$140,CT43+CS44-DB43)))</f>
        <v>237.91999999999993</v>
      </c>
      <c r="CU44" s="18">
        <f>CT44*VLOOKUP('Données projet'!$B$13,Paramètres!$A$1:$I$89,3,0)*VLOOKUP('Données projet'!$B$13,Paramètres!$A$1:$I$89,5,0)</f>
        <v>189.28915199999994</v>
      </c>
      <c r="CV44" s="14">
        <f t="shared" si="41"/>
        <v>47.382760183168436</v>
      </c>
      <c r="CW44" s="22">
        <f t="shared" si="13"/>
        <v>412.20358038568492</v>
      </c>
      <c r="CX44" s="60">
        <f t="shared" si="14"/>
        <v>660.80626998018886</v>
      </c>
      <c r="CY44" s="60">
        <f ca="1">AVERAGE(OFFSET($CX$3,0,0,'Données projet'!$E$13+1,1))-AVERAGE(OFFSET($H$3,0,0,'Données projet'!$E$13+1,1))</f>
        <v>395.27840703467933</v>
      </c>
      <c r="CZ44" s="60">
        <f t="shared" si="42"/>
        <v>364.24192380053944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187.40000000000003</v>
      </c>
      <c r="DP44" s="18">
        <f>DO44*VLOOKUP('Données projet'!$B$14,Paramètres!$A$1:$I$89,3,0)*VLOOKUP('Données projet'!$B$14,Paramètres!$A$1:$I$89,5,0)</f>
        <v>146.17200000000003</v>
      </c>
      <c r="DQ44" s="14">
        <f t="shared" si="43"/>
        <v>37.707354374771185</v>
      </c>
      <c r="DR44" s="22">
        <f t="shared" si="16"/>
        <v>320.25654220272645</v>
      </c>
      <c r="DS44" s="60">
        <f t="shared" si="17"/>
        <v>568.85923179723045</v>
      </c>
      <c r="DT44" s="60">
        <f ca="1">AVERAGE(OFFSET($DS$3,0,0,'Données projet'!$E$14+1,1))-AVERAGE(OFFSET($H$3,0,0,'Données projet'!$E$14+1,1))</f>
        <v>308.76306523144956</v>
      </c>
      <c r="DU44" s="60">
        <f t="shared" si="44"/>
        <v>283.28099819802776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7.1794871794871771</v>
      </c>
      <c r="EJ44" s="13">
        <f>IF('Données projet'!$A$192&gt;35,EJ43+EI44-ER43,IF(A44&lt;'Données projet'!$A$192,$EG$205^A44,IF(A44='Données projet'!$A$192,'Données projet'!$B$192,EJ43+EI44-ER43)))</f>
        <v>182.82051282051287</v>
      </c>
      <c r="EK44" s="18">
        <f>EJ44*VLOOKUP('Données projet'!$B$15,Paramètres!$A$1:$I$89,3,0)*VLOOKUP('Données projet'!$B$15,Paramètres!$A$1:$I$89,5,0)</f>
        <v>122.63600000000004</v>
      </c>
      <c r="EL44" s="14">
        <f t="shared" si="45"/>
        <v>32.289023355660923</v>
      </c>
      <c r="EM44" s="22">
        <f t="shared" si="19"/>
        <v>269.82774901110952</v>
      </c>
      <c r="EN44" s="60">
        <f t="shared" si="20"/>
        <v>518.43043860561352</v>
      </c>
      <c r="EO44" s="60">
        <f ca="1">AVERAGE(OFFSET($EN$3,0,0,'Données projet'!$E$15+1,1))-AVERAGE(OFFSET($H$3,0,0,'Données projet'!$E$15+1,1))</f>
        <v>375.49921531693559</v>
      </c>
      <c r="EP44" s="60">
        <f t="shared" si="46"/>
        <v>306.93934681565599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6.4</v>
      </c>
      <c r="FE44" s="13">
        <f>IF('Données projet'!$A$218&gt;35,FE43+FD44-FM43,IF(A44&lt;'Données projet'!$A$218,$FB$205^A44,IF(A44='Données projet'!$A$218,'Données projet'!$B$218,FE43+FD44-FM43)))</f>
        <v>130.39999999999998</v>
      </c>
      <c r="FF44" s="18">
        <f>FE44*VLOOKUP('Données projet'!$B$16,Paramètres!$A$1:$I$89,3,0)*VLOOKUP('Données projet'!$B$16,Paramètres!$A$1:$I$89,5,0)</f>
        <v>105.78048</v>
      </c>
      <c r="FG44" s="14">
        <f t="shared" si="47"/>
        <v>28.334580954973664</v>
      </c>
      <c r="FH44" s="22">
        <f t="shared" si="22"/>
        <v>233.5837311632458</v>
      </c>
      <c r="FI44" s="60">
        <f t="shared" si="23"/>
        <v>482.18642075774977</v>
      </c>
      <c r="FJ44" s="60">
        <f ca="1">AVERAGE(OFFSET($FI$3,0,0,'Données projet'!$E$16+1,1))-AVERAGE(OFFSET($H$3,0,0,'Données projet'!$E$16+1,1))</f>
        <v>308.58270639204238</v>
      </c>
      <c r="FK44" s="60">
        <f t="shared" si="48"/>
        <v>258.90832875500325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8.4</v>
      </c>
      <c r="FZ44" s="13">
        <f>IF('Données projet'!$A$244&gt;35,FZ43+FY44-GH43,IF(A44&lt;'Données projet'!$A$244,$FW$205^A44,IF(A44='Données projet'!$A$244,'Données projet'!$B$244,FZ43+FY44-GH43)))</f>
        <v>145.40000000000003</v>
      </c>
      <c r="GA44" s="18">
        <f>FZ44*VLOOKUP('Données projet'!$B$17,Paramètres!$A$1:$I$89,3,0)*VLOOKUP('Données projet'!$B$17,Paramètres!$A$1:$I$89,5,0)</f>
        <v>140.63088000000005</v>
      </c>
      <c r="GB44" s="14">
        <f t="shared" si="49"/>
        <v>36.441493403146445</v>
      </c>
      <c r="GC44" s="22">
        <f t="shared" si="25"/>
        <v>308.40105034381344</v>
      </c>
      <c r="GD44" s="60">
        <f t="shared" si="26"/>
        <v>557.00373993831738</v>
      </c>
      <c r="GE44" s="60">
        <f ca="1">AVERAGE(OFFSET($GD$3,0,0,'Données projet'!$E$17+1,1))-AVERAGE(OFFSET($H$3,0,0,'Données projet'!$E$17+1,1))</f>
        <v>495.77880062178235</v>
      </c>
      <c r="GF44" s="60">
        <f t="shared" si="50"/>
        <v>263.55891737750301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10.8</v>
      </c>
      <c r="N45" s="14">
        <f>IF('Données projet'!$A$36&gt;35,N44+M45-V44,IF(A45&lt;'Données projet'!$A$36,$K$205^A45,IF(A45='Données projet'!$A$36,'Données projet'!$B$36,N44+M45-V44)))</f>
        <v>185.59999999999997</v>
      </c>
      <c r="O45" s="14">
        <f>N45*VLOOKUP('Données projet'!$B$9,Paramètres!$A$1:$I$89,3,0)*VLOOKUP('Données projet'!$B$9,Paramètres!$A$1:$I$89,5,0)</f>
        <v>159.24479999999997</v>
      </c>
      <c r="P45" s="14">
        <f t="shared" si="33"/>
        <v>40.672131063901716</v>
      </c>
      <c r="Q45" s="22">
        <f t="shared" si="53"/>
        <v>348.18865493629545</v>
      </c>
      <c r="R45" s="60">
        <f t="shared" si="0"/>
        <v>597.56732119693015</v>
      </c>
      <c r="S45" s="60">
        <f ca="1">AVERAGE(OFFSET($R$3,0,0,'Données projet'!$E$9+1,1))-AVERAGE(OFFSET($H$3,0,0,'Données projet'!$E$9+1,1))</f>
        <v>598.73855311281966</v>
      </c>
      <c r="T45" s="60">
        <f t="shared" si="34"/>
        <v>275.88160405468193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153.80000000000004</v>
      </c>
      <c r="AJ45" s="14">
        <f>AI45*VLOOKUP('Données projet'!$B$10,Paramètres!$A$1:$I$89,3,0)*VLOOKUP('Données projet'!$B$10,Paramètres!$A$1:$I$89,5,0)</f>
        <v>155.95320000000004</v>
      </c>
      <c r="AK45" s="14">
        <f t="shared" si="35"/>
        <v>39.928391937903875</v>
      </c>
      <c r="AL45" s="22">
        <f t="shared" si="4"/>
        <v>341.16043929184929</v>
      </c>
      <c r="AM45" s="60">
        <f t="shared" si="5"/>
        <v>590.53910555248399</v>
      </c>
      <c r="AN45" s="60">
        <f ca="1">AVERAGE(OFFSET($AM$3,0,0,'Données projet'!$E$10+1,1))-AVERAGE(OFFSET($H$3,0,0,'Données projet'!$E$10+1,1))</f>
        <v>515.72324585399997</v>
      </c>
      <c r="AO45" s="60">
        <f t="shared" si="36"/>
        <v>273.35778700650792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143.20800000000003</v>
      </c>
      <c r="BF45" s="14">
        <f t="shared" si="37"/>
        <v>37.030941422835831</v>
      </c>
      <c r="BG45" s="22">
        <f t="shared" si="7"/>
        <v>313.91615631143912</v>
      </c>
      <c r="BH45" s="60">
        <f t="shared" si="8"/>
        <v>563.29482257207383</v>
      </c>
      <c r="BI45" s="60">
        <f ca="1">AVERAGE(OFFSET($BH$3,0,0,'Données projet'!$E$11+1,1))-AVERAGE(OFFSET($H$3,0,0,'Données projet'!$E$11+1,1))</f>
        <v>336.25341821407534</v>
      </c>
      <c r="BJ45" s="60">
        <f t="shared" si="38"/>
        <v>360.3246221345039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3.7284474042787763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3.7284474042787763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6.2820512820512819</v>
      </c>
      <c r="BY45" s="13">
        <f>IF('Données projet'!$A$114&gt;35,BY44+BX45-CG44,IF(A45&lt;'Données projet'!$A$114,$BV$205^A45,IF(A45='Données projet'!$A$114,'Données projet'!$B$114,BY44+BX45-CG44)))</f>
        <v>155.5128205128205</v>
      </c>
      <c r="BZ45" s="14">
        <f>BY45*VLOOKUP('Données projet'!$B$12,Paramètres!$A$1:$I$89,3,0)*VLOOKUP('Données projet'!$B$12,Paramètres!$A$1:$I$89,5,0)</f>
        <v>147.98599999999999</v>
      </c>
      <c r="CA45" s="14">
        <f t="shared" si="39"/>
        <v>38.120537441454239</v>
      </c>
      <c r="CB45" s="22">
        <f t="shared" si="10"/>
        <v>324.13555271053275</v>
      </c>
      <c r="CC45" s="60">
        <f t="shared" si="11"/>
        <v>573.51421897116745</v>
      </c>
      <c r="CD45" s="60">
        <f ca="1">AVERAGE(OFFSET($CC$3,0,0,'Données projet'!$E$12+1,1))-AVERAGE(OFFSET($H$3,0,0,'Données projet'!$E$12+1,1))</f>
        <v>438.41611139377829</v>
      </c>
      <c r="CE45" s="60">
        <f t="shared" si="40"/>
        <v>345.17417065809605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9.8199999999999985</v>
      </c>
      <c r="CT45" s="13">
        <f>IF('Données projet'!$A$140&gt;35,CT44+CS45-DB44,IF(A45&lt;'Données projet'!$A$140,$CQ$205^A45,IF(A45='Données projet'!$A$140,'Données projet'!$B$140,CT44+CS45-DB44)))</f>
        <v>247.73999999999992</v>
      </c>
      <c r="CU45" s="18">
        <f>CT45*VLOOKUP('Données projet'!$B$13,Paramètres!$A$1:$I$89,3,0)*VLOOKUP('Données projet'!$B$13,Paramètres!$A$1:$I$89,5,0)</f>
        <v>197.10194399999995</v>
      </c>
      <c r="CV45" s="14">
        <f t="shared" si="41"/>
        <v>49.106722689439017</v>
      </c>
      <c r="CW45" s="22">
        <f t="shared" si="13"/>
        <v>428.8134278174395</v>
      </c>
      <c r="CX45" s="60">
        <f t="shared" si="14"/>
        <v>678.19209407807421</v>
      </c>
      <c r="CY45" s="60">
        <f ca="1">AVERAGE(OFFSET($CX$3,0,0,'Données projet'!$E$13+1,1))-AVERAGE(OFFSET($H$3,0,0,'Données projet'!$E$13+1,1))</f>
        <v>395.27840703467933</v>
      </c>
      <c r="CZ45" s="60">
        <f t="shared" si="42"/>
        <v>364.24192380053944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198.80000000000004</v>
      </c>
      <c r="DP45" s="18">
        <f>DO45*VLOOKUP('Données projet'!$B$14,Paramètres!$A$1:$I$89,3,0)*VLOOKUP('Données projet'!$B$14,Paramètres!$A$1:$I$89,5,0)</f>
        <v>155.06400000000005</v>
      </c>
      <c r="DQ45" s="14">
        <f t="shared" si="43"/>
        <v>39.727164550120094</v>
      </c>
      <c r="DR45" s="22">
        <f t="shared" si="16"/>
        <v>339.26127825812586</v>
      </c>
      <c r="DS45" s="60">
        <f t="shared" si="17"/>
        <v>588.63994451876056</v>
      </c>
      <c r="DT45" s="60">
        <f ca="1">AVERAGE(OFFSET($DS$3,0,0,'Données projet'!$E$14+1,1))-AVERAGE(OFFSET($H$3,0,0,'Données projet'!$E$14+1,1))</f>
        <v>308.76306523144956</v>
      </c>
      <c r="DU45" s="60">
        <f t="shared" si="44"/>
        <v>283.28099819802776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7.1794871794871771</v>
      </c>
      <c r="EJ45" s="13">
        <f>IF('Données projet'!$A$192&gt;35,EJ44+EI45-ER44,IF(A45&lt;'Données projet'!$A$192,$EG$205^A45,IF(A45='Données projet'!$A$192,'Données projet'!$B$192,EJ44+EI45-ER44)))</f>
        <v>190.00000000000006</v>
      </c>
      <c r="EK45" s="18">
        <f>EJ45*VLOOKUP('Données projet'!$B$15,Paramètres!$A$1:$I$89,3,0)*VLOOKUP('Données projet'!$B$15,Paramètres!$A$1:$I$89,5,0)</f>
        <v>127.45200000000003</v>
      </c>
      <c r="EL45" s="14">
        <f t="shared" si="45"/>
        <v>33.406914773953964</v>
      </c>
      <c r="EM45" s="22">
        <f t="shared" si="19"/>
        <v>280.16260989796984</v>
      </c>
      <c r="EN45" s="60">
        <f t="shared" si="20"/>
        <v>529.54127615860455</v>
      </c>
      <c r="EO45" s="60">
        <f ca="1">AVERAGE(OFFSET($EN$3,0,0,'Données projet'!$E$15+1,1))-AVERAGE(OFFSET($H$3,0,0,'Données projet'!$E$15+1,1))</f>
        <v>375.49921531693559</v>
      </c>
      <c r="EP45" s="60">
        <f t="shared" si="46"/>
        <v>306.93934681565599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6.4</v>
      </c>
      <c r="FE45" s="13">
        <f>IF('Données projet'!$A$218&gt;35,FE44+FD45-FM44,IF(A45&lt;'Données projet'!$A$218,$FB$205^A45,IF(A45='Données projet'!$A$218,'Données projet'!$B$218,FE44+FD45-FM44)))</f>
        <v>136.79999999999998</v>
      </c>
      <c r="FF45" s="18">
        <f>FE45*VLOOKUP('Données projet'!$B$16,Paramètres!$A$1:$I$89,3,0)*VLOOKUP('Données projet'!$B$16,Paramètres!$A$1:$I$89,5,0)</f>
        <v>110.97216</v>
      </c>
      <c r="FG45" s="14">
        <f t="shared" si="47"/>
        <v>29.559915623187329</v>
      </c>
      <c r="FH45" s="22">
        <f t="shared" si="22"/>
        <v>244.7600317103846</v>
      </c>
      <c r="FI45" s="60">
        <f t="shared" si="23"/>
        <v>494.13869797101933</v>
      </c>
      <c r="FJ45" s="60">
        <f ca="1">AVERAGE(OFFSET($FI$3,0,0,'Données projet'!$E$16+1,1))-AVERAGE(OFFSET($H$3,0,0,'Données projet'!$E$16+1,1))</f>
        <v>308.58270639204238</v>
      </c>
      <c r="FK45" s="60">
        <f t="shared" si="48"/>
        <v>258.90832875500325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8.4</v>
      </c>
      <c r="FZ45" s="13">
        <f>IF('Données projet'!$A$244&gt;35,FZ44+FY45-GH44,IF(A45&lt;'Données projet'!$A$244,$FW$205^A45,IF(A45='Données projet'!$A$244,'Données projet'!$B$244,FZ44+FY45-GH44)))</f>
        <v>153.80000000000004</v>
      </c>
      <c r="GA45" s="18">
        <f>FZ45*VLOOKUP('Données projet'!$B$17,Paramètres!$A$1:$I$89,3,0)*VLOOKUP('Données projet'!$B$17,Paramètres!$A$1:$I$89,5,0)</f>
        <v>148.75536000000005</v>
      </c>
      <c r="GB45" s="14">
        <f t="shared" si="49"/>
        <v>38.295599697511591</v>
      </c>
      <c r="GC45" s="22">
        <f t="shared" si="25"/>
        <v>325.78042147316609</v>
      </c>
      <c r="GD45" s="60">
        <f t="shared" si="26"/>
        <v>575.15908773380079</v>
      </c>
      <c r="GE45" s="60">
        <f ca="1">AVERAGE(OFFSET($GD$3,0,0,'Données projet'!$E$17+1,1))-AVERAGE(OFFSET($H$3,0,0,'Données projet'!$E$17+1,1))</f>
        <v>495.77880062178235</v>
      </c>
      <c r="GF45" s="60">
        <f t="shared" si="50"/>
        <v>263.55891737750301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10.8</v>
      </c>
      <c r="N46" s="14">
        <f>IF('Données projet'!$A$36&gt;35,N45+M46-V45,IF(A46&lt;'Données projet'!$A$36,$K$205^A46,IF(A46='Données projet'!$A$36,'Données projet'!$B$36,N45+M46-V45)))</f>
        <v>196.39999999999998</v>
      </c>
      <c r="O46" s="14">
        <f>N46*VLOOKUP('Données projet'!$B$9,Paramètres!$A$1:$I$89,3,0)*VLOOKUP('Données projet'!$B$9,Paramètres!$A$1:$I$89,5,0)</f>
        <v>168.5112</v>
      </c>
      <c r="P46" s="14">
        <f t="shared" si="33"/>
        <v>42.756411401172556</v>
      </c>
      <c r="Q46" s="22">
        <f t="shared" si="53"/>
        <v>367.95775652370889</v>
      </c>
      <c r="R46" s="60">
        <f t="shared" si="0"/>
        <v>618.09893799014094</v>
      </c>
      <c r="S46" s="60">
        <f ca="1">AVERAGE(OFFSET($R$3,0,0,'Données projet'!$E$9+1,1))-AVERAGE(OFFSET($H$3,0,0,'Données projet'!$E$9+1,1))</f>
        <v>598.73855311281966</v>
      </c>
      <c r="T46" s="60">
        <f t="shared" si="34"/>
        <v>275.88160405468193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162.20000000000005</v>
      </c>
      <c r="AJ46" s="14">
        <f>AI46*VLOOKUP('Données projet'!$B$10,Paramètres!$A$1:$I$89,3,0)*VLOOKUP('Données projet'!$B$10,Paramètres!$A$1:$I$89,5,0)</f>
        <v>164.47080000000005</v>
      </c>
      <c r="AK46" s="14">
        <f t="shared" si="35"/>
        <v>41.849293714451377</v>
      </c>
      <c r="AL46" s="22">
        <f t="shared" si="4"/>
        <v>359.34082988600289</v>
      </c>
      <c r="AM46" s="60">
        <f t="shared" si="5"/>
        <v>609.48201135243494</v>
      </c>
      <c r="AN46" s="60">
        <f ca="1">AVERAGE(OFFSET($AM$3,0,0,'Données projet'!$E$10+1,1))-AVERAGE(OFFSET($H$3,0,0,'Données projet'!$E$10+1,1))</f>
        <v>515.72324585399997</v>
      </c>
      <c r="AO46" s="60">
        <f t="shared" si="36"/>
        <v>273.35778700650792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149.73192000000006</v>
      </c>
      <c r="BF46" s="14">
        <f t="shared" si="37"/>
        <v>38.517657137847586</v>
      </c>
      <c r="BG46" s="22">
        <f t="shared" si="7"/>
        <v>327.86801351508461</v>
      </c>
      <c r="BH46" s="60">
        <f t="shared" si="8"/>
        <v>578.00919498151666</v>
      </c>
      <c r="BI46" s="60">
        <f ca="1">AVERAGE(OFFSET($BH$3,0,0,'Données projet'!$E$11+1,1))-AVERAGE(OFFSET($H$3,0,0,'Données projet'!$E$11+1,1))</f>
        <v>336.25341821407534</v>
      </c>
      <c r="BJ46" s="60">
        <f t="shared" si="38"/>
        <v>360.3246221345039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3.6264928139382455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3.6264928139382455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6.2820512820512819</v>
      </c>
      <c r="BY46" s="13">
        <f>IF('Données projet'!$A$114&gt;35,BY45+BX46-CG45,IF(A46&lt;'Données projet'!$A$114,$BV$205^A46,IF(A46='Données projet'!$A$114,'Données projet'!$B$114,BY45+BX46-CG45)))</f>
        <v>161.79487179487177</v>
      </c>
      <c r="BZ46" s="14">
        <f>BY46*VLOOKUP('Données projet'!$B$12,Paramètres!$A$1:$I$89,3,0)*VLOOKUP('Données projet'!$B$12,Paramètres!$A$1:$I$89,5,0)</f>
        <v>153.96399999999997</v>
      </c>
      <c r="CA46" s="14">
        <f t="shared" si="39"/>
        <v>39.478046772815077</v>
      </c>
      <c r="CB46" s="22">
        <f t="shared" si="10"/>
        <v>336.91156479598618</v>
      </c>
      <c r="CC46" s="60">
        <f t="shared" si="11"/>
        <v>587.05274626241817</v>
      </c>
      <c r="CD46" s="60">
        <f ca="1">AVERAGE(OFFSET($CC$3,0,0,'Données projet'!$E$12+1,1))-AVERAGE(OFFSET($H$3,0,0,'Données projet'!$E$12+1,1))</f>
        <v>438.41611139377829</v>
      </c>
      <c r="CE46" s="60">
        <f t="shared" si="40"/>
        <v>345.17417065809605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9.8199999999999985</v>
      </c>
      <c r="CT46" s="13">
        <f>IF('Données projet'!$A$140&gt;35,CT45+CS46-DB45,IF(A46&lt;'Données projet'!$A$140,$CQ$205^A46,IF(A46='Données projet'!$A$140,'Données projet'!$B$140,CT45+CS46-DB45)))</f>
        <v>257.55999999999995</v>
      </c>
      <c r="CU46" s="18">
        <f>CT46*VLOOKUP('Données projet'!$B$13,Paramètres!$A$1:$I$89,3,0)*VLOOKUP('Données projet'!$B$13,Paramètres!$A$1:$I$89,5,0)</f>
        <v>204.91473599999998</v>
      </c>
      <c r="CV46" s="14">
        <f t="shared" si="41"/>
        <v>50.822747128506975</v>
      </c>
      <c r="CW46" s="22">
        <f t="shared" si="13"/>
        <v>445.40944978214952</v>
      </c>
      <c r="CX46" s="60">
        <f t="shared" si="14"/>
        <v>695.55063124858157</v>
      </c>
      <c r="CY46" s="60">
        <f ca="1">AVERAGE(OFFSET($CX$3,0,0,'Données projet'!$E$13+1,1))-AVERAGE(OFFSET($H$3,0,0,'Données projet'!$E$13+1,1))</f>
        <v>395.27840703467933</v>
      </c>
      <c r="CZ46" s="60">
        <f t="shared" si="42"/>
        <v>364.24192380053944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210.20000000000005</v>
      </c>
      <c r="DP46" s="18">
        <f>DO46*VLOOKUP('Données projet'!$B$14,Paramètres!$A$1:$I$89,3,0)*VLOOKUP('Données projet'!$B$14,Paramètres!$A$1:$I$89,5,0)</f>
        <v>163.95600000000005</v>
      </c>
      <c r="DQ46" s="14">
        <f t="shared" si="43"/>
        <v>41.733529914742604</v>
      </c>
      <c r="DR46" s="22">
        <f t="shared" si="16"/>
        <v>358.24259793484339</v>
      </c>
      <c r="DS46" s="60">
        <f t="shared" si="17"/>
        <v>608.38377940127543</v>
      </c>
      <c r="DT46" s="60">
        <f ca="1">AVERAGE(OFFSET($DS$3,0,0,'Données projet'!$E$14+1,1))-AVERAGE(OFFSET($H$3,0,0,'Données projet'!$E$14+1,1))</f>
        <v>308.76306523144956</v>
      </c>
      <c r="DU46" s="60">
        <f t="shared" si="44"/>
        <v>283.28099819802776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7.1794871794871771</v>
      </c>
      <c r="EJ46" s="13">
        <f>IF('Données projet'!$A$192&gt;35,EJ45+EI46-ER45,IF(A46&lt;'Données projet'!$A$192,$EG$205^A46,IF(A46='Données projet'!$A$192,'Données projet'!$B$192,EJ45+EI46-ER45)))</f>
        <v>197.17948717948724</v>
      </c>
      <c r="EK46" s="18">
        <f>EJ46*VLOOKUP('Données projet'!$B$15,Paramètres!$A$1:$I$89,3,0)*VLOOKUP('Données projet'!$B$15,Paramètres!$A$1:$I$89,5,0)</f>
        <v>132.26800000000006</v>
      </c>
      <c r="EL46" s="14">
        <f t="shared" si="45"/>
        <v>34.519898844249127</v>
      </c>
      <c r="EM46" s="22">
        <f t="shared" si="19"/>
        <v>290.48892382040066</v>
      </c>
      <c r="EN46" s="60">
        <f t="shared" si="20"/>
        <v>540.63010528683276</v>
      </c>
      <c r="EO46" s="60">
        <f ca="1">AVERAGE(OFFSET($EN$3,0,0,'Données projet'!$E$15+1,1))-AVERAGE(OFFSET($H$3,0,0,'Données projet'!$E$15+1,1))</f>
        <v>375.49921531693559</v>
      </c>
      <c r="EP46" s="60">
        <f t="shared" si="46"/>
        <v>306.93934681565599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6.4</v>
      </c>
      <c r="FE46" s="13">
        <f>IF('Données projet'!$A$218&gt;35,FE45+FD46-FM45,IF(A46&lt;'Données projet'!$A$218,$FB$205^A46,IF(A46='Données projet'!$A$218,'Données projet'!$B$218,FE45+FD46-FM45)))</f>
        <v>143.19999999999999</v>
      </c>
      <c r="FF46" s="18">
        <f>FE46*VLOOKUP('Données projet'!$B$16,Paramètres!$A$1:$I$89,3,0)*VLOOKUP('Données projet'!$B$16,Paramètres!$A$1:$I$89,5,0)</f>
        <v>116.16384000000001</v>
      </c>
      <c r="FG46" s="14">
        <f t="shared" si="47"/>
        <v>30.778593163150692</v>
      </c>
      <c r="FH46" s="22">
        <f t="shared" si="22"/>
        <v>255.92473775915414</v>
      </c>
      <c r="FI46" s="60">
        <f t="shared" si="23"/>
        <v>506.06591922558619</v>
      </c>
      <c r="FJ46" s="60">
        <f ca="1">AVERAGE(OFFSET($FI$3,0,0,'Données projet'!$E$16+1,1))-AVERAGE(OFFSET($H$3,0,0,'Données projet'!$E$16+1,1))</f>
        <v>308.58270639204238</v>
      </c>
      <c r="FK46" s="60">
        <f t="shared" si="48"/>
        <v>258.90832875500325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8.4</v>
      </c>
      <c r="FZ46" s="13">
        <f>IF('Données projet'!$A$244&gt;35,FZ45+FY46-GH45,IF(A46&lt;'Données projet'!$A$244,$FW$205^A46,IF(A46='Données projet'!$A$244,'Données projet'!$B$244,FZ45+FY46-GH45)))</f>
        <v>162.20000000000005</v>
      </c>
      <c r="GA46" s="18">
        <f>FZ46*VLOOKUP('Données projet'!$B$17,Paramètres!$A$1:$I$89,3,0)*VLOOKUP('Données projet'!$B$17,Paramètres!$A$1:$I$89,5,0)</f>
        <v>156.87984000000003</v>
      </c>
      <c r="GB46" s="14">
        <f t="shared" si="49"/>
        <v>40.137950013229407</v>
      </c>
      <c r="GC46" s="22">
        <f t="shared" si="25"/>
        <v>343.13931760637462</v>
      </c>
      <c r="GD46" s="60">
        <f t="shared" si="26"/>
        <v>593.28049907280661</v>
      </c>
      <c r="GE46" s="60">
        <f ca="1">AVERAGE(OFFSET($GD$3,0,0,'Données projet'!$E$17+1,1))-AVERAGE(OFFSET($H$3,0,0,'Données projet'!$E$17+1,1))</f>
        <v>495.77880062178235</v>
      </c>
      <c r="GF46" s="60">
        <f t="shared" si="50"/>
        <v>263.55891737750301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10.8</v>
      </c>
      <c r="N47" s="14">
        <f>IF('Données projet'!$A$36&gt;35,N46+M47-V46,IF(A47&lt;'Données projet'!$A$36,$K$205^A47,IF(A47='Données projet'!$A$36,'Données projet'!$B$36,N46+M47-V46)))</f>
        <v>207.2</v>
      </c>
      <c r="O47" s="14">
        <f>N47*VLOOKUP('Données projet'!$B$9,Paramètres!$A$1:$I$89,3,0)*VLOOKUP('Données projet'!$B$9,Paramètres!$A$1:$I$89,5,0)</f>
        <v>177.77760000000001</v>
      </c>
      <c r="P47" s="14">
        <f t="shared" si="33"/>
        <v>44.827386173754917</v>
      </c>
      <c r="Q47" s="22">
        <f t="shared" si="53"/>
        <v>387.70368425262313</v>
      </c>
      <c r="R47" s="60">
        <f t="shared" si="0"/>
        <v>638.59415299076056</v>
      </c>
      <c r="S47" s="60">
        <f ca="1">AVERAGE(OFFSET($R$3,0,0,'Données projet'!$E$9+1,1))-AVERAGE(OFFSET($H$3,0,0,'Données projet'!$E$9+1,1))</f>
        <v>598.73855311281966</v>
      </c>
      <c r="T47" s="60">
        <f t="shared" si="34"/>
        <v>275.88160405468193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170.60000000000005</v>
      </c>
      <c r="AJ47" s="14">
        <f>AI47*VLOOKUP('Données projet'!$B$10,Paramètres!$A$1:$I$89,3,0)*VLOOKUP('Données projet'!$B$10,Paramètres!$A$1:$I$89,5,0)</f>
        <v>172.98840000000007</v>
      </c>
      <c r="AK47" s="14">
        <f t="shared" si="35"/>
        <v>43.758645457754092</v>
      </c>
      <c r="AL47" s="22">
        <f t="shared" si="4"/>
        <v>377.50110417225511</v>
      </c>
      <c r="AM47" s="60">
        <f t="shared" si="5"/>
        <v>628.3915729103926</v>
      </c>
      <c r="AN47" s="60">
        <f ca="1">AVERAGE(OFFSET($AM$3,0,0,'Données projet'!$E$10+1,1))-AVERAGE(OFFSET($H$3,0,0,'Données projet'!$E$10+1,1))</f>
        <v>515.72324585399997</v>
      </c>
      <c r="AO47" s="60">
        <f t="shared" si="36"/>
        <v>273.35778700650792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156.25584000000006</v>
      </c>
      <c r="BF47" s="14">
        <f t="shared" si="37"/>
        <v>39.996849361050039</v>
      </c>
      <c r="BG47" s="22">
        <f t="shared" si="7"/>
        <v>341.80676730382885</v>
      </c>
      <c r="BH47" s="60">
        <f t="shared" si="8"/>
        <v>592.69723604196633</v>
      </c>
      <c r="BI47" s="60">
        <f ca="1">AVERAGE(OFFSET($BH$3,0,0,'Données projet'!$E$11+1,1))-AVERAGE(OFFSET($H$3,0,0,'Données projet'!$E$11+1,1))</f>
        <v>336.25341821407534</v>
      </c>
      <c r="BJ47" s="60">
        <f t="shared" si="38"/>
        <v>360.3246221345039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3.5273261772321356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3.5273261772321356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6.2820512820512819</v>
      </c>
      <c r="BY47" s="13">
        <f>IF('Données projet'!$A$114&gt;35,BY46+BX47-CG46,IF(A47&lt;'Données projet'!$A$114,$BV$205^A47,IF(A47='Données projet'!$A$114,'Données projet'!$B$114,BY46+BX47-CG46)))</f>
        <v>168.07692307692304</v>
      </c>
      <c r="BZ47" s="14">
        <f>BY47*VLOOKUP('Données projet'!$B$12,Paramètres!$A$1:$I$89,3,0)*VLOOKUP('Données projet'!$B$12,Paramètres!$A$1:$I$89,5,0)</f>
        <v>159.94199999999998</v>
      </c>
      <c r="CA47" s="14">
        <f t="shared" si="39"/>
        <v>40.829433068762448</v>
      </c>
      <c r="CB47" s="22">
        <f t="shared" si="10"/>
        <v>349.67691259476123</v>
      </c>
      <c r="CC47" s="60">
        <f t="shared" si="11"/>
        <v>600.56738133289866</v>
      </c>
      <c r="CD47" s="60">
        <f ca="1">AVERAGE(OFFSET($CC$3,0,0,'Données projet'!$E$12+1,1))-AVERAGE(OFFSET($H$3,0,0,'Données projet'!$E$12+1,1))</f>
        <v>438.41611139377829</v>
      </c>
      <c r="CE47" s="60">
        <f t="shared" si="40"/>
        <v>345.17417065809605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9.8199999999999985</v>
      </c>
      <c r="CT47" s="13">
        <f>IF('Données projet'!$A$140&gt;35,CT46+CS47-DB46,IF(A47&lt;'Données projet'!$A$140,$CQ$205^A47,IF(A47='Données projet'!$A$140,'Données projet'!$B$140,CT46+CS47-DB46)))</f>
        <v>267.37999999999994</v>
      </c>
      <c r="CU47" s="18">
        <f>CT47*VLOOKUP('Données projet'!$B$13,Paramètres!$A$1:$I$89,3,0)*VLOOKUP('Données projet'!$B$13,Paramètres!$A$1:$I$89,5,0)</f>
        <v>212.72752799999995</v>
      </c>
      <c r="CV47" s="14">
        <f t="shared" si="41"/>
        <v>52.531170802131648</v>
      </c>
      <c r="CW47" s="22">
        <f t="shared" si="13"/>
        <v>461.99223374704587</v>
      </c>
      <c r="CX47" s="60">
        <f t="shared" si="14"/>
        <v>712.88270248518324</v>
      </c>
      <c r="CY47" s="60">
        <f ca="1">AVERAGE(OFFSET($CX$3,0,0,'Données projet'!$E$13+1,1))-AVERAGE(OFFSET($H$3,0,0,'Données projet'!$E$13+1,1))</f>
        <v>395.27840703467933</v>
      </c>
      <c r="CZ47" s="60">
        <f t="shared" si="42"/>
        <v>364.24192380053944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221.60000000000005</v>
      </c>
      <c r="DP47" s="18">
        <f>DO47*VLOOKUP('Données projet'!$B$14,Paramètres!$A$1:$I$89,3,0)*VLOOKUP('Données projet'!$B$14,Paramètres!$A$1:$I$89,5,0)</f>
        <v>172.84800000000004</v>
      </c>
      <c r="DQ47" s="14">
        <f t="shared" si="43"/>
        <v>43.727262763680358</v>
      </c>
      <c r="DR47" s="22">
        <f t="shared" si="16"/>
        <v>377.20191598007665</v>
      </c>
      <c r="DS47" s="60">
        <f t="shared" si="17"/>
        <v>628.09238471821413</v>
      </c>
      <c r="DT47" s="60">
        <f ca="1">AVERAGE(OFFSET($DS$3,0,0,'Données projet'!$E$14+1,1))-AVERAGE(OFFSET($H$3,0,0,'Données projet'!$E$14+1,1))</f>
        <v>308.76306523144956</v>
      </c>
      <c r="DU47" s="60">
        <f t="shared" si="44"/>
        <v>283.28099819802776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7.1794871794871771</v>
      </c>
      <c r="EJ47" s="13">
        <f>IF('Données projet'!$A$192&gt;35,EJ46+EI47-ER46,IF(A47&lt;'Données projet'!$A$192,$EG$205^A47,IF(A47='Données projet'!$A$192,'Données projet'!$B$192,EJ46+EI47-ER46)))</f>
        <v>204.35897435897442</v>
      </c>
      <c r="EK47" s="18">
        <f>EJ47*VLOOKUP('Données projet'!$B$15,Paramètres!$A$1:$I$89,3,0)*VLOOKUP('Données projet'!$B$15,Paramètres!$A$1:$I$89,5,0)</f>
        <v>137.08400000000003</v>
      </c>
      <c r="EL47" s="14">
        <f t="shared" si="45"/>
        <v>35.628174713483716</v>
      </c>
      <c r="EM47" s="22">
        <f t="shared" si="19"/>
        <v>300.80703762598421</v>
      </c>
      <c r="EN47" s="60">
        <f t="shared" si="20"/>
        <v>551.69750636412164</v>
      </c>
      <c r="EO47" s="60">
        <f ca="1">AVERAGE(OFFSET($EN$3,0,0,'Données projet'!$E$15+1,1))-AVERAGE(OFFSET($H$3,0,0,'Données projet'!$E$15+1,1))</f>
        <v>375.49921531693559</v>
      </c>
      <c r="EP47" s="60">
        <f t="shared" si="46"/>
        <v>306.93934681565599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6.4</v>
      </c>
      <c r="FE47" s="13">
        <f>IF('Données projet'!$A$218&gt;35,FE46+FD47-FM46,IF(A47&lt;'Données projet'!$A$218,$FB$205^A47,IF(A47='Données projet'!$A$218,'Données projet'!$B$218,FE46+FD47-FM46)))</f>
        <v>149.6</v>
      </c>
      <c r="FF47" s="18">
        <f>FE47*VLOOKUP('Données projet'!$B$16,Paramètres!$A$1:$I$89,3,0)*VLOOKUP('Données projet'!$B$16,Paramètres!$A$1:$I$89,5,0)</f>
        <v>121.35552000000001</v>
      </c>
      <c r="FG47" s="14">
        <f t="shared" si="47"/>
        <v>31.990945095046595</v>
      </c>
      <c r="FH47" s="22">
        <f t="shared" si="22"/>
        <v>267.07842670720612</v>
      </c>
      <c r="FI47" s="60">
        <f t="shared" si="23"/>
        <v>517.96889544534361</v>
      </c>
      <c r="FJ47" s="60">
        <f ca="1">AVERAGE(OFFSET($FI$3,0,0,'Données projet'!$E$16+1,1))-AVERAGE(OFFSET($H$3,0,0,'Données projet'!$E$16+1,1))</f>
        <v>308.58270639204238</v>
      </c>
      <c r="FK47" s="60">
        <f t="shared" si="48"/>
        <v>258.90832875500325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8.4</v>
      </c>
      <c r="FZ47" s="13">
        <f>IF('Données projet'!$A$244&gt;35,FZ46+FY47-GH46,IF(A47&lt;'Données projet'!$A$244,$FW$205^A47,IF(A47='Données projet'!$A$244,'Données projet'!$B$244,FZ46+FY47-GH46)))</f>
        <v>170.60000000000005</v>
      </c>
      <c r="GA47" s="18">
        <f>FZ47*VLOOKUP('Données projet'!$B$17,Paramètres!$A$1:$I$89,3,0)*VLOOKUP('Données projet'!$B$17,Paramètres!$A$1:$I$89,5,0)</f>
        <v>165.00432000000006</v>
      </c>
      <c r="GB47" s="14">
        <f t="shared" si="49"/>
        <v>41.969222611359086</v>
      </c>
      <c r="GC47" s="22">
        <f t="shared" si="25"/>
        <v>360.47892004811712</v>
      </c>
      <c r="GD47" s="60">
        <f t="shared" si="26"/>
        <v>611.3693887862546</v>
      </c>
      <c r="GE47" s="60">
        <f ca="1">AVERAGE(OFFSET($GD$3,0,0,'Données projet'!$E$17+1,1))-AVERAGE(OFFSET($H$3,0,0,'Données projet'!$E$17+1,1))</f>
        <v>495.77880062178235</v>
      </c>
      <c r="GF47" s="60">
        <f t="shared" si="50"/>
        <v>263.55891737750301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218</v>
      </c>
      <c r="L48" s="13">
        <f>VLOOKUP(A48,'Données projet'!$A$35:$I$55,9,0)</f>
        <v>10.8</v>
      </c>
      <c r="M48" s="13">
        <f t="array" ref="M48">INDEX(L:L,MIN(IF(ISNUMBER(L48:L244),ROW(L48:L244),"")))</f>
        <v>10.8</v>
      </c>
      <c r="N48" s="14">
        <f>IF('Données projet'!$A$36&gt;35,N47+M48-V47,IF(A48&lt;'Données projet'!$A$36,$K$205^A48,IF(A48='Données projet'!$A$36,'Données projet'!$B$36,N47+M48-V47)))</f>
        <v>218</v>
      </c>
      <c r="O48" s="14">
        <f>N48*VLOOKUP('Données projet'!$B$9,Paramètres!$A$1:$I$89,3,0)*VLOOKUP('Données projet'!$B$9,Paramètres!$A$1:$I$89,5,0)</f>
        <v>187.04400000000001</v>
      </c>
      <c r="P48" s="14">
        <f t="shared" si="33"/>
        <v>46.885828015531139</v>
      </c>
      <c r="Q48" s="22">
        <f t="shared" si="53"/>
        <v>407.42778379371674</v>
      </c>
      <c r="R48" s="60">
        <f t="shared" si="0"/>
        <v>659.0545413445509</v>
      </c>
      <c r="S48" s="60">
        <f ca="1">AVERAGE(OFFSET($R$3,0,0,'Données projet'!$E$9+1,1))-AVERAGE(OFFSET($H$3,0,0,'Données projet'!$E$9+1,1))</f>
        <v>598.73855311281966</v>
      </c>
      <c r="T48" s="60">
        <f t="shared" si="34"/>
        <v>275.88160405468193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179.00000000000006</v>
      </c>
      <c r="AJ48" s="14">
        <f>AI48*VLOOKUP('Données projet'!$B$10,Paramètres!$A$1:$I$89,3,0)*VLOOKUP('Données projet'!$B$10,Paramètres!$A$1:$I$89,5,0)</f>
        <v>181.50600000000006</v>
      </c>
      <c r="AK48" s="14">
        <f t="shared" si="35"/>
        <v>45.657080773122978</v>
      </c>
      <c r="AL48" s="22">
        <f t="shared" si="4"/>
        <v>395.64236567985591</v>
      </c>
      <c r="AM48" s="60">
        <f t="shared" si="5"/>
        <v>647.26912323069007</v>
      </c>
      <c r="AN48" s="60">
        <f ca="1">AVERAGE(OFFSET($AM$3,0,0,'Données projet'!$E$10+1,1))-AVERAGE(OFFSET($H$3,0,0,'Données projet'!$E$10+1,1))</f>
        <v>515.72324585399997</v>
      </c>
      <c r="AO48" s="60">
        <f t="shared" si="36"/>
        <v>273.35778700650792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162.77976000000007</v>
      </c>
      <c r="BF48" s="14">
        <f t="shared" si="37"/>
        <v>41.468868129640093</v>
      </c>
      <c r="BG48" s="22">
        <f t="shared" si="7"/>
        <v>355.73302732578992</v>
      </c>
      <c r="BH48" s="60">
        <f t="shared" si="8"/>
        <v>607.35978487662408</v>
      </c>
      <c r="BI48" s="60">
        <f ca="1">AVERAGE(OFFSET($BH$3,0,0,'Données projet'!$E$11+1,1))-AVERAGE(OFFSET($H$3,0,0,'Données projet'!$E$11+1,1))</f>
        <v>336.25341821407534</v>
      </c>
      <c r="BJ48" s="60">
        <f t="shared" si="38"/>
        <v>360.3246221345039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3.4308712574217011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3.4308712574217011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174.35897435897436</v>
      </c>
      <c r="BW48" s="13">
        <f>VLOOKUP(A48,'Données projet'!$A$113:$I$133,9,0)</f>
        <v>6.2820512820512819</v>
      </c>
      <c r="BX48" s="13">
        <f t="array" ref="BX48">INDEX(BW:BW,MIN(IF(ISNUMBER(BW48:BW244),ROW(BW48:BW244),"")))</f>
        <v>6.2820512820512819</v>
      </c>
      <c r="BY48" s="13">
        <f>IF('Données projet'!$A$114&gt;35,BY47+BX48-CG47,IF(A48&lt;'Données projet'!$A$114,$BV$205^A48,IF(A48='Données projet'!$A$114,'Données projet'!$B$114,BY47+BX48-CG47)))</f>
        <v>174.35897435897431</v>
      </c>
      <c r="BZ48" s="14">
        <f>BY48*VLOOKUP('Données projet'!$B$12,Paramètres!$A$1:$I$89,3,0)*VLOOKUP('Données projet'!$B$12,Paramètres!$A$1:$I$89,5,0)</f>
        <v>165.91999999999996</v>
      </c>
      <c r="CA48" s="14">
        <f t="shared" si="39"/>
        <v>42.174951388767532</v>
      </c>
      <c r="CB48" s="22">
        <f t="shared" si="10"/>
        <v>362.43204033543674</v>
      </c>
      <c r="CC48" s="60">
        <f t="shared" si="11"/>
        <v>614.0587978862709</v>
      </c>
      <c r="CD48" s="60">
        <f ca="1">AVERAGE(OFFSET($CC$3,0,0,'Données projet'!$E$12+1,1))-AVERAGE(OFFSET($H$3,0,0,'Données projet'!$E$12+1,1))</f>
        <v>438.41611139377829</v>
      </c>
      <c r="CE48" s="60">
        <f t="shared" si="40"/>
        <v>345.17417065809605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277.2</v>
      </c>
      <c r="CR48" s="13">
        <f>VLOOKUP(A48,'Données projet'!$A$139:$I$159,9,0)</f>
        <v>9.8199999999999985</v>
      </c>
      <c r="CS48" s="13">
        <f t="array" ref="CS48">INDEX(CR:CR,MIN(IF(ISNUMBER(CR48:CR244),ROW(CR48:CR244),"")))</f>
        <v>9.8199999999999985</v>
      </c>
      <c r="CT48" s="13">
        <f>IF('Données projet'!$A$140&gt;35,CT47+CS48-DB47,IF(A48&lt;'Données projet'!$A$140,$CQ$205^A48,IF(A48='Données projet'!$A$140,'Données projet'!$B$140,CT47+CS48-DB47)))</f>
        <v>277.19999999999993</v>
      </c>
      <c r="CU48" s="18">
        <f>CT48*VLOOKUP('Données projet'!$B$13,Paramètres!$A$1:$I$89,3,0)*VLOOKUP('Données projet'!$B$13,Paramètres!$A$1:$I$89,5,0)</f>
        <v>220.54031999999995</v>
      </c>
      <c r="CV48" s="14">
        <f t="shared" si="41"/>
        <v>54.232304832110685</v>
      </c>
      <c r="CW48" s="22">
        <f t="shared" si="13"/>
        <v>478.56232158259263</v>
      </c>
      <c r="CX48" s="60">
        <f t="shared" si="14"/>
        <v>730.18907913342673</v>
      </c>
      <c r="CY48" s="60">
        <f ca="1">AVERAGE(OFFSET($CX$3,0,0,'Données projet'!$E$13+1,1))-AVERAGE(OFFSET($H$3,0,0,'Données projet'!$E$13+1,1))</f>
        <v>395.27840703467933</v>
      </c>
      <c r="CZ48" s="60">
        <f t="shared" si="42"/>
        <v>364.24192380053944</v>
      </c>
      <c r="DA48" s="16">
        <f>IF(ISNA(VLOOKUP(A48,'Données projet'!$A$139:$I$159,3,0)),0,VLOOKUP(A48,'Données projet'!$A$139:$I$159,3,0))</f>
        <v>4</v>
      </c>
      <c r="DB48" s="16">
        <f>IF(ISNA(VLOOKUP(A48,'Données projet'!$A$139:$I$159,4,0)),0,VLOOKUP(A48,'Données projet'!$A$139:$I$159,4,0))</f>
        <v>59.2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233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233.00000000000006</v>
      </c>
      <c r="DP48" s="18">
        <f>DO48*VLOOKUP('Données projet'!$B$14,Paramètres!$A$1:$I$89,3,0)*VLOOKUP('Données projet'!$B$14,Paramètres!$A$1:$I$89,5,0)</f>
        <v>181.74000000000004</v>
      </c>
      <c r="DQ48" s="14">
        <f t="shared" si="43"/>
        <v>45.709087095891377</v>
      </c>
      <c r="DR48" s="22">
        <f t="shared" si="16"/>
        <v>396.14049335867753</v>
      </c>
      <c r="DS48" s="60">
        <f t="shared" si="17"/>
        <v>647.76725090951163</v>
      </c>
      <c r="DT48" s="60">
        <f ca="1">AVERAGE(OFFSET($DS$3,0,0,'Données projet'!$E$14+1,1))-AVERAGE(OFFSET($H$3,0,0,'Données projet'!$E$14+1,1))</f>
        <v>308.76306523144956</v>
      </c>
      <c r="DU48" s="60">
        <f t="shared" si="44"/>
        <v>283.28099819802776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31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211.53846153846152</v>
      </c>
      <c r="EH48" s="13">
        <f>VLOOKUP(A48,'Données projet'!$A$191:$I$211,9,0)</f>
        <v>7.1794871794871771</v>
      </c>
      <c r="EI48" s="13">
        <f t="array" ref="EI48">INDEX(EH:EH,MIN(IF(ISNUMBER(EH48:EH244),ROW(EH48:EH244),"")))</f>
        <v>7.1794871794871771</v>
      </c>
      <c r="EJ48" s="13">
        <f>IF('Données projet'!$A$192&gt;35,EJ47+EI48-ER47,IF(A48&lt;'Données projet'!$A$192,$EG$205^A48,IF(A48='Données projet'!$A$192,'Données projet'!$B$192,EJ47+EI48-ER47)))</f>
        <v>211.5384615384616</v>
      </c>
      <c r="EK48" s="18">
        <f>EJ48*VLOOKUP('Données projet'!$B$15,Paramètres!$A$1:$I$89,3,0)*VLOOKUP('Données projet'!$B$15,Paramètres!$A$1:$I$89,5,0)</f>
        <v>141.90000000000006</v>
      </c>
      <c r="EL48" s="14">
        <f t="shared" si="45"/>
        <v>36.731926742426062</v>
      </c>
      <c r="EM48" s="22">
        <f t="shared" si="19"/>
        <v>311.1172724097255</v>
      </c>
      <c r="EN48" s="60">
        <f t="shared" si="20"/>
        <v>562.7440299605596</v>
      </c>
      <c r="EO48" s="60">
        <f ca="1">AVERAGE(OFFSET($EN$3,0,0,'Données projet'!$E$15+1,1))-AVERAGE(OFFSET($H$3,0,0,'Données projet'!$E$15+1,1))</f>
        <v>375.49921531693559</v>
      </c>
      <c r="EP48" s="60">
        <f t="shared" si="46"/>
        <v>306.93934681565599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156</v>
      </c>
      <c r="FC48" s="13">
        <f>VLOOKUP(A48,'Données projet'!$A$217:$I$237,9,0)</f>
        <v>6.4</v>
      </c>
      <c r="FD48" s="13">
        <f t="array" ref="FD48">INDEX(FC:FC,MIN(IF(ISNUMBER(FC48:FC244),ROW(FC48:FC244),"")))</f>
        <v>6.4</v>
      </c>
      <c r="FE48" s="13">
        <f>IF('Données projet'!$A$218&gt;35,FE47+FD48-FM47,IF(A48&lt;'Données projet'!$A$218,$FB$205^A48,IF(A48='Données projet'!$A$218,'Données projet'!$B$218,FE47+FD48-FM47)))</f>
        <v>156</v>
      </c>
      <c r="FF48" s="18">
        <f>FE48*VLOOKUP('Données projet'!$B$16,Paramètres!$A$1:$I$89,3,0)*VLOOKUP('Données projet'!$B$16,Paramètres!$A$1:$I$89,5,0)</f>
        <v>126.54720000000002</v>
      </c>
      <c r="FG48" s="14">
        <f t="shared" si="47"/>
        <v>33.19727296936243</v>
      </c>
      <c r="FH48" s="22">
        <f t="shared" si="22"/>
        <v>278.22162375497288</v>
      </c>
      <c r="FI48" s="60">
        <f t="shared" si="23"/>
        <v>529.84838130580704</v>
      </c>
      <c r="FJ48" s="60">
        <f ca="1">AVERAGE(OFFSET($FI$3,0,0,'Données projet'!$E$16+1,1))-AVERAGE(OFFSET($H$3,0,0,'Données projet'!$E$16+1,1))</f>
        <v>308.58270639204238</v>
      </c>
      <c r="FK48" s="60">
        <f t="shared" si="48"/>
        <v>258.90832875500325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179</v>
      </c>
      <c r="FX48" s="13">
        <f>VLOOKUP(A48,'Données projet'!$A$243:$I$263,9,0)</f>
        <v>8.4</v>
      </c>
      <c r="FY48" s="13">
        <f t="array" ref="FY48">INDEX(FX:FX,MIN(IF(ISNUMBER(FX48:FX244),ROW(FX48:FX244),"")))</f>
        <v>8.4</v>
      </c>
      <c r="FZ48" s="13">
        <f>IF('Données projet'!$A$244&gt;35,FZ47+FY48-GH47,IF(A48&lt;'Données projet'!$A$244,$FW$205^A48,IF(A48='Données projet'!$A$244,'Données projet'!$B$244,FZ47+FY48-GH47)))</f>
        <v>179.00000000000006</v>
      </c>
      <c r="GA48" s="18">
        <f>FZ48*VLOOKUP('Données projet'!$B$17,Paramètres!$A$1:$I$89,3,0)*VLOOKUP('Données projet'!$B$17,Paramètres!$A$1:$I$89,5,0)</f>
        <v>173.12880000000007</v>
      </c>
      <c r="GB48" s="14">
        <f t="shared" si="49"/>
        <v>43.790025187181634</v>
      </c>
      <c r="GC48" s="22">
        <f t="shared" si="25"/>
        <v>377.80028720100813</v>
      </c>
      <c r="GD48" s="60">
        <f t="shared" si="26"/>
        <v>629.42704475184223</v>
      </c>
      <c r="GE48" s="60">
        <f ca="1">AVERAGE(OFFSET($GD$3,0,0,'Données projet'!$E$17+1,1))-AVERAGE(OFFSET($H$3,0,0,'Données projet'!$E$17+1,1))</f>
        <v>495.77880062178235</v>
      </c>
      <c r="GF48" s="60">
        <f t="shared" si="50"/>
        <v>263.55891737750301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42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173</v>
      </c>
      <c r="O49" s="14">
        <f>N49*VLOOKUP('Données projet'!$B$9,Paramètres!$A$1:$I$89,3,0)*VLOOKUP('Données projet'!$B$9,Paramètres!$A$1:$I$89,5,0)</f>
        <v>148.43400000000003</v>
      </c>
      <c r="P49" s="14">
        <f t="shared" si="33"/>
        <v>38.222489421716382</v>
      </c>
      <c r="Q49" s="22">
        <f t="shared" si="53"/>
        <v>325.0933857428227</v>
      </c>
      <c r="R49" s="60">
        <f t="shared" si="0"/>
        <v>577.44365914154832</v>
      </c>
      <c r="S49" s="60">
        <f ca="1">AVERAGE(OFFSET($R$3,0,0,'Données projet'!$E$9+1,1))-AVERAGE(OFFSET($H$3,0,0,'Données projet'!$E$9+1,1))</f>
        <v>598.73855311281966</v>
      </c>
      <c r="T49" s="60">
        <f t="shared" si="34"/>
        <v>275.88160405468193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147.23280000000005</v>
      </c>
      <c r="AK49" s="14">
        <f t="shared" si="35"/>
        <v>37.949049623906205</v>
      </c>
      <c r="AL49" s="22">
        <f t="shared" si="4"/>
        <v>322.52505476163668</v>
      </c>
      <c r="AM49" s="60">
        <f t="shared" si="5"/>
        <v>574.8753281603623</v>
      </c>
      <c r="AN49" s="60">
        <f ca="1">AVERAGE(OFFSET($AM$3,0,0,'Données projet'!$E$10+1,1))-AVERAGE(OFFSET($H$3,0,0,'Données projet'!$E$10+1,1))</f>
        <v>515.72324585399997</v>
      </c>
      <c r="AO49" s="60">
        <f t="shared" si="36"/>
        <v>273.35778700650792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168.44443200000006</v>
      </c>
      <c r="BF49" s="14">
        <f t="shared" si="37"/>
        <v>42.741441926261587</v>
      </c>
      <c r="BG49" s="22">
        <f t="shared" si="7"/>
        <v>367.81539708823902</v>
      </c>
      <c r="BH49" s="60">
        <f t="shared" si="8"/>
        <v>620.1656704869647</v>
      </c>
      <c r="BI49" s="60">
        <f ca="1">AVERAGE(OFFSET($BH$3,0,0,'Données projet'!$E$11+1,1))-AVERAGE(OFFSET($H$3,0,0,'Données projet'!$E$11+1,1))</f>
        <v>336.25341821407534</v>
      </c>
      <c r="BJ49" s="60">
        <f t="shared" si="38"/>
        <v>360.3246221345039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3.3370539024658266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3.3370539024658266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6.025641025641022</v>
      </c>
      <c r="BY49" s="13">
        <f>IF('Données projet'!$A$114&gt;35,BY48+BX49-CG48,IF(A49&lt;'Données projet'!$A$114,$BV$205^A49,IF(A49='Données projet'!$A$114,'Données projet'!$B$114,BY48+BX49-CG48)))</f>
        <v>180.38461538461533</v>
      </c>
      <c r="BZ49" s="14">
        <f>BY49*VLOOKUP('Données projet'!$B$12,Paramètres!$A$1:$I$89,3,0)*VLOOKUP('Données projet'!$B$12,Paramètres!$A$1:$I$89,5,0)</f>
        <v>171.65399999999994</v>
      </c>
      <c r="CA49" s="14">
        <f t="shared" si="39"/>
        <v>43.460255556663185</v>
      </c>
      <c r="CB49" s="22">
        <f t="shared" si="10"/>
        <v>374.65732842785491</v>
      </c>
      <c r="CC49" s="60">
        <f t="shared" si="11"/>
        <v>627.00760182658053</v>
      </c>
      <c r="CD49" s="60">
        <f ca="1">AVERAGE(OFFSET($CC$3,0,0,'Données projet'!$E$12+1,1))-AVERAGE(OFFSET($H$3,0,0,'Données projet'!$E$12+1,1))</f>
        <v>438.41611139377829</v>
      </c>
      <c r="CE49" s="60">
        <f t="shared" si="40"/>
        <v>345.17417065809605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8.5399999999999974</v>
      </c>
      <c r="CT49" s="13">
        <f>IF('Données projet'!$A$140&gt;35,CT48+CS49-DB48,IF(A49&lt;'Données projet'!$A$140,$CQ$205^A49,IF(A49='Données projet'!$A$140,'Données projet'!$B$140,CT48+CS49-DB48)))</f>
        <v>226.53999999999996</v>
      </c>
      <c r="CU49" s="18">
        <f>CT49*VLOOKUP('Données projet'!$B$13,Paramètres!$A$1:$I$89,3,0)*VLOOKUP('Données projet'!$B$13,Paramètres!$A$1:$I$89,5,0)</f>
        <v>180.23522399999999</v>
      </c>
      <c r="CV49" s="14">
        <f t="shared" si="41"/>
        <v>45.374515194526651</v>
      </c>
      <c r="CW49" s="22">
        <f t="shared" si="13"/>
        <v>392.93696243046719</v>
      </c>
      <c r="CX49" s="60">
        <f t="shared" si="14"/>
        <v>645.28723582919281</v>
      </c>
      <c r="CY49" s="60">
        <f ca="1">AVERAGE(OFFSET($CX$3,0,0,'Données projet'!$E$13+1,1))-AVERAGE(OFFSET($H$3,0,0,'Données projet'!$E$13+1,1))</f>
        <v>395.27840703467933</v>
      </c>
      <c r="CZ49" s="60">
        <f t="shared" si="42"/>
        <v>364.24192380053944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10.199999999999999</v>
      </c>
      <c r="DO49" s="13">
        <f>IF('Données projet'!$A$166&gt;35,DO48+DN49-DW48,IF(A49&lt;'Données projet'!$A$166,$DL$205^A49,IF(A49='Données projet'!$A$166,'Données projet'!$B$166,DO48+DN49-DW48)))</f>
        <v>212.20000000000005</v>
      </c>
      <c r="DP49" s="18">
        <f>DO49*VLOOKUP('Données projet'!$B$14,Paramètres!$A$1:$I$89,3,0)*VLOOKUP('Données projet'!$B$14,Paramètres!$A$1:$I$89,5,0)</f>
        <v>165.51600000000005</v>
      </c>
      <c r="DQ49" s="14">
        <f t="shared" si="43"/>
        <v>42.084199740832013</v>
      </c>
      <c r="DR49" s="22">
        <f t="shared" si="16"/>
        <v>361.57034788194915</v>
      </c>
      <c r="DS49" s="60">
        <f t="shared" si="17"/>
        <v>613.92062128067482</v>
      </c>
      <c r="DT49" s="60">
        <f ca="1">AVERAGE(OFFSET($DS$3,0,0,'Données projet'!$E$14+1,1))-AVERAGE(OFFSET($H$3,0,0,'Données projet'!$E$14+1,1))</f>
        <v>308.76306523144956</v>
      </c>
      <c r="DU49" s="60">
        <f t="shared" si="44"/>
        <v>283.28099819802776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6.6666666666666687</v>
      </c>
      <c r="EJ49" s="13">
        <f>IF('Données projet'!$A$192&gt;35,EJ48+EI49-ER48,IF(A49&lt;'Données projet'!$A$192,$EG$205^A49,IF(A49='Données projet'!$A$192,'Données projet'!$B$192,EJ48+EI49-ER48)))</f>
        <v>218.20512820512826</v>
      </c>
      <c r="EK49" s="18">
        <f>EJ49*VLOOKUP('Données projet'!$B$15,Paramètres!$A$1:$I$89,3,0)*VLOOKUP('Données projet'!$B$15,Paramètres!$A$1:$I$89,5,0)</f>
        <v>146.37200000000004</v>
      </c>
      <c r="EL49" s="14">
        <f t="shared" si="45"/>
        <v>37.752938435291682</v>
      </c>
      <c r="EM49" s="22">
        <f t="shared" si="19"/>
        <v>320.68426777479971</v>
      </c>
      <c r="EN49" s="60">
        <f t="shared" si="20"/>
        <v>573.03454117352533</v>
      </c>
      <c r="EO49" s="60">
        <f ca="1">AVERAGE(OFFSET($EN$3,0,0,'Données projet'!$E$15+1,1))-AVERAGE(OFFSET($H$3,0,0,'Données projet'!$E$15+1,1))</f>
        <v>375.49921531693559</v>
      </c>
      <c r="EP49" s="60">
        <f t="shared" si="46"/>
        <v>306.93934681565599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5.8</v>
      </c>
      <c r="FE49" s="13">
        <f>IF('Données projet'!$A$218&gt;35,FE48+FD49-FM48,IF(A49&lt;'Données projet'!$A$218,$FB$205^A49,IF(A49='Données projet'!$A$218,'Données projet'!$B$218,FE48+FD49-FM48)))</f>
        <v>161.80000000000001</v>
      </c>
      <c r="FF49" s="18">
        <f>FE49*VLOOKUP('Données projet'!$B$16,Paramètres!$A$1:$I$89,3,0)*VLOOKUP('Données projet'!$B$16,Paramètres!$A$1:$I$89,5,0)</f>
        <v>131.25216000000003</v>
      </c>
      <c r="FG49" s="14">
        <f t="shared" si="47"/>
        <v>34.285535125000187</v>
      </c>
      <c r="FH49" s="22">
        <f t="shared" si="22"/>
        <v>288.31148567604208</v>
      </c>
      <c r="FI49" s="60">
        <f t="shared" si="23"/>
        <v>540.6617590747677</v>
      </c>
      <c r="FJ49" s="60">
        <f ca="1">AVERAGE(OFFSET($FI$3,0,0,'Données projet'!$E$16+1,1))-AVERAGE(OFFSET($H$3,0,0,'Données projet'!$E$16+1,1))</f>
        <v>308.58270639204238</v>
      </c>
      <c r="FK49" s="60">
        <f t="shared" si="48"/>
        <v>258.90832875500325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8.1999999999999993</v>
      </c>
      <c r="FZ49" s="13">
        <f>IF('Données projet'!$A$244&gt;35,FZ48+FY49-GH48,IF(A49&lt;'Données projet'!$A$244,$FW$205^A49,IF(A49='Données projet'!$A$244,'Données projet'!$B$244,FZ48+FY49-GH48)))</f>
        <v>145.20000000000005</v>
      </c>
      <c r="GA49" s="18">
        <f>FZ49*VLOOKUP('Données projet'!$B$17,Paramètres!$A$1:$I$89,3,0)*VLOOKUP('Données projet'!$B$17,Paramètres!$A$1:$I$89,5,0)</f>
        <v>140.43744000000004</v>
      </c>
      <c r="GB49" s="14">
        <f t="shared" si="49"/>
        <v>36.397198653986358</v>
      </c>
      <c r="GC49" s="22">
        <f t="shared" si="25"/>
        <v>307.98699565569297</v>
      </c>
      <c r="GD49" s="60">
        <f t="shared" si="26"/>
        <v>560.33726905441858</v>
      </c>
      <c r="GE49" s="60">
        <f ca="1">AVERAGE(OFFSET($GD$3,0,0,'Données projet'!$E$17+1,1))-AVERAGE(OFFSET($H$3,0,0,'Données projet'!$E$17+1,1))</f>
        <v>495.77880062178235</v>
      </c>
      <c r="GF49" s="60">
        <f t="shared" si="50"/>
        <v>263.55891737750301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184</v>
      </c>
      <c r="O50" s="14">
        <f>N50*VLOOKUP('Données projet'!$B$9,Paramètres!$A$1:$I$89,3,0)*VLOOKUP('Données projet'!$B$9,Paramètres!$A$1:$I$89,5,0)</f>
        <v>157.87200000000001</v>
      </c>
      <c r="P50" s="14">
        <f t="shared" si="33"/>
        <v>40.362165684361159</v>
      </c>
      <c r="Q50" s="22">
        <f t="shared" si="53"/>
        <v>345.25783856692902</v>
      </c>
      <c r="R50" s="60">
        <f t="shared" si="0"/>
        <v>598.31907643112436</v>
      </c>
      <c r="S50" s="60">
        <f ca="1">AVERAGE(OFFSET($R$3,0,0,'Données projet'!$E$9+1,1))-AVERAGE(OFFSET($H$3,0,0,'Données projet'!$E$9+1,1))</f>
        <v>598.73855311281966</v>
      </c>
      <c r="T50" s="60">
        <f t="shared" si="34"/>
        <v>275.88160405468193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155.54760000000005</v>
      </c>
      <c r="AK50" s="14">
        <f t="shared" si="35"/>
        <v>39.836620617816237</v>
      </c>
      <c r="AL50" s="22">
        <f t="shared" si="4"/>
        <v>340.29418424269664</v>
      </c>
      <c r="AM50" s="60">
        <f t="shared" si="5"/>
        <v>593.35542210689209</v>
      </c>
      <c r="AN50" s="60">
        <f ca="1">AVERAGE(OFFSET($AM$3,0,0,'Données projet'!$E$10+1,1))-AVERAGE(OFFSET($H$3,0,0,'Données projet'!$E$10+1,1))</f>
        <v>515.72324585399997</v>
      </c>
      <c r="AO50" s="60">
        <f t="shared" si="36"/>
        <v>273.35778700650792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174.10910400000009</v>
      </c>
      <c r="BF50" s="14">
        <f t="shared" si="37"/>
        <v>44.009043039404553</v>
      </c>
      <c r="BG50" s="22">
        <f t="shared" si="7"/>
        <v>379.88910609362978</v>
      </c>
      <c r="BH50" s="60">
        <f t="shared" si="8"/>
        <v>632.95034395782523</v>
      </c>
      <c r="BI50" s="60">
        <f ca="1">AVERAGE(OFFSET($BH$3,0,0,'Données projet'!$E$11+1,1))-AVERAGE(OFFSET($H$3,0,0,'Données projet'!$E$11+1,1))</f>
        <v>336.25341821407534</v>
      </c>
      <c r="BJ50" s="60">
        <f t="shared" si="38"/>
        <v>360.3246221345039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3.2458019880148608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3.2458019880148608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6.025641025641022</v>
      </c>
      <c r="BY50" s="13">
        <f>IF('Données projet'!$A$114&gt;35,BY49+BX50-CG49,IF(A50&lt;'Données projet'!$A$114,$BV$205^A50,IF(A50='Données projet'!$A$114,'Données projet'!$B$114,BY49+BX50-CG49)))</f>
        <v>186.41025641025635</v>
      </c>
      <c r="BZ50" s="14">
        <f>BY50*VLOOKUP('Données projet'!$B$12,Paramètres!$A$1:$I$89,3,0)*VLOOKUP('Données projet'!$B$12,Paramètres!$A$1:$I$89,5,0)</f>
        <v>177.38799999999995</v>
      </c>
      <c r="CA50" s="14">
        <f t="shared" si="39"/>
        <v>44.740570834460435</v>
      </c>
      <c r="CB50" s="22">
        <f t="shared" si="10"/>
        <v>386.87392753668519</v>
      </c>
      <c r="CC50" s="60">
        <f t="shared" si="11"/>
        <v>639.93516540088058</v>
      </c>
      <c r="CD50" s="60">
        <f ca="1">AVERAGE(OFFSET($CC$3,0,0,'Données projet'!$E$12+1,1))-AVERAGE(OFFSET($H$3,0,0,'Données projet'!$E$12+1,1))</f>
        <v>438.41611139377829</v>
      </c>
      <c r="CE50" s="60">
        <f t="shared" si="40"/>
        <v>345.17417065809605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8.5399999999999974</v>
      </c>
      <c r="CT50" s="13">
        <f>IF('Données projet'!$A$140&gt;35,CT49+CS50-DB49,IF(A50&lt;'Données projet'!$A$140,$CQ$205^A50,IF(A50='Données projet'!$A$140,'Données projet'!$B$140,CT49+CS50-DB49)))</f>
        <v>235.07999999999996</v>
      </c>
      <c r="CU50" s="18">
        <f>CT50*VLOOKUP('Données projet'!$B$13,Paramètres!$A$1:$I$89,3,0)*VLOOKUP('Données projet'!$B$13,Paramètres!$A$1:$I$89,5,0)</f>
        <v>187.02964799999998</v>
      </c>
      <c r="CV50" s="14">
        <f t="shared" si="41"/>
        <v>46.882649181299655</v>
      </c>
      <c r="CW50" s="22">
        <f t="shared" si="13"/>
        <v>407.39725092409685</v>
      </c>
      <c r="CX50" s="60">
        <f t="shared" si="14"/>
        <v>660.45848878829224</v>
      </c>
      <c r="CY50" s="60">
        <f ca="1">AVERAGE(OFFSET($CX$3,0,0,'Données projet'!$E$13+1,1))-AVERAGE(OFFSET($H$3,0,0,'Données projet'!$E$13+1,1))</f>
        <v>395.27840703467933</v>
      </c>
      <c r="CZ50" s="60">
        <f t="shared" si="42"/>
        <v>364.24192380053944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10.199999999999999</v>
      </c>
      <c r="DO50" s="13">
        <f>IF('Données projet'!$A$166&gt;35,DO49+DN50-DW49,IF(A50&lt;'Données projet'!$A$166,$DL$205^A50,IF(A50='Données projet'!$A$166,'Données projet'!$B$166,DO49+DN50-DW49)))</f>
        <v>222.40000000000003</v>
      </c>
      <c r="DP50" s="18">
        <f>DO50*VLOOKUP('Données projet'!$B$14,Paramètres!$A$1:$I$89,3,0)*VLOOKUP('Données projet'!$B$14,Paramètres!$A$1:$I$89,5,0)</f>
        <v>173.47200000000004</v>
      </c>
      <c r="DQ50" s="14">
        <f t="shared" si="43"/>
        <v>43.866718728383574</v>
      </c>
      <c r="DR50" s="22">
        <f t="shared" si="16"/>
        <v>378.53160178526809</v>
      </c>
      <c r="DS50" s="60">
        <f t="shared" si="17"/>
        <v>631.59283964946349</v>
      </c>
      <c r="DT50" s="60">
        <f ca="1">AVERAGE(OFFSET($DS$3,0,0,'Données projet'!$E$14+1,1))-AVERAGE(OFFSET($H$3,0,0,'Données projet'!$E$14+1,1))</f>
        <v>308.76306523144956</v>
      </c>
      <c r="DU50" s="60">
        <f t="shared" si="44"/>
        <v>283.28099819802776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6.6666666666666687</v>
      </c>
      <c r="EJ50" s="13">
        <f>IF('Données projet'!$A$192&gt;35,EJ49+EI50-ER49,IF(A50&lt;'Données projet'!$A$192,$EG$205^A50,IF(A50='Données projet'!$A$192,'Données projet'!$B$192,EJ49+EI50-ER49)))</f>
        <v>224.87179487179492</v>
      </c>
      <c r="EK50" s="18">
        <f>EJ50*VLOOKUP('Données projet'!$B$15,Paramètres!$A$1:$I$89,3,0)*VLOOKUP('Données projet'!$B$15,Paramètres!$A$1:$I$89,5,0)</f>
        <v>150.84400000000005</v>
      </c>
      <c r="EL50" s="14">
        <f t="shared" si="45"/>
        <v>38.770324970764307</v>
      </c>
      <c r="EM50" s="22">
        <f t="shared" si="19"/>
        <v>330.24494932408123</v>
      </c>
      <c r="EN50" s="60">
        <f t="shared" si="20"/>
        <v>583.30618718827668</v>
      </c>
      <c r="EO50" s="60">
        <f ca="1">AVERAGE(OFFSET($EN$3,0,0,'Données projet'!$E$15+1,1))-AVERAGE(OFFSET($H$3,0,0,'Données projet'!$E$15+1,1))</f>
        <v>375.49921531693559</v>
      </c>
      <c r="EP50" s="60">
        <f t="shared" si="46"/>
        <v>306.93934681565599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5.8</v>
      </c>
      <c r="FE50" s="13">
        <f>IF('Données projet'!$A$218&gt;35,FE49+FD50-FM49,IF(A50&lt;'Données projet'!$A$218,$FB$205^A50,IF(A50='Données projet'!$A$218,'Données projet'!$B$218,FE49+FD50-FM49)))</f>
        <v>167.60000000000002</v>
      </c>
      <c r="FF50" s="18">
        <f>FE50*VLOOKUP('Données projet'!$B$16,Paramètres!$A$1:$I$89,3,0)*VLOOKUP('Données projet'!$B$16,Paramètres!$A$1:$I$89,5,0)</f>
        <v>135.95712000000003</v>
      </c>
      <c r="FG50" s="14">
        <f t="shared" si="47"/>
        <v>35.369264877838624</v>
      </c>
      <c r="FH50" s="22">
        <f t="shared" si="22"/>
        <v>298.39345366223563</v>
      </c>
      <c r="FI50" s="60">
        <f t="shared" si="23"/>
        <v>551.45469152643102</v>
      </c>
      <c r="FJ50" s="60">
        <f ca="1">AVERAGE(OFFSET($FI$3,0,0,'Données projet'!$E$16+1,1))-AVERAGE(OFFSET($H$3,0,0,'Données projet'!$E$16+1,1))</f>
        <v>308.58270639204238</v>
      </c>
      <c r="FK50" s="60">
        <f t="shared" si="48"/>
        <v>258.90832875500325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8.1999999999999993</v>
      </c>
      <c r="FZ50" s="13">
        <f>IF('Données projet'!$A$244&gt;35,FZ49+FY50-GH49,IF(A50&lt;'Données projet'!$A$244,$FW$205^A50,IF(A50='Données projet'!$A$244,'Données projet'!$B$244,FZ49+FY50-GH49)))</f>
        <v>153.40000000000003</v>
      </c>
      <c r="GA50" s="18">
        <f>FZ50*VLOOKUP('Données projet'!$B$17,Paramètres!$A$1:$I$89,3,0)*VLOOKUP('Données projet'!$B$17,Paramètres!$A$1:$I$89,5,0)</f>
        <v>148.36848000000003</v>
      </c>
      <c r="GB50" s="14">
        <f t="shared" si="49"/>
        <v>38.207581183185901</v>
      </c>
      <c r="GC50" s="22">
        <f t="shared" si="25"/>
        <v>324.95330656071548</v>
      </c>
      <c r="GD50" s="60">
        <f t="shared" si="26"/>
        <v>578.01454442491081</v>
      </c>
      <c r="GE50" s="60">
        <f ca="1">AVERAGE(OFFSET($GD$3,0,0,'Données projet'!$E$17+1,1))-AVERAGE(OFFSET($H$3,0,0,'Données projet'!$E$17+1,1))</f>
        <v>495.77880062178235</v>
      </c>
      <c r="GF50" s="60">
        <f t="shared" si="50"/>
        <v>263.55891737750301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195</v>
      </c>
      <c r="O51" s="14">
        <f>N51*VLOOKUP('Données projet'!$B$9,Paramètres!$A$1:$I$89,3,0)*VLOOKUP('Données projet'!$B$9,Paramètres!$A$1:$I$89,5,0)</f>
        <v>167.31000000000003</v>
      </c>
      <c r="P51" s="14">
        <f t="shared" si="33"/>
        <v>42.486994942347515</v>
      </c>
      <c r="Q51" s="22">
        <f t="shared" si="53"/>
        <v>365.39643285792198</v>
      </c>
      <c r="R51" s="60">
        <f t="shared" si="0"/>
        <v>619.15630154358973</v>
      </c>
      <c r="S51" s="60">
        <f ca="1">AVERAGE(OFFSET($R$3,0,0,'Données projet'!$E$9+1,1))-AVERAGE(OFFSET($H$3,0,0,'Données projet'!$E$9+1,1))</f>
        <v>598.73855311281966</v>
      </c>
      <c r="T51" s="60">
        <f t="shared" si="34"/>
        <v>275.88160405468193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163.86240000000004</v>
      </c>
      <c r="AK51" s="14">
        <f t="shared" si="35"/>
        <v>41.712477409029084</v>
      </c>
      <c r="AL51" s="22">
        <f t="shared" si="4"/>
        <v>358.0429114873923</v>
      </c>
      <c r="AM51" s="60">
        <f t="shared" si="5"/>
        <v>611.80278017306</v>
      </c>
      <c r="AN51" s="60">
        <f ca="1">AVERAGE(OFFSET($AM$3,0,0,'Données projet'!$E$10+1,1))-AVERAGE(OFFSET($H$3,0,0,'Données projet'!$E$10+1,1))</f>
        <v>515.72324585399997</v>
      </c>
      <c r="AO51" s="60">
        <f t="shared" si="36"/>
        <v>273.35778700650792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179.77377600000008</v>
      </c>
      <c r="BF51" s="14">
        <f t="shared" si="37"/>
        <v>45.271851811295718</v>
      </c>
      <c r="BG51" s="22">
        <f t="shared" si="7"/>
        <v>391.95446843800681</v>
      </c>
      <c r="BH51" s="60">
        <f t="shared" si="8"/>
        <v>645.71433712367457</v>
      </c>
      <c r="BI51" s="60">
        <f ca="1">AVERAGE(OFFSET($BH$3,0,0,'Données projet'!$E$11+1,1))-AVERAGE(OFFSET($H$3,0,0,'Données projet'!$E$11+1,1))</f>
        <v>336.25341821407534</v>
      </c>
      <c r="BJ51" s="60">
        <f t="shared" si="38"/>
        <v>360.3246221345039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3.1570453619632861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3.1570453619632861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6.025641025641022</v>
      </c>
      <c r="BY51" s="13">
        <f>IF('Données projet'!$A$114&gt;35,BY50+BX51-CG50,IF(A51&lt;'Données projet'!$A$114,$BV$205^A51,IF(A51='Données projet'!$A$114,'Données projet'!$B$114,BY50+BX51-CG50)))</f>
        <v>192.43589743589737</v>
      </c>
      <c r="BZ51" s="14">
        <f>BY51*VLOOKUP('Données projet'!$B$12,Paramètres!$A$1:$I$89,3,0)*VLOOKUP('Données projet'!$B$12,Paramètres!$A$1:$I$89,5,0)</f>
        <v>183.12199999999993</v>
      </c>
      <c r="CA51" s="14">
        <f t="shared" si="39"/>
        <v>46.016076982551581</v>
      </c>
      <c r="CB51" s="22">
        <f t="shared" si="10"/>
        <v>399.08215074461054</v>
      </c>
      <c r="CC51" s="60">
        <f t="shared" si="11"/>
        <v>652.84201943027824</v>
      </c>
      <c r="CD51" s="60">
        <f ca="1">AVERAGE(OFFSET($CC$3,0,0,'Données projet'!$E$12+1,1))-AVERAGE(OFFSET($H$3,0,0,'Données projet'!$E$12+1,1))</f>
        <v>438.41611139377829</v>
      </c>
      <c r="CE51" s="60">
        <f t="shared" si="40"/>
        <v>345.17417065809605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8.5399999999999974</v>
      </c>
      <c r="CT51" s="13">
        <f>IF('Données projet'!$A$140&gt;35,CT50+CS51-DB50,IF(A51&lt;'Données projet'!$A$140,$CQ$205^A51,IF(A51='Données projet'!$A$140,'Données projet'!$B$140,CT50+CS51-DB50)))</f>
        <v>243.61999999999995</v>
      </c>
      <c r="CU51" s="18">
        <f>CT51*VLOOKUP('Données projet'!$B$13,Paramètres!$A$1:$I$89,3,0)*VLOOKUP('Données projet'!$B$13,Paramètres!$A$1:$I$89,5,0)</f>
        <v>193.82407199999997</v>
      </c>
      <c r="CV51" s="14">
        <f t="shared" si="41"/>
        <v>48.384417879329099</v>
      </c>
      <c r="CW51" s="22">
        <f t="shared" si="13"/>
        <v>421.84645320649815</v>
      </c>
      <c r="CX51" s="60">
        <f t="shared" si="14"/>
        <v>675.60632189216585</v>
      </c>
      <c r="CY51" s="60">
        <f ca="1">AVERAGE(OFFSET($CX$3,0,0,'Données projet'!$E$13+1,1))-AVERAGE(OFFSET($H$3,0,0,'Données projet'!$E$13+1,1))</f>
        <v>395.27840703467933</v>
      </c>
      <c r="CZ51" s="60">
        <f t="shared" si="42"/>
        <v>364.24192380053944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10.199999999999999</v>
      </c>
      <c r="DO51" s="13">
        <f>IF('Données projet'!$A$166&gt;35,DO50+DN51-DW50,IF(A51&lt;'Données projet'!$A$166,$DL$205^A51,IF(A51='Données projet'!$A$166,'Données projet'!$B$166,DO50+DN51-DW50)))</f>
        <v>232.60000000000002</v>
      </c>
      <c r="DP51" s="18">
        <f>DO51*VLOOKUP('Données projet'!$B$14,Paramètres!$A$1:$I$89,3,0)*VLOOKUP('Données projet'!$B$14,Paramètres!$A$1:$I$89,5,0)</f>
        <v>181.42800000000003</v>
      </c>
      <c r="DQ51" s="14">
        <f t="shared" si="43"/>
        <v>45.639743598335336</v>
      </c>
      <c r="DR51" s="22">
        <f t="shared" si="16"/>
        <v>395.47632010043407</v>
      </c>
      <c r="DS51" s="60">
        <f t="shared" si="17"/>
        <v>649.23618878610182</v>
      </c>
      <c r="DT51" s="60">
        <f ca="1">AVERAGE(OFFSET($DS$3,0,0,'Données projet'!$E$14+1,1))-AVERAGE(OFFSET($H$3,0,0,'Données projet'!$E$14+1,1))</f>
        <v>308.76306523144956</v>
      </c>
      <c r="DU51" s="60">
        <f t="shared" si="44"/>
        <v>283.28099819802776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6.6666666666666687</v>
      </c>
      <c r="EJ51" s="13">
        <f>IF('Données projet'!$A$192&gt;35,EJ50+EI51-ER50,IF(A51&lt;'Données projet'!$A$192,$EG$205^A51,IF(A51='Données projet'!$A$192,'Données projet'!$B$192,EJ50+EI51-ER50)))</f>
        <v>231.53846153846158</v>
      </c>
      <c r="EK51" s="18">
        <f>EJ51*VLOOKUP('Données projet'!$B$15,Paramètres!$A$1:$I$89,3,0)*VLOOKUP('Données projet'!$B$15,Paramètres!$A$1:$I$89,5,0)</f>
        <v>155.31600000000003</v>
      </c>
      <c r="EL51" s="14">
        <f t="shared" si="45"/>
        <v>39.784206160846679</v>
      </c>
      <c r="EM51" s="22">
        <f t="shared" si="19"/>
        <v>339.79952573014128</v>
      </c>
      <c r="EN51" s="60">
        <f t="shared" si="20"/>
        <v>593.55939441580904</v>
      </c>
      <c r="EO51" s="60">
        <f ca="1">AVERAGE(OFFSET($EN$3,0,0,'Données projet'!$E$15+1,1))-AVERAGE(OFFSET($H$3,0,0,'Données projet'!$E$15+1,1))</f>
        <v>375.49921531693559</v>
      </c>
      <c r="EP51" s="60">
        <f t="shared" si="46"/>
        <v>306.93934681565599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5.8</v>
      </c>
      <c r="FE51" s="13">
        <f>IF('Données projet'!$A$218&gt;35,FE50+FD51-FM50,IF(A51&lt;'Données projet'!$A$218,$FB$205^A51,IF(A51='Données projet'!$A$218,'Données projet'!$B$218,FE50+FD51-FM50)))</f>
        <v>173.40000000000003</v>
      </c>
      <c r="FF51" s="18">
        <f>FE51*VLOOKUP('Données projet'!$B$16,Paramètres!$A$1:$I$89,3,0)*VLOOKUP('Données projet'!$B$16,Paramètres!$A$1:$I$89,5,0)</f>
        <v>140.66208000000003</v>
      </c>
      <c r="FG51" s="14">
        <f t="shared" si="47"/>
        <v>36.448637053108627</v>
      </c>
      <c r="FH51" s="22">
        <f t="shared" si="22"/>
        <v>308.46783220083091</v>
      </c>
      <c r="FI51" s="60">
        <f t="shared" si="23"/>
        <v>562.22770088649861</v>
      </c>
      <c r="FJ51" s="60">
        <f ca="1">AVERAGE(OFFSET($FI$3,0,0,'Données projet'!$E$16+1,1))-AVERAGE(OFFSET($H$3,0,0,'Données projet'!$E$16+1,1))</f>
        <v>308.58270639204238</v>
      </c>
      <c r="FK51" s="60">
        <f t="shared" si="48"/>
        <v>258.90832875500325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8.1999999999999993</v>
      </c>
      <c r="FZ51" s="13">
        <f>IF('Données projet'!$A$244&gt;35,FZ50+FY51-GH50,IF(A51&lt;'Données projet'!$A$244,$FW$205^A51,IF(A51='Données projet'!$A$244,'Données projet'!$B$244,FZ50+FY51-GH50)))</f>
        <v>161.60000000000002</v>
      </c>
      <c r="GA51" s="18">
        <f>FZ51*VLOOKUP('Données projet'!$B$17,Paramètres!$A$1:$I$89,3,0)*VLOOKUP('Données projet'!$B$17,Paramètres!$A$1:$I$89,5,0)</f>
        <v>156.29952000000003</v>
      </c>
      <c r="GB51" s="14">
        <f t="shared" si="49"/>
        <v>40.006728538728431</v>
      </c>
      <c r="GC51" s="22">
        <f t="shared" si="25"/>
        <v>341.90004953828537</v>
      </c>
      <c r="GD51" s="60">
        <f t="shared" si="26"/>
        <v>595.65991822395313</v>
      </c>
      <c r="GE51" s="60">
        <f ca="1">AVERAGE(OFFSET($GD$3,0,0,'Données projet'!$E$17+1,1))-AVERAGE(OFFSET($H$3,0,0,'Données projet'!$E$17+1,1))</f>
        <v>495.77880062178235</v>
      </c>
      <c r="GF51" s="60">
        <f t="shared" si="50"/>
        <v>263.55891737750301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206</v>
      </c>
      <c r="O52" s="14">
        <f>N52*VLOOKUP('Données projet'!$B$9,Paramètres!$A$1:$I$89,3,0)*VLOOKUP('Données projet'!$B$9,Paramètres!$A$1:$I$89,5,0)</f>
        <v>176.74800000000002</v>
      </c>
      <c r="P52" s="14">
        <f t="shared" si="33"/>
        <v>44.597910160550732</v>
      </c>
      <c r="Q52" s="22">
        <f t="shared" si="53"/>
        <v>385.51079352962591</v>
      </c>
      <c r="R52" s="60">
        <f t="shared" si="0"/>
        <v>639.95717335391782</v>
      </c>
      <c r="S52" s="60">
        <f ca="1">AVERAGE(OFFSET($R$3,0,0,'Données projet'!$E$9+1,1))-AVERAGE(OFFSET($H$3,0,0,'Données projet'!$E$9+1,1))</f>
        <v>598.73855311281966</v>
      </c>
      <c r="T52" s="60">
        <f t="shared" si="34"/>
        <v>275.88160405468193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172.1772</v>
      </c>
      <c r="AK52" s="14">
        <f t="shared" si="35"/>
        <v>43.577282221917017</v>
      </c>
      <c r="AL52" s="22">
        <f t="shared" si="4"/>
        <v>375.77238986983883</v>
      </c>
      <c r="AM52" s="60">
        <f t="shared" si="5"/>
        <v>630.21876969413074</v>
      </c>
      <c r="AN52" s="60">
        <f ca="1">AVERAGE(OFFSET($AM$3,0,0,'Données projet'!$E$10+1,1))-AVERAGE(OFFSET($H$3,0,0,'Données projet'!$E$10+1,1))</f>
        <v>515.72324585399997</v>
      </c>
      <c r="AO52" s="60">
        <f t="shared" si="36"/>
        <v>273.35778700650792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185.43844800000008</v>
      </c>
      <c r="BF52" s="14">
        <f t="shared" si="37"/>
        <v>46.530036573537593</v>
      </c>
      <c r="BG52" s="22">
        <f t="shared" si="7"/>
        <v>404.01177729891145</v>
      </c>
      <c r="BH52" s="60">
        <f t="shared" si="8"/>
        <v>658.45815712320336</v>
      </c>
      <c r="BI52" s="60">
        <f ca="1">AVERAGE(OFFSET($BH$3,0,0,'Données projet'!$E$11+1,1))-AVERAGE(OFFSET($H$3,0,0,'Données projet'!$E$11+1,1))</f>
        <v>336.25341821407534</v>
      </c>
      <c r="BJ52" s="60">
        <f t="shared" si="38"/>
        <v>360.3246221345039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3.0707157905185998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3.0707157905185998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6.025641025641022</v>
      </c>
      <c r="BY52" s="13">
        <f>IF('Données projet'!$A$114&gt;35,BY51+BX52-CG51,IF(A52&lt;'Données projet'!$A$114,$BV$205^A52,IF(A52='Données projet'!$A$114,'Données projet'!$B$114,BY51+BX52-CG51)))</f>
        <v>198.4615384615384</v>
      </c>
      <c r="BZ52" s="14">
        <f>BY52*VLOOKUP('Données projet'!$B$12,Paramètres!$A$1:$I$89,3,0)*VLOOKUP('Données projet'!$B$12,Paramètres!$A$1:$I$89,5,0)</f>
        <v>188.85599999999994</v>
      </c>
      <c r="CA52" s="14">
        <f t="shared" si="39"/>
        <v>47.286941864448139</v>
      </c>
      <c r="CB52" s="22">
        <f t="shared" si="10"/>
        <v>411.28229041391364</v>
      </c>
      <c r="CC52" s="60">
        <f t="shared" si="11"/>
        <v>665.72867023820561</v>
      </c>
      <c r="CD52" s="60">
        <f ca="1">AVERAGE(OFFSET($CC$3,0,0,'Données projet'!$E$12+1,1))-AVERAGE(OFFSET($H$3,0,0,'Données projet'!$E$12+1,1))</f>
        <v>438.41611139377829</v>
      </c>
      <c r="CE52" s="60">
        <f t="shared" si="40"/>
        <v>345.17417065809605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8.5399999999999974</v>
      </c>
      <c r="CT52" s="13">
        <f>IF('Données projet'!$A$140&gt;35,CT51+CS52-DB51,IF(A52&lt;'Données projet'!$A$140,$CQ$205^A52,IF(A52='Données projet'!$A$140,'Données projet'!$B$140,CT51+CS52-DB51)))</f>
        <v>252.15999999999994</v>
      </c>
      <c r="CU52" s="18">
        <f>CT52*VLOOKUP('Données projet'!$B$13,Paramètres!$A$1:$I$89,3,0)*VLOOKUP('Données projet'!$B$13,Paramètres!$A$1:$I$89,5,0)</f>
        <v>200.61849599999994</v>
      </c>
      <c r="CV52" s="14">
        <f t="shared" si="41"/>
        <v>49.880069989874251</v>
      </c>
      <c r="CW52" s="22">
        <f t="shared" si="13"/>
        <v>436.28500243236414</v>
      </c>
      <c r="CX52" s="60">
        <f t="shared" si="14"/>
        <v>690.73138225665616</v>
      </c>
      <c r="CY52" s="60">
        <f ca="1">AVERAGE(OFFSET($CX$3,0,0,'Données projet'!$E$13+1,1))-AVERAGE(OFFSET($H$3,0,0,'Données projet'!$E$13+1,1))</f>
        <v>395.27840703467933</v>
      </c>
      <c r="CZ52" s="60">
        <f t="shared" si="42"/>
        <v>364.24192380053944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10.199999999999999</v>
      </c>
      <c r="DO52" s="13">
        <f>IF('Données projet'!$A$166&gt;35,DO51+DN52-DW51,IF(A52&lt;'Données projet'!$A$166,$DL$205^A52,IF(A52='Données projet'!$A$166,'Données projet'!$B$166,DO51+DN52-DW51)))</f>
        <v>242.8</v>
      </c>
      <c r="DP52" s="18">
        <f>DO52*VLOOKUP('Données projet'!$B$14,Paramètres!$A$1:$I$89,3,0)*VLOOKUP('Données projet'!$B$14,Paramètres!$A$1:$I$89,5,0)</f>
        <v>189.38400000000001</v>
      </c>
      <c r="DQ52" s="14">
        <f t="shared" si="43"/>
        <v>47.403738268724076</v>
      </c>
      <c r="DR52" s="22">
        <f t="shared" si="16"/>
        <v>412.40531081802777</v>
      </c>
      <c r="DS52" s="60">
        <f t="shared" si="17"/>
        <v>666.85169064231968</v>
      </c>
      <c r="DT52" s="60">
        <f ca="1">AVERAGE(OFFSET($DS$3,0,0,'Données projet'!$E$14+1,1))-AVERAGE(OFFSET($H$3,0,0,'Données projet'!$E$14+1,1))</f>
        <v>308.76306523144956</v>
      </c>
      <c r="DU52" s="60">
        <f t="shared" si="44"/>
        <v>283.28099819802776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6.6666666666666687</v>
      </c>
      <c r="EJ52" s="13">
        <f>IF('Données projet'!$A$192&gt;35,EJ51+EI52-ER51,IF(A52&lt;'Données projet'!$A$192,$EG$205^A52,IF(A52='Données projet'!$A$192,'Données projet'!$B$192,EJ51+EI52-ER51)))</f>
        <v>238.20512820512823</v>
      </c>
      <c r="EK52" s="18">
        <f>EJ52*VLOOKUP('Données projet'!$B$15,Paramètres!$A$1:$I$89,3,0)*VLOOKUP('Données projet'!$B$15,Paramètres!$A$1:$I$89,5,0)</f>
        <v>159.78800000000001</v>
      </c>
      <c r="EL52" s="14">
        <f t="shared" si="45"/>
        <v>40.794694525690964</v>
      </c>
      <c r="EM52" s="22">
        <f t="shared" si="19"/>
        <v>349.34819296557845</v>
      </c>
      <c r="EN52" s="60">
        <f t="shared" si="20"/>
        <v>603.79457278987047</v>
      </c>
      <c r="EO52" s="60">
        <f ca="1">AVERAGE(OFFSET($EN$3,0,0,'Données projet'!$E$15+1,1))-AVERAGE(OFFSET($H$3,0,0,'Données projet'!$E$15+1,1))</f>
        <v>375.49921531693559</v>
      </c>
      <c r="EP52" s="60">
        <f t="shared" si="46"/>
        <v>306.93934681565599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5.8</v>
      </c>
      <c r="FE52" s="13">
        <f>IF('Données projet'!$A$218&gt;35,FE51+FD52-FM51,IF(A52&lt;'Données projet'!$A$218,$FB$205^A52,IF(A52='Données projet'!$A$218,'Données projet'!$B$218,FE51+FD52-FM51)))</f>
        <v>179.20000000000005</v>
      </c>
      <c r="FF52" s="18">
        <f>FE52*VLOOKUP('Données projet'!$B$16,Paramètres!$A$1:$I$89,3,0)*VLOOKUP('Données projet'!$B$16,Paramètres!$A$1:$I$89,5,0)</f>
        <v>145.36704000000003</v>
      </c>
      <c r="FG52" s="14">
        <f t="shared" si="47"/>
        <v>37.523814117080832</v>
      </c>
      <c r="FH52" s="22">
        <f t="shared" si="22"/>
        <v>318.53490425391578</v>
      </c>
      <c r="FI52" s="60">
        <f t="shared" si="23"/>
        <v>572.98128407820775</v>
      </c>
      <c r="FJ52" s="60">
        <f ca="1">AVERAGE(OFFSET($FI$3,0,0,'Données projet'!$E$16+1,1))-AVERAGE(OFFSET($H$3,0,0,'Données projet'!$E$16+1,1))</f>
        <v>308.58270639204238</v>
      </c>
      <c r="FK52" s="60">
        <f t="shared" si="48"/>
        <v>258.90832875500325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8.1999999999999993</v>
      </c>
      <c r="FZ52" s="13">
        <f>IF('Données projet'!$A$244&gt;35,FZ51+FY52-GH51,IF(A52&lt;'Données projet'!$A$244,$FW$205^A52,IF(A52='Données projet'!$A$244,'Données projet'!$B$244,FZ51+FY52-GH51)))</f>
        <v>169.8</v>
      </c>
      <c r="GA52" s="18">
        <f>FZ52*VLOOKUP('Données projet'!$B$17,Paramètres!$A$1:$I$89,3,0)*VLOOKUP('Données projet'!$B$17,Paramètres!$A$1:$I$89,5,0)</f>
        <v>164.23056000000003</v>
      </c>
      <c r="GB52" s="14">
        <f t="shared" si="49"/>
        <v>41.795275864636551</v>
      </c>
      <c r="GC52" s="22">
        <f t="shared" si="25"/>
        <v>358.82833079757535</v>
      </c>
      <c r="GD52" s="60">
        <f t="shared" si="26"/>
        <v>613.27471062186737</v>
      </c>
      <c r="GE52" s="60">
        <f ca="1">AVERAGE(OFFSET($GD$3,0,0,'Données projet'!$E$17+1,1))-AVERAGE(OFFSET($H$3,0,0,'Données projet'!$E$17+1,1))</f>
        <v>495.77880062178235</v>
      </c>
      <c r="GF52" s="60">
        <f t="shared" si="50"/>
        <v>263.55891737750301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217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217</v>
      </c>
      <c r="O53" s="14">
        <f>N53*VLOOKUP('Données projet'!$B$9,Paramètres!$A$1:$I$89,3,0)*VLOOKUP('Données projet'!$B$9,Paramètres!$A$1:$I$89,5,0)</f>
        <v>186.18600000000001</v>
      </c>
      <c r="P53" s="14">
        <f t="shared" si="33"/>
        <v>46.695739039470418</v>
      </c>
      <c r="Q53" s="22">
        <f t="shared" si="53"/>
        <v>405.60236216041102</v>
      </c>
      <c r="R53" s="60">
        <f t="shared" si="0"/>
        <v>660.72334368988118</v>
      </c>
      <c r="S53" s="60">
        <f ca="1">AVERAGE(OFFSET($R$3,0,0,'Données projet'!$E$9+1,1))-AVERAGE(OFFSET($H$3,0,0,'Données projet'!$E$9+1,1))</f>
        <v>598.73855311281966</v>
      </c>
      <c r="T53" s="60">
        <f t="shared" si="34"/>
        <v>275.88160405468193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180.49200000000002</v>
      </c>
      <c r="AK53" s="14">
        <f t="shared" si="35"/>
        <v>45.431629706642653</v>
      </c>
      <c r="AL53" s="22">
        <f t="shared" si="4"/>
        <v>393.4836550724026</v>
      </c>
      <c r="AM53" s="60">
        <f t="shared" si="5"/>
        <v>648.6046366018727</v>
      </c>
      <c r="AN53" s="60">
        <f ca="1">AVERAGE(OFFSET($AM$3,0,0,'Données projet'!$E$10+1,1))-AVERAGE(OFFSET($H$3,0,0,'Données projet'!$E$10+1,1))</f>
        <v>515.72324585399997</v>
      </c>
      <c r="AO53" s="60">
        <f t="shared" si="36"/>
        <v>273.35778700650792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191.10312000000008</v>
      </c>
      <c r="BF53" s="14">
        <f t="shared" si="37"/>
        <v>47.783754789189338</v>
      </c>
      <c r="BG53" s="22">
        <f t="shared" si="7"/>
        <v>416.06130692450489</v>
      </c>
      <c r="BH53" s="60">
        <f t="shared" si="8"/>
        <v>671.18228845397493</v>
      </c>
      <c r="BI53" s="60">
        <f ca="1">AVERAGE(OFFSET($BH$3,0,0,'Données projet'!$E$11+1,1))-AVERAGE(OFFSET($H$3,0,0,'Données projet'!$E$11+1,1))</f>
        <v>336.25341821407534</v>
      </c>
      <c r="BJ53" s="60">
        <f t="shared" si="38"/>
        <v>360.3246221345039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2.9867469057449436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2.9867469057449436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204.48717948717947</v>
      </c>
      <c r="BW53" s="13">
        <f>VLOOKUP(A53,'Données projet'!$A$113:$I$133,9,0)</f>
        <v>6.025641025641022</v>
      </c>
      <c r="BX53" s="13">
        <f t="array" ref="BX53">INDEX(BW:BW,MIN(IF(ISNUMBER(BW53:BW249),ROW(BW53:BW249),"")))</f>
        <v>6.025641025641022</v>
      </c>
      <c r="BY53" s="13">
        <f>IF('Données projet'!$A$114&gt;35,BY52+BX53-CG52,IF(A53&lt;'Données projet'!$A$114,$BV$205^A53,IF(A53='Données projet'!$A$114,'Données projet'!$B$114,BY52+BX53-CG52)))</f>
        <v>204.48717948717942</v>
      </c>
      <c r="BZ53" s="14">
        <f>BY53*VLOOKUP('Données projet'!$B$12,Paramètres!$A$1:$I$89,3,0)*VLOOKUP('Données projet'!$B$12,Paramètres!$A$1:$I$89,5,0)</f>
        <v>194.58999999999995</v>
      </c>
      <c r="CA53" s="14">
        <f t="shared" si="39"/>
        <v>48.553322571172053</v>
      </c>
      <c r="CB53" s="22">
        <f t="shared" si="10"/>
        <v>423.47462014479123</v>
      </c>
      <c r="CC53" s="60">
        <f t="shared" si="11"/>
        <v>678.59560167426139</v>
      </c>
      <c r="CD53" s="60">
        <f ca="1">AVERAGE(OFFSET($CC$3,0,0,'Données projet'!$E$12+1,1))-AVERAGE(OFFSET($H$3,0,0,'Données projet'!$E$12+1,1))</f>
        <v>438.41611139377829</v>
      </c>
      <c r="CE53" s="60">
        <f t="shared" si="40"/>
        <v>345.17417065809605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34.615384615384613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260.7</v>
      </c>
      <c r="CR53" s="13">
        <f>VLOOKUP(A53,'Données projet'!$A$139:$I$159,9,0)</f>
        <v>8.5399999999999974</v>
      </c>
      <c r="CS53" s="13">
        <f t="array" ref="CS53">INDEX(CR:CR,MIN(IF(ISNUMBER(CR53:CR249),ROW(CR53:CR249),"")))</f>
        <v>8.5399999999999974</v>
      </c>
      <c r="CT53" s="13">
        <f>IF('Données projet'!$A$140&gt;35,CT52+CS53-DB52,IF(A53&lt;'Données projet'!$A$140,$CQ$205^A53,IF(A53='Données projet'!$A$140,'Données projet'!$B$140,CT52+CS53-DB52)))</f>
        <v>260.69999999999993</v>
      </c>
      <c r="CU53" s="18">
        <f>CT53*VLOOKUP('Données projet'!$B$13,Paramètres!$A$1:$I$89,3,0)*VLOOKUP('Données projet'!$B$13,Paramètres!$A$1:$I$89,5,0)</f>
        <v>207.41291999999996</v>
      </c>
      <c r="CV53" s="14">
        <f t="shared" si="41"/>
        <v>51.369836412787073</v>
      </c>
      <c r="CW53" s="22">
        <f t="shared" si="13"/>
        <v>450.7133007522707</v>
      </c>
      <c r="CX53" s="60">
        <f t="shared" si="14"/>
        <v>705.8342822817408</v>
      </c>
      <c r="CY53" s="60">
        <f ca="1">AVERAGE(OFFSET($CX$3,0,0,'Données projet'!$E$13+1,1))-AVERAGE(OFFSET($H$3,0,0,'Données projet'!$E$13+1,1))</f>
        <v>395.27840703467933</v>
      </c>
      <c r="CZ53" s="60">
        <f t="shared" si="42"/>
        <v>364.24192380053944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253</v>
      </c>
      <c r="DM53" s="13">
        <f>VLOOKUP(A53,'Données projet'!$A$165:$I$185,9,0)</f>
        <v>10.199999999999999</v>
      </c>
      <c r="DN53" s="13">
        <f t="array" ref="DN53">INDEX(DM:DM,MIN(IF(ISNUMBER(DM53:DM249),ROW(DM53:DM249),"")))</f>
        <v>10.199999999999999</v>
      </c>
      <c r="DO53" s="13">
        <f>IF('Données projet'!$A$166&gt;35,DO52+DN53-DW52,IF(A53&lt;'Données projet'!$A$166,$DL$205^A53,IF(A53='Données projet'!$A$166,'Données projet'!$B$166,DO52+DN53-DW52)))</f>
        <v>253</v>
      </c>
      <c r="DP53" s="18">
        <f>DO53*VLOOKUP('Données projet'!$B$14,Paramètres!$A$1:$I$89,3,0)*VLOOKUP('Données projet'!$B$14,Paramètres!$A$1:$I$89,5,0)</f>
        <v>197.34</v>
      </c>
      <c r="DQ53" s="14">
        <f t="shared" si="43"/>
        <v>49.159125474269977</v>
      </c>
      <c r="DR53" s="22">
        <f t="shared" si="16"/>
        <v>429.31931020102024</v>
      </c>
      <c r="DS53" s="60">
        <f t="shared" si="17"/>
        <v>684.44029173049034</v>
      </c>
      <c r="DT53" s="60">
        <f ca="1">AVERAGE(OFFSET($DS$3,0,0,'Données projet'!$E$14+1,1))-AVERAGE(OFFSET($H$3,0,0,'Données projet'!$E$14+1,1))</f>
        <v>308.76306523144956</v>
      </c>
      <c r="DU53" s="60">
        <f t="shared" si="44"/>
        <v>283.28099819802776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30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244.87179487179486</v>
      </c>
      <c r="EH53" s="13">
        <f>VLOOKUP(A53,'Données projet'!$A$191:$I$211,9,0)</f>
        <v>6.6666666666666687</v>
      </c>
      <c r="EI53" s="13">
        <f t="array" ref="EI53">INDEX(EH:EH,MIN(IF(ISNUMBER(EH53:EH249),ROW(EH53:EH249),"")))</f>
        <v>6.6666666666666687</v>
      </c>
      <c r="EJ53" s="13">
        <f>IF('Données projet'!$A$192&gt;35,EJ52+EI53-ER52,IF(A53&lt;'Données projet'!$A$192,$EG$205^A53,IF(A53='Données projet'!$A$192,'Données projet'!$B$192,EJ52+EI53-ER52)))</f>
        <v>244.87179487179489</v>
      </c>
      <c r="EK53" s="18">
        <f>EJ53*VLOOKUP('Données projet'!$B$15,Paramètres!$A$1:$I$89,3,0)*VLOOKUP('Données projet'!$B$15,Paramètres!$A$1:$I$89,5,0)</f>
        <v>164.26000000000002</v>
      </c>
      <c r="EL53" s="14">
        <f t="shared" si="45"/>
        <v>41.801895928887475</v>
      </c>
      <c r="EM53" s="22">
        <f t="shared" si="19"/>
        <v>358.89113540947909</v>
      </c>
      <c r="EN53" s="60">
        <f t="shared" si="20"/>
        <v>614.01211693894925</v>
      </c>
      <c r="EO53" s="60">
        <f ca="1">AVERAGE(OFFSET($EN$3,0,0,'Données projet'!$E$15+1,1))-AVERAGE(OFFSET($H$3,0,0,'Données projet'!$E$15+1,1))</f>
        <v>375.49921531693559</v>
      </c>
      <c r="EP53" s="60">
        <f t="shared" si="46"/>
        <v>306.93934681565599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35.256410256410255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185</v>
      </c>
      <c r="FC53" s="13">
        <f>VLOOKUP(A53,'Données projet'!$A$217:$I$237,9,0)</f>
        <v>5.8</v>
      </c>
      <c r="FD53" s="13">
        <f t="array" ref="FD53">INDEX(FC:FC,MIN(IF(ISNUMBER(FC53:FC249),ROW(FC53:FC249),"")))</f>
        <v>5.8</v>
      </c>
      <c r="FE53" s="13">
        <f>IF('Données projet'!$A$218&gt;35,FE52+FD53-FM52,IF(A53&lt;'Données projet'!$A$218,$FB$205^A53,IF(A53='Données projet'!$A$218,'Données projet'!$B$218,FE52+FD53-FM52)))</f>
        <v>185.00000000000006</v>
      </c>
      <c r="FF53" s="18">
        <f>FE53*VLOOKUP('Données projet'!$B$16,Paramètres!$A$1:$I$89,3,0)*VLOOKUP('Données projet'!$B$16,Paramètres!$A$1:$I$89,5,0)</f>
        <v>150.07200000000006</v>
      </c>
      <c r="FG53" s="14">
        <f t="shared" si="47"/>
        <v>38.594947422201457</v>
      </c>
      <c r="FH53" s="22">
        <f t="shared" si="22"/>
        <v>328.59493342700102</v>
      </c>
      <c r="FI53" s="60">
        <f t="shared" si="23"/>
        <v>583.71591495647112</v>
      </c>
      <c r="FJ53" s="60">
        <f ca="1">AVERAGE(OFFSET($FI$3,0,0,'Données projet'!$E$16+1,1))-AVERAGE(OFFSET($H$3,0,0,'Données projet'!$E$16+1,1))</f>
        <v>308.58270639204238</v>
      </c>
      <c r="FK53" s="60">
        <f t="shared" si="48"/>
        <v>258.90832875500325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28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178</v>
      </c>
      <c r="FX53" s="13">
        <f>VLOOKUP(A53,'Données projet'!$A$243:$I$263,9,0)</f>
        <v>8.1999999999999993</v>
      </c>
      <c r="FY53" s="13">
        <f t="array" ref="FY53">INDEX(FX:FX,MIN(IF(ISNUMBER(FX53:FX249),ROW(FX53:FX249),"")))</f>
        <v>8.1999999999999993</v>
      </c>
      <c r="FZ53" s="13">
        <f>IF('Données projet'!$A$244&gt;35,FZ52+FY53-GH52,IF(A53&lt;'Données projet'!$A$244,$FW$205^A53,IF(A53='Données projet'!$A$244,'Données projet'!$B$244,FZ52+FY53-GH52)))</f>
        <v>178</v>
      </c>
      <c r="GA53" s="18">
        <f>FZ53*VLOOKUP('Données projet'!$B$17,Paramètres!$A$1:$I$89,3,0)*VLOOKUP('Données projet'!$B$17,Paramètres!$A$1:$I$89,5,0)</f>
        <v>172.16159999999999</v>
      </c>
      <c r="GB53" s="14">
        <f t="shared" si="49"/>
        <v>43.57379349403616</v>
      </c>
      <c r="GC53" s="22">
        <f t="shared" si="25"/>
        <v>375.7391436687796</v>
      </c>
      <c r="GD53" s="60">
        <f t="shared" si="26"/>
        <v>630.86012519824976</v>
      </c>
      <c r="GE53" s="60">
        <f ca="1">AVERAGE(OFFSET($GD$3,0,0,'Données projet'!$E$17+1,1))-AVERAGE(OFFSET($H$3,0,0,'Données projet'!$E$17+1,1))</f>
        <v>495.77880062178235</v>
      </c>
      <c r="GF53" s="60">
        <f t="shared" si="50"/>
        <v>263.55891737750301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11</v>
      </c>
      <c r="N54" s="14">
        <f>IF('Données projet'!$A$36&gt;35,N53+M54-V53,IF(A54&lt;'Données projet'!$A$36,$K$205^A54,IF(A54='Données projet'!$A$36,'Données projet'!$B$36,N53+M54-V53)))</f>
        <v>228</v>
      </c>
      <c r="O54" s="14">
        <f>N54*VLOOKUP('Données projet'!$B$9,Paramètres!$A$1:$I$89,3,0)*VLOOKUP('Données projet'!$B$9,Paramètres!$A$1:$I$89,5,0)</f>
        <v>195.62400000000002</v>
      </c>
      <c r="P54" s="14">
        <f t="shared" si="33"/>
        <v>48.781220625276006</v>
      </c>
      <c r="Q54" s="22">
        <f t="shared" si="53"/>
        <v>425.67242592235567</v>
      </c>
      <c r="R54" s="60">
        <f t="shared" si="0"/>
        <v>681.45630632560255</v>
      </c>
      <c r="S54" s="60">
        <f ca="1">AVERAGE(OFFSET($R$3,0,0,'Données projet'!$E$9+1,1))-AVERAGE(OFFSET($H$3,0,0,'Données projet'!$E$9+1,1))</f>
        <v>598.73855311281966</v>
      </c>
      <c r="T54" s="60">
        <f t="shared" si="34"/>
        <v>275.88160405468193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186</v>
      </c>
      <c r="AJ54" s="14">
        <f>AI54*VLOOKUP('Données projet'!$B$10,Paramètres!$A$1:$I$89,3,0)*VLOOKUP('Données projet'!$B$10,Paramètres!$A$1:$I$89,5,0)</f>
        <v>188.60400000000001</v>
      </c>
      <c r="AK54" s="14">
        <f t="shared" si="35"/>
        <v>47.231184731814224</v>
      </c>
      <c r="AL54" s="22">
        <f t="shared" si="4"/>
        <v>410.74628007457642</v>
      </c>
      <c r="AM54" s="60">
        <f t="shared" si="5"/>
        <v>666.5301604778233</v>
      </c>
      <c r="AN54" s="60">
        <f ca="1">AVERAGE(OFFSET($AM$3,0,0,'Données projet'!$E$10+1,1))-AVERAGE(OFFSET($H$3,0,0,'Données projet'!$E$10+1,1))</f>
        <v>515.72324585399997</v>
      </c>
      <c r="AO54" s="60">
        <f t="shared" si="36"/>
        <v>273.35778700650792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165.50071200000008</v>
      </c>
      <c r="BF54" s="14">
        <f t="shared" si="37"/>
        <v>42.080765048766054</v>
      </c>
      <c r="BG54" s="22">
        <f t="shared" si="7"/>
        <v>361.53773919326767</v>
      </c>
      <c r="BH54" s="60">
        <f t="shared" si="8"/>
        <v>617.32161959651444</v>
      </c>
      <c r="BI54" s="60">
        <f ca="1">AVERAGE(OFFSET($BH$3,0,0,'Données projet'!$E$11+1,1))-AVERAGE(OFFSET($H$3,0,0,'Données projet'!$E$11+1,1))</f>
        <v>336.25341821407534</v>
      </c>
      <c r="BJ54" s="60">
        <f t="shared" si="38"/>
        <v>360.3246221345039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2.9050741545411545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2.9050741545411545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5.6410256410256405</v>
      </c>
      <c r="BY54" s="13">
        <f>IF('Données projet'!$A$114&gt;35,BY53+BX54-CG53,IF(A54&lt;'Données projet'!$A$114,$BV$205^A54,IF(A54='Données projet'!$A$114,'Données projet'!$B$114,BY53+BX54-CG53)))</f>
        <v>175.51282051282044</v>
      </c>
      <c r="BZ54" s="14">
        <f>BY54*VLOOKUP('Données projet'!$B$12,Paramètres!$A$1:$I$89,3,0)*VLOOKUP('Données projet'!$B$12,Paramètres!$A$1:$I$89,5,0)</f>
        <v>167.01799999999994</v>
      </c>
      <c r="CA54" s="14">
        <f t="shared" si="39"/>
        <v>42.421468466086189</v>
      </c>
      <c r="CB54" s="22">
        <f t="shared" si="10"/>
        <v>364.77374091176671</v>
      </c>
      <c r="CC54" s="60">
        <f t="shared" si="11"/>
        <v>620.55762131501353</v>
      </c>
      <c r="CD54" s="60">
        <f ca="1">AVERAGE(OFFSET($CC$3,0,0,'Données projet'!$E$12+1,1))-AVERAGE(OFFSET($H$3,0,0,'Données projet'!$E$12+1,1))</f>
        <v>438.41611139377829</v>
      </c>
      <c r="CE54" s="60">
        <f t="shared" si="40"/>
        <v>345.17417065809605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7.3600000000000021</v>
      </c>
      <c r="CT54" s="13">
        <f>IF('Données projet'!$A$140&gt;35,CT53+CS54-DB53,IF(A54&lt;'Données projet'!$A$140,$CQ$205^A54,IF(A54='Données projet'!$A$140,'Données projet'!$B$140,CT53+CS54-DB53)))</f>
        <v>268.05999999999995</v>
      </c>
      <c r="CU54" s="18">
        <f>CT54*VLOOKUP('Données projet'!$B$13,Paramètres!$A$1:$I$89,3,0)*VLOOKUP('Données projet'!$B$13,Paramètres!$A$1:$I$89,5,0)</f>
        <v>213.26853599999995</v>
      </c>
      <c r="CV54" s="14">
        <f t="shared" si="41"/>
        <v>52.649199755400097</v>
      </c>
      <c r="CW54" s="22">
        <f t="shared" si="13"/>
        <v>463.14005644065509</v>
      </c>
      <c r="CX54" s="60">
        <f t="shared" si="14"/>
        <v>718.92393684390186</v>
      </c>
      <c r="CY54" s="60">
        <f ca="1">AVERAGE(OFFSET($CX$3,0,0,'Données projet'!$E$13+1,1))-AVERAGE(OFFSET($H$3,0,0,'Données projet'!$E$13+1,1))</f>
        <v>395.27840703467933</v>
      </c>
      <c r="CZ54" s="60">
        <f t="shared" si="42"/>
        <v>364.24192380053944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8.1999999999999993</v>
      </c>
      <c r="DO54" s="13">
        <f>IF('Données projet'!$A$166&gt;35,DO53+DN54-DW53,IF(A54&lt;'Données projet'!$A$166,$DL$205^A54,IF(A54='Données projet'!$A$166,'Données projet'!$B$166,DO53+DN54-DW53)))</f>
        <v>231.2</v>
      </c>
      <c r="DP54" s="18">
        <f>DO54*VLOOKUP('Données projet'!$B$14,Paramètres!$A$1:$I$89,3,0)*VLOOKUP('Données projet'!$B$14,Paramètres!$A$1:$I$89,5,0)</f>
        <v>180.33599999999998</v>
      </c>
      <c r="DQ54" s="14">
        <f t="shared" si="43"/>
        <v>45.396931860513298</v>
      </c>
      <c r="DR54" s="22">
        <f t="shared" si="16"/>
        <v>393.15152299039391</v>
      </c>
      <c r="DS54" s="60">
        <f t="shared" si="17"/>
        <v>648.93540339364074</v>
      </c>
      <c r="DT54" s="60">
        <f ca="1">AVERAGE(OFFSET($DS$3,0,0,'Données projet'!$E$14+1,1))-AVERAGE(OFFSET($H$3,0,0,'Données projet'!$E$14+1,1))</f>
        <v>308.76306523144956</v>
      </c>
      <c r="DU54" s="60">
        <f t="shared" si="44"/>
        <v>283.28099819802776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6.2820512820512819</v>
      </c>
      <c r="EJ54" s="13">
        <f>IF('Données projet'!$A$192&gt;35,EJ53+EI54-ER53,IF(A54&lt;'Données projet'!$A$192,$EG$205^A54,IF(A54='Données projet'!$A$192,'Données projet'!$B$192,EJ53+EI54-ER53)))</f>
        <v>215.89743589743591</v>
      </c>
      <c r="EK54" s="18">
        <f>EJ54*VLOOKUP('Données projet'!$B$15,Paramètres!$A$1:$I$89,3,0)*VLOOKUP('Données projet'!$B$15,Paramètres!$A$1:$I$89,5,0)</f>
        <v>144.82400000000001</v>
      </c>
      <c r="EL54" s="14">
        <f t="shared" si="45"/>
        <v>37.39992786922469</v>
      </c>
      <c r="EM54" s="22">
        <f t="shared" si="19"/>
        <v>317.37334103889964</v>
      </c>
      <c r="EN54" s="60">
        <f t="shared" si="20"/>
        <v>573.15722144214647</v>
      </c>
      <c r="EO54" s="60">
        <f ca="1">AVERAGE(OFFSET($EN$3,0,0,'Données projet'!$E$15+1,1))-AVERAGE(OFFSET($H$3,0,0,'Données projet'!$E$15+1,1))</f>
        <v>375.49921531693559</v>
      </c>
      <c r="EP54" s="60">
        <f t="shared" si="46"/>
        <v>306.93934681565599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5.4</v>
      </c>
      <c r="FE54" s="13">
        <f>IF('Données projet'!$A$218&gt;35,FE53+FD54-FM53,IF(A54&lt;'Données projet'!$A$218,$FB$205^A54,IF(A54='Données projet'!$A$218,'Données projet'!$B$218,FE53+FD54-FM53)))</f>
        <v>162.40000000000006</v>
      </c>
      <c r="FF54" s="18">
        <f>FE54*VLOOKUP('Données projet'!$B$16,Paramètres!$A$1:$I$89,3,0)*VLOOKUP('Données projet'!$B$16,Paramètres!$A$1:$I$89,5,0)</f>
        <v>131.73888000000005</v>
      </c>
      <c r="FG54" s="14">
        <f t="shared" si="47"/>
        <v>34.397852193895858</v>
      </c>
      <c r="FH54" s="22">
        <f t="shared" si="22"/>
        <v>289.35480857103533</v>
      </c>
      <c r="FI54" s="60">
        <f t="shared" si="23"/>
        <v>545.1386889742821</v>
      </c>
      <c r="FJ54" s="60">
        <f ca="1">AVERAGE(OFFSET($FI$3,0,0,'Données projet'!$E$16+1,1))-AVERAGE(OFFSET($H$3,0,0,'Données projet'!$E$16+1,1))</f>
        <v>308.58270639204238</v>
      </c>
      <c r="FK54" s="60">
        <f t="shared" si="48"/>
        <v>258.90832875500325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</v>
      </c>
      <c r="FZ54" s="13">
        <f>IF('Données projet'!$A$244&gt;35,FZ53+FY54-GH53,IF(A54&lt;'Données projet'!$A$244,$FW$205^A54,IF(A54='Données projet'!$A$244,'Données projet'!$B$244,FZ53+FY54-GH53)))</f>
        <v>186</v>
      </c>
      <c r="GA54" s="18">
        <f>FZ54*VLOOKUP('Données projet'!$B$17,Paramètres!$A$1:$I$89,3,0)*VLOOKUP('Données projet'!$B$17,Paramètres!$A$1:$I$89,5,0)</f>
        <v>179.89920000000001</v>
      </c>
      <c r="GB54" s="14">
        <f t="shared" si="49"/>
        <v>45.299759292628586</v>
      </c>
      <c r="GC54" s="22">
        <f t="shared" si="25"/>
        <v>392.22152076799483</v>
      </c>
      <c r="GD54" s="60">
        <f t="shared" si="26"/>
        <v>648.0054011712416</v>
      </c>
      <c r="GE54" s="60">
        <f ca="1">AVERAGE(OFFSET($GD$3,0,0,'Données projet'!$E$17+1,1))-AVERAGE(OFFSET($H$3,0,0,'Données projet'!$E$17+1,1))</f>
        <v>495.77880062178235</v>
      </c>
      <c r="GF54" s="60">
        <f t="shared" si="50"/>
        <v>263.55891737750301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11</v>
      </c>
      <c r="N55" s="14">
        <f>IF('Données projet'!$A$36&gt;35,N54+M55-V54,IF(A55&lt;'Données projet'!$A$36,$K$205^A55,IF(A55='Données projet'!$A$36,'Données projet'!$B$36,N54+M55-V54)))</f>
        <v>239</v>
      </c>
      <c r="O55" s="14">
        <f>N55*VLOOKUP('Données projet'!$B$9,Paramètres!$A$1:$I$89,3,0)*VLOOKUP('Données projet'!$B$9,Paramètres!$A$1:$I$89,5,0)</f>
        <v>205.06200000000004</v>
      </c>
      <c r="P55" s="14">
        <f t="shared" si="33"/>
        <v>50.855018623514823</v>
      </c>
      <c r="Q55" s="22">
        <f t="shared" si="53"/>
        <v>445.72214076928839</v>
      </c>
      <c r="R55" s="60">
        <f t="shared" si="0"/>
        <v>702.1574202328718</v>
      </c>
      <c r="S55" s="60">
        <f ca="1">AVERAGE(OFFSET($R$3,0,0,'Données projet'!$E$9+1,1))-AVERAGE(OFFSET($H$3,0,0,'Données projet'!$E$9+1,1))</f>
        <v>598.73855311281966</v>
      </c>
      <c r="T55" s="60">
        <f t="shared" si="34"/>
        <v>275.88160405468193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194</v>
      </c>
      <c r="AJ55" s="14">
        <f>AI55*VLOOKUP('Données projet'!$B$10,Paramètres!$A$1:$I$89,3,0)*VLOOKUP('Données projet'!$B$10,Paramètres!$A$1:$I$89,5,0)</f>
        <v>196.71600000000001</v>
      </c>
      <c r="AK55" s="14">
        <f t="shared" si="35"/>
        <v>49.021749959730009</v>
      </c>
      <c r="AL55" s="22">
        <f t="shared" si="4"/>
        <v>427.99324784652981</v>
      </c>
      <c r="AM55" s="60">
        <f t="shared" si="5"/>
        <v>684.42852731011317</v>
      </c>
      <c r="AN55" s="60">
        <f ca="1">AVERAGE(OFFSET($AM$3,0,0,'Données projet'!$E$10+1,1))-AVERAGE(OFFSET($H$3,0,0,'Données projet'!$E$10+1,1))</f>
        <v>515.72324585399997</v>
      </c>
      <c r="AO55" s="60">
        <f t="shared" si="36"/>
        <v>273.35778700650792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170.3697840000001</v>
      </c>
      <c r="BF55" s="14">
        <f t="shared" si="37"/>
        <v>43.172832424038276</v>
      </c>
      <c r="BG55" s="22">
        <f t="shared" si="7"/>
        <v>371.92005693853349</v>
      </c>
      <c r="BH55" s="60">
        <f t="shared" si="8"/>
        <v>628.35533640211679</v>
      </c>
      <c r="BI55" s="60">
        <f ca="1">AVERAGE(OFFSET($BH$3,0,0,'Données projet'!$E$11+1,1))-AVERAGE(OFFSET($H$3,0,0,'Données projet'!$E$11+1,1))</f>
        <v>336.25341821407534</v>
      </c>
      <c r="BJ55" s="60">
        <f t="shared" si="38"/>
        <v>360.3246221345039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2.8256347490140166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2.8256347490140166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5.6410256410256405</v>
      </c>
      <c r="BY55" s="13">
        <f>IF('Données projet'!$A$114&gt;35,BY54+BX55-CG54,IF(A55&lt;'Données projet'!$A$114,$BV$205^A55,IF(A55='Données projet'!$A$114,'Données projet'!$B$114,BY54+BX55-CG54)))</f>
        <v>181.15384615384608</v>
      </c>
      <c r="BZ55" s="14">
        <f>BY55*VLOOKUP('Données projet'!$B$12,Paramètres!$A$1:$I$89,3,0)*VLOOKUP('Données projet'!$B$12,Paramètres!$A$1:$I$89,5,0)</f>
        <v>172.38599999999991</v>
      </c>
      <c r="CA55" s="14">
        <f t="shared" si="39"/>
        <v>43.623973962324399</v>
      </c>
      <c r="CB55" s="22">
        <f t="shared" si="10"/>
        <v>376.21737131771482</v>
      </c>
      <c r="CC55" s="60">
        <f t="shared" si="11"/>
        <v>632.65265078129823</v>
      </c>
      <c r="CD55" s="60">
        <f ca="1">AVERAGE(OFFSET($CC$3,0,0,'Données projet'!$E$12+1,1))-AVERAGE(OFFSET($H$3,0,0,'Données projet'!$E$12+1,1))</f>
        <v>438.41611139377829</v>
      </c>
      <c r="CE55" s="60">
        <f t="shared" si="40"/>
        <v>345.17417065809605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7.3600000000000021</v>
      </c>
      <c r="CT55" s="13">
        <f>IF('Données projet'!$A$140&gt;35,CT54+CS55-DB54,IF(A55&lt;'Données projet'!$A$140,$CQ$205^A55,IF(A55='Données projet'!$A$140,'Données projet'!$B$140,CT54+CS55-DB54)))</f>
        <v>275.41999999999996</v>
      </c>
      <c r="CU55" s="18">
        <f>CT55*VLOOKUP('Données projet'!$B$13,Paramètres!$A$1:$I$89,3,0)*VLOOKUP('Données projet'!$B$13,Paramètres!$A$1:$I$89,5,0)</f>
        <v>219.12415199999998</v>
      </c>
      <c r="CV55" s="14">
        <f t="shared" si="41"/>
        <v>53.92448031270375</v>
      </c>
      <c r="CW55" s="22">
        <f t="shared" si="13"/>
        <v>475.55970127795899</v>
      </c>
      <c r="CX55" s="60">
        <f t="shared" si="14"/>
        <v>731.99498074154235</v>
      </c>
      <c r="CY55" s="60">
        <f ca="1">AVERAGE(OFFSET($CX$3,0,0,'Données projet'!$E$13+1,1))-AVERAGE(OFFSET($H$3,0,0,'Données projet'!$E$13+1,1))</f>
        <v>395.27840703467933</v>
      </c>
      <c r="CZ55" s="60">
        <f t="shared" si="42"/>
        <v>364.24192380053944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8.1999999999999993</v>
      </c>
      <c r="DO55" s="13">
        <f>IF('Données projet'!$A$166&gt;35,DO54+DN55-DW54,IF(A55&lt;'Données projet'!$A$166,$DL$205^A55,IF(A55='Données projet'!$A$166,'Données projet'!$B$166,DO54+DN55-DW54)))</f>
        <v>239.39999999999998</v>
      </c>
      <c r="DP55" s="18">
        <f>DO55*VLOOKUP('Données projet'!$B$14,Paramètres!$A$1:$I$89,3,0)*VLOOKUP('Données projet'!$B$14,Paramètres!$A$1:$I$89,5,0)</f>
        <v>186.732</v>
      </c>
      <c r="DQ55" s="14">
        <f t="shared" si="43"/>
        <v>46.81671651923142</v>
      </c>
      <c r="DR55" s="22">
        <f t="shared" si="16"/>
        <v>406.764014604328</v>
      </c>
      <c r="DS55" s="60">
        <f t="shared" si="17"/>
        <v>663.1992940679113</v>
      </c>
      <c r="DT55" s="60">
        <f ca="1">AVERAGE(OFFSET($DS$3,0,0,'Données projet'!$E$14+1,1))-AVERAGE(OFFSET($H$3,0,0,'Données projet'!$E$14+1,1))</f>
        <v>308.76306523144956</v>
      </c>
      <c r="DU55" s="60">
        <f t="shared" si="44"/>
        <v>283.28099819802776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6.2820512820512819</v>
      </c>
      <c r="EJ55" s="13">
        <f>IF('Données projet'!$A$192&gt;35,EJ54+EI55-ER54,IF(A55&lt;'Données projet'!$A$192,$EG$205^A55,IF(A55='Données projet'!$A$192,'Données projet'!$B$192,EJ54+EI55-ER54)))</f>
        <v>222.17948717948718</v>
      </c>
      <c r="EK55" s="18">
        <f>EJ55*VLOOKUP('Données projet'!$B$15,Paramètres!$A$1:$I$89,3,0)*VLOOKUP('Données projet'!$B$15,Paramètres!$A$1:$I$89,5,0)</f>
        <v>149.03800000000001</v>
      </c>
      <c r="EL55" s="14">
        <f t="shared" si="45"/>
        <v>38.359885872972924</v>
      </c>
      <c r="EM55" s="22">
        <f t="shared" si="19"/>
        <v>326.38465122876119</v>
      </c>
      <c r="EN55" s="60">
        <f t="shared" si="20"/>
        <v>582.81993069234454</v>
      </c>
      <c r="EO55" s="60">
        <f ca="1">AVERAGE(OFFSET($EN$3,0,0,'Données projet'!$E$15+1,1))-AVERAGE(OFFSET($H$3,0,0,'Données projet'!$E$15+1,1))</f>
        <v>375.49921531693559</v>
      </c>
      <c r="EP55" s="60">
        <f t="shared" si="46"/>
        <v>306.93934681565599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5.4</v>
      </c>
      <c r="FE55" s="13">
        <f>IF('Données projet'!$A$218&gt;35,FE54+FD55-FM54,IF(A55&lt;'Données projet'!$A$218,$FB$205^A55,IF(A55='Données projet'!$A$218,'Données projet'!$B$218,FE54+FD55-FM54)))</f>
        <v>167.80000000000007</v>
      </c>
      <c r="FF55" s="18">
        <f>FE55*VLOOKUP('Données projet'!$B$16,Paramètres!$A$1:$I$89,3,0)*VLOOKUP('Données projet'!$B$16,Paramètres!$A$1:$I$89,5,0)</f>
        <v>136.11936000000009</v>
      </c>
      <c r="FG55" s="14">
        <f t="shared" si="47"/>
        <v>35.406556182020879</v>
      </c>
      <c r="FH55" s="22">
        <f t="shared" si="22"/>
        <v>298.7409706836865</v>
      </c>
      <c r="FI55" s="60">
        <f t="shared" si="23"/>
        <v>555.17625014726991</v>
      </c>
      <c r="FJ55" s="60">
        <f ca="1">AVERAGE(OFFSET($FI$3,0,0,'Données projet'!$E$16+1,1))-AVERAGE(OFFSET($H$3,0,0,'Données projet'!$E$16+1,1))</f>
        <v>308.58270639204238</v>
      </c>
      <c r="FK55" s="60">
        <f t="shared" si="48"/>
        <v>258.90832875500325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</v>
      </c>
      <c r="FZ55" s="13">
        <f>IF('Données projet'!$A$244&gt;35,FZ54+FY55-GH54,IF(A55&lt;'Données projet'!$A$244,$FW$205^A55,IF(A55='Données projet'!$A$244,'Données projet'!$B$244,FZ54+FY55-GH54)))</f>
        <v>194</v>
      </c>
      <c r="GA55" s="18">
        <f>FZ55*VLOOKUP('Données projet'!$B$17,Paramètres!$A$1:$I$89,3,0)*VLOOKUP('Données projet'!$B$17,Paramètres!$A$1:$I$89,5,0)</f>
        <v>187.63680000000002</v>
      </c>
      <c r="GB55" s="14">
        <f t="shared" si="49"/>
        <v>47.01710291385907</v>
      </c>
      <c r="GC55" s="22">
        <f t="shared" si="25"/>
        <v>408.68888090830461</v>
      </c>
      <c r="GD55" s="60">
        <f t="shared" si="26"/>
        <v>665.12416037188791</v>
      </c>
      <c r="GE55" s="60">
        <f ca="1">AVERAGE(OFFSET($GD$3,0,0,'Données projet'!$E$17+1,1))-AVERAGE(OFFSET($H$3,0,0,'Données projet'!$E$17+1,1))</f>
        <v>495.77880062178235</v>
      </c>
      <c r="GF55" s="60">
        <f t="shared" si="50"/>
        <v>263.55891737750301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11</v>
      </c>
      <c r="N56" s="14">
        <f>IF('Données projet'!$A$36&gt;35,N55+M56-V55,IF(A56&lt;'Données projet'!$A$36,$K$205^A56,IF(A56='Données projet'!$A$36,'Données projet'!$B$36,N55+M56-V55)))</f>
        <v>250</v>
      </c>
      <c r="O56" s="14">
        <f>N56*VLOOKUP('Données projet'!$B$9,Paramètres!$A$1:$I$89,3,0)*VLOOKUP('Données projet'!$B$9,Paramètres!$A$1:$I$89,5,0)</f>
        <v>214.5</v>
      </c>
      <c r="P56" s="14">
        <f t="shared" si="33"/>
        <v>52.917732192436588</v>
      </c>
      <c r="Q56" s="22">
        <f t="shared" si="53"/>
        <v>465.7525502351603</v>
      </c>
      <c r="R56" s="60">
        <f t="shared" si="0"/>
        <v>722.82792844169353</v>
      </c>
      <c r="S56" s="60">
        <f ca="1">AVERAGE(OFFSET($R$3,0,0,'Données projet'!$E$9+1,1))-AVERAGE(OFFSET($H$3,0,0,'Données projet'!$E$9+1,1))</f>
        <v>598.73855311281966</v>
      </c>
      <c r="T56" s="60">
        <f t="shared" si="34"/>
        <v>275.88160405468193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202</v>
      </c>
      <c r="AJ56" s="14">
        <f>AI56*VLOOKUP('Données projet'!$B$10,Paramètres!$A$1:$I$89,3,0)*VLOOKUP('Données projet'!$B$10,Paramètres!$A$1:$I$89,5,0)</f>
        <v>204.82800000000003</v>
      </c>
      <c r="AK56" s="14">
        <f t="shared" si="35"/>
        <v>50.80373850176295</v>
      </c>
      <c r="AL56" s="22">
        <f t="shared" si="4"/>
        <v>445.22527789057045</v>
      </c>
      <c r="AM56" s="60">
        <f t="shared" si="5"/>
        <v>702.30065609710368</v>
      </c>
      <c r="AN56" s="60">
        <f ca="1">AVERAGE(OFFSET($AM$3,0,0,'Données projet'!$E$10+1,1))-AVERAGE(OFFSET($H$3,0,0,'Données projet'!$E$10+1,1))</f>
        <v>515.72324585399997</v>
      </c>
      <c r="AO56" s="60">
        <f t="shared" si="36"/>
        <v>273.35778700650792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175.23885600000008</v>
      </c>
      <c r="BF56" s="14">
        <f t="shared" si="37"/>
        <v>44.261272391866463</v>
      </c>
      <c r="BG56" s="22">
        <f t="shared" si="7"/>
        <v>382.29605694916751</v>
      </c>
      <c r="BH56" s="60">
        <f t="shared" si="8"/>
        <v>639.37143515570074</v>
      </c>
      <c r="BI56" s="60">
        <f ca="1">AVERAGE(OFFSET($BH$3,0,0,'Données projet'!$E$11+1,1))-AVERAGE(OFFSET($H$3,0,0,'Données projet'!$E$11+1,1))</f>
        <v>336.25341821407534</v>
      </c>
      <c r="BJ56" s="60">
        <f t="shared" si="38"/>
        <v>360.3246221345039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2.748367618208555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2.748367618208555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5.6410256410256405</v>
      </c>
      <c r="BY56" s="13">
        <f>IF('Données projet'!$A$114&gt;35,BY55+BX56-CG55,IF(A56&lt;'Données projet'!$A$114,$BV$205^A56,IF(A56='Données projet'!$A$114,'Données projet'!$B$114,BY55+BX56-CG55)))</f>
        <v>186.79487179487171</v>
      </c>
      <c r="BZ56" s="14">
        <f>BY56*VLOOKUP('Données projet'!$B$12,Paramètres!$A$1:$I$89,3,0)*VLOOKUP('Données projet'!$B$12,Paramètres!$A$1:$I$89,5,0)</f>
        <v>177.75399999999993</v>
      </c>
      <c r="CA56" s="14">
        <f t="shared" si="39"/>
        <v>44.822127969609177</v>
      </c>
      <c r="CB56" s="22">
        <f t="shared" si="10"/>
        <v>387.6534228804025</v>
      </c>
      <c r="CC56" s="60">
        <f t="shared" si="11"/>
        <v>644.72880108693573</v>
      </c>
      <c r="CD56" s="60">
        <f ca="1">AVERAGE(OFFSET($CC$3,0,0,'Données projet'!$E$12+1,1))-AVERAGE(OFFSET($H$3,0,0,'Données projet'!$E$12+1,1))</f>
        <v>438.41611139377829</v>
      </c>
      <c r="CE56" s="60">
        <f t="shared" si="40"/>
        <v>345.17417065809605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7.3600000000000021</v>
      </c>
      <c r="CT56" s="13">
        <f>IF('Données projet'!$A$140&gt;35,CT55+CS56-DB55,IF(A56&lt;'Données projet'!$A$140,$CQ$205^A56,IF(A56='Données projet'!$A$140,'Données projet'!$B$140,CT55+CS56-DB55)))</f>
        <v>282.77999999999997</v>
      </c>
      <c r="CU56" s="18">
        <f>CT56*VLOOKUP('Données projet'!$B$13,Paramètres!$A$1:$I$89,3,0)*VLOOKUP('Données projet'!$B$13,Paramètres!$A$1:$I$89,5,0)</f>
        <v>224.97976799999998</v>
      </c>
      <c r="CV56" s="14">
        <f t="shared" si="41"/>
        <v>55.195799727974219</v>
      </c>
      <c r="CW56" s="22">
        <f t="shared" si="13"/>
        <v>487.97244712622177</v>
      </c>
      <c r="CX56" s="60">
        <f t="shared" si="14"/>
        <v>745.047825332755</v>
      </c>
      <c r="CY56" s="60">
        <f ca="1">AVERAGE(OFFSET($CX$3,0,0,'Données projet'!$E$13+1,1))-AVERAGE(OFFSET($H$3,0,0,'Données projet'!$E$13+1,1))</f>
        <v>395.27840703467933</v>
      </c>
      <c r="CZ56" s="60">
        <f t="shared" si="42"/>
        <v>364.24192380053944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8.1999999999999993</v>
      </c>
      <c r="DO56" s="13">
        <f>IF('Données projet'!$A$166&gt;35,DO55+DN56-DW55,IF(A56&lt;'Données projet'!$A$166,$DL$205^A56,IF(A56='Données projet'!$A$166,'Données projet'!$B$166,DO55+DN56-DW55)))</f>
        <v>247.59999999999997</v>
      </c>
      <c r="DP56" s="18">
        <f>DO56*VLOOKUP('Données projet'!$B$14,Paramètres!$A$1:$I$89,3,0)*VLOOKUP('Données projet'!$B$14,Paramètres!$A$1:$I$89,5,0)</f>
        <v>193.12799999999999</v>
      </c>
      <c r="DQ56" s="14">
        <f t="shared" si="43"/>
        <v>48.230850644982517</v>
      </c>
      <c r="DR56" s="22">
        <f t="shared" si="16"/>
        <v>420.36666487334452</v>
      </c>
      <c r="DS56" s="60">
        <f t="shared" si="17"/>
        <v>677.44204307987775</v>
      </c>
      <c r="DT56" s="60">
        <f ca="1">AVERAGE(OFFSET($DS$3,0,0,'Données projet'!$E$14+1,1))-AVERAGE(OFFSET($H$3,0,0,'Données projet'!$E$14+1,1))</f>
        <v>308.76306523144956</v>
      </c>
      <c r="DU56" s="60">
        <f t="shared" si="44"/>
        <v>283.28099819802776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6.2820512820512819</v>
      </c>
      <c r="EJ56" s="13">
        <f>IF('Données projet'!$A$192&gt;35,EJ55+EI56-ER55,IF(A56&lt;'Données projet'!$A$192,$EG$205^A56,IF(A56='Données projet'!$A$192,'Données projet'!$B$192,EJ55+EI56-ER55)))</f>
        <v>228.46153846153845</v>
      </c>
      <c r="EK56" s="18">
        <f>EJ56*VLOOKUP('Données projet'!$B$15,Paramètres!$A$1:$I$89,3,0)*VLOOKUP('Données projet'!$B$15,Paramètres!$A$1:$I$89,5,0)</f>
        <v>153.25200000000001</v>
      </c>
      <c r="EL56" s="14">
        <f t="shared" si="45"/>
        <v>39.31668923960541</v>
      </c>
      <c r="EM56" s="22">
        <f t="shared" si="19"/>
        <v>335.39046709231275</v>
      </c>
      <c r="EN56" s="60">
        <f t="shared" si="20"/>
        <v>592.46584529884603</v>
      </c>
      <c r="EO56" s="60">
        <f ca="1">AVERAGE(OFFSET($EN$3,0,0,'Données projet'!$E$15+1,1))-AVERAGE(OFFSET($H$3,0,0,'Données projet'!$E$15+1,1))</f>
        <v>375.49921531693559</v>
      </c>
      <c r="EP56" s="60">
        <f t="shared" si="46"/>
        <v>306.93934681565599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5.4</v>
      </c>
      <c r="FE56" s="13">
        <f>IF('Données projet'!$A$218&gt;35,FE55+FD56-FM55,IF(A56&lt;'Données projet'!$A$218,$FB$205^A56,IF(A56='Données projet'!$A$218,'Données projet'!$B$218,FE55+FD56-FM55)))</f>
        <v>173.20000000000007</v>
      </c>
      <c r="FF56" s="18">
        <f>FE56*VLOOKUP('Données projet'!$B$16,Paramètres!$A$1:$I$89,3,0)*VLOOKUP('Données projet'!$B$16,Paramètres!$A$1:$I$89,5,0)</f>
        <v>140.49984000000006</v>
      </c>
      <c r="FG56" s="14">
        <f t="shared" si="47"/>
        <v>36.411488058235591</v>
      </c>
      <c r="FH56" s="22">
        <f t="shared" si="22"/>
        <v>308.12056303476038</v>
      </c>
      <c r="FI56" s="60">
        <f t="shared" si="23"/>
        <v>565.19594124129367</v>
      </c>
      <c r="FJ56" s="60">
        <f ca="1">AVERAGE(OFFSET($FI$3,0,0,'Données projet'!$E$16+1,1))-AVERAGE(OFFSET($H$3,0,0,'Données projet'!$E$16+1,1))</f>
        <v>308.58270639204238</v>
      </c>
      <c r="FK56" s="60">
        <f t="shared" si="48"/>
        <v>258.90832875500325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</v>
      </c>
      <c r="FZ56" s="13">
        <f>IF('Données projet'!$A$244&gt;35,FZ55+FY56-GH55,IF(A56&lt;'Données projet'!$A$244,$FW$205^A56,IF(A56='Données projet'!$A$244,'Données projet'!$B$244,FZ55+FY56-GH55)))</f>
        <v>202</v>
      </c>
      <c r="GA56" s="18">
        <f>FZ56*VLOOKUP('Données projet'!$B$17,Paramètres!$A$1:$I$89,3,0)*VLOOKUP('Données projet'!$B$17,Paramètres!$A$1:$I$89,5,0)</f>
        <v>195.37440000000001</v>
      </c>
      <c r="GB56" s="14">
        <f t="shared" si="49"/>
        <v>48.726220575731652</v>
      </c>
      <c r="GC56" s="22">
        <f t="shared" si="25"/>
        <v>425.14191416939929</v>
      </c>
      <c r="GD56" s="60">
        <f t="shared" si="26"/>
        <v>682.21729237593252</v>
      </c>
      <c r="GE56" s="60">
        <f ca="1">AVERAGE(OFFSET($GD$3,0,0,'Données projet'!$E$17+1,1))-AVERAGE(OFFSET($H$3,0,0,'Données projet'!$E$17+1,1))</f>
        <v>495.77880062178235</v>
      </c>
      <c r="GF56" s="60">
        <f t="shared" si="50"/>
        <v>263.55891737750301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11</v>
      </c>
      <c r="N57" s="14">
        <f>IF('Données projet'!$A$36&gt;35,N56+M57-V56,IF(A57&lt;'Données projet'!$A$36,$K$205^A57,IF(A57='Données projet'!$A$36,'Données projet'!$B$36,N56+M57-V56)))</f>
        <v>261</v>
      </c>
      <c r="O57" s="14">
        <f>N57*VLOOKUP('Données projet'!$B$9,Paramètres!$A$1:$I$89,3,0)*VLOOKUP('Données projet'!$B$9,Paramètres!$A$1:$I$89,5,0)</f>
        <v>223.93800000000002</v>
      </c>
      <c r="P57" s="14">
        <f t="shared" si="33"/>
        <v>54.969904783066404</v>
      </c>
      <c r="Q57" s="22">
        <f t="shared" si="53"/>
        <v>485.76460083050733</v>
      </c>
      <c r="R57" s="60">
        <f t="shared" si="0"/>
        <v>743.46897349784672</v>
      </c>
      <c r="S57" s="60">
        <f ca="1">AVERAGE(OFFSET($R$3,0,0,'Données projet'!$E$9+1,1))-AVERAGE(OFFSET($H$3,0,0,'Données projet'!$E$9+1,1))</f>
        <v>598.73855311281966</v>
      </c>
      <c r="T57" s="60">
        <f t="shared" si="34"/>
        <v>275.88160405468193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210</v>
      </c>
      <c r="AJ57" s="14">
        <f>AI57*VLOOKUP('Données projet'!$B$10,Paramètres!$A$1:$I$89,3,0)*VLOOKUP('Données projet'!$B$10,Paramètres!$A$1:$I$89,5,0)</f>
        <v>212.94</v>
      </c>
      <c r="AK57" s="14">
        <f t="shared" si="35"/>
        <v>52.577528895212865</v>
      </c>
      <c r="AL57" s="22">
        <f t="shared" si="4"/>
        <v>462.44302949249573</v>
      </c>
      <c r="AM57" s="60">
        <f t="shared" si="5"/>
        <v>720.14740215983511</v>
      </c>
      <c r="AN57" s="60">
        <f ca="1">AVERAGE(OFFSET($AM$3,0,0,'Données projet'!$E$10+1,1))-AVERAGE(OFFSET($H$3,0,0,'Données projet'!$E$10+1,1))</f>
        <v>515.72324585399997</v>
      </c>
      <c r="AO57" s="60">
        <f t="shared" si="36"/>
        <v>273.35778700650792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180.1079280000001</v>
      </c>
      <c r="BF57" s="14">
        <f t="shared" si="37"/>
        <v>45.34619732035577</v>
      </c>
      <c r="BG57" s="22">
        <f t="shared" si="7"/>
        <v>392.66593493295318</v>
      </c>
      <c r="BH57" s="60">
        <f t="shared" si="8"/>
        <v>650.37030760029256</v>
      </c>
      <c r="BI57" s="60">
        <f ca="1">AVERAGE(OFFSET($BH$3,0,0,'Données projet'!$E$11+1,1))-AVERAGE(OFFSET($H$3,0,0,'Données projet'!$E$11+1,1))</f>
        <v>336.25341821407534</v>
      </c>
      <c r="BJ57" s="60">
        <f t="shared" si="38"/>
        <v>360.3246221345039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2.6732133611582705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2.6732133611582705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5.6410256410256405</v>
      </c>
      <c r="BY57" s="13">
        <f>IF('Données projet'!$A$114&gt;35,BY56+BX57-CG56,IF(A57&lt;'Données projet'!$A$114,$BV$205^A57,IF(A57='Données projet'!$A$114,'Données projet'!$B$114,BY56+BX57-CG56)))</f>
        <v>192.43589743589735</v>
      </c>
      <c r="BZ57" s="14">
        <f>BY57*VLOOKUP('Données projet'!$B$12,Paramètres!$A$1:$I$89,3,0)*VLOOKUP('Données projet'!$B$12,Paramètres!$A$1:$I$89,5,0)</f>
        <v>183.1219999999999</v>
      </c>
      <c r="CA57" s="14">
        <f t="shared" si="39"/>
        <v>46.016076982551581</v>
      </c>
      <c r="CB57" s="22">
        <f t="shared" si="10"/>
        <v>399.08215074461049</v>
      </c>
      <c r="CC57" s="60">
        <f t="shared" si="11"/>
        <v>656.78652341194982</v>
      </c>
      <c r="CD57" s="60">
        <f ca="1">AVERAGE(OFFSET($CC$3,0,0,'Données projet'!$E$12+1,1))-AVERAGE(OFFSET($H$3,0,0,'Données projet'!$E$12+1,1))</f>
        <v>438.41611139377829</v>
      </c>
      <c r="CE57" s="60">
        <f t="shared" si="40"/>
        <v>345.17417065809605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7.3600000000000021</v>
      </c>
      <c r="CT57" s="13">
        <f>IF('Données projet'!$A$140&gt;35,CT56+CS57-DB56,IF(A57&lt;'Données projet'!$A$140,$CQ$205^A57,IF(A57='Données projet'!$A$140,'Données projet'!$B$140,CT56+CS57-DB56)))</f>
        <v>290.14</v>
      </c>
      <c r="CU57" s="18">
        <f>CT57*VLOOKUP('Données projet'!$B$13,Paramètres!$A$1:$I$89,3,0)*VLOOKUP('Données projet'!$B$13,Paramètres!$A$1:$I$89,5,0)</f>
        <v>230.83538399999998</v>
      </c>
      <c r="CV57" s="14">
        <f t="shared" si="41"/>
        <v>56.463272951727305</v>
      </c>
      <c r="CW57" s="22">
        <f t="shared" si="13"/>
        <v>500.37849419092498</v>
      </c>
      <c r="CX57" s="60">
        <f t="shared" si="14"/>
        <v>758.08286685826431</v>
      </c>
      <c r="CY57" s="60">
        <f ca="1">AVERAGE(OFFSET($CX$3,0,0,'Données projet'!$E$13+1,1))-AVERAGE(OFFSET($H$3,0,0,'Données projet'!$E$13+1,1))</f>
        <v>395.27840703467933</v>
      </c>
      <c r="CZ57" s="60">
        <f t="shared" si="42"/>
        <v>364.24192380053944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8.1999999999999993</v>
      </c>
      <c r="DO57" s="13">
        <f>IF('Données projet'!$A$166&gt;35,DO56+DN57-DW56,IF(A57&lt;'Données projet'!$A$166,$DL$205^A57,IF(A57='Données projet'!$A$166,'Données projet'!$B$166,DO56+DN57-DW56)))</f>
        <v>255.79999999999995</v>
      </c>
      <c r="DP57" s="18">
        <f>DO57*VLOOKUP('Données projet'!$B$14,Paramètres!$A$1:$I$89,3,0)*VLOOKUP('Données projet'!$B$14,Paramètres!$A$1:$I$89,5,0)</f>
        <v>199.52399999999997</v>
      </c>
      <c r="DQ57" s="14">
        <f t="shared" si="43"/>
        <v>49.639542829407041</v>
      </c>
      <c r="DR57" s="22">
        <f t="shared" si="16"/>
        <v>433.95983709455049</v>
      </c>
      <c r="DS57" s="60">
        <f t="shared" si="17"/>
        <v>691.66420976188988</v>
      </c>
      <c r="DT57" s="60">
        <f ca="1">AVERAGE(OFFSET($DS$3,0,0,'Données projet'!$E$14+1,1))-AVERAGE(OFFSET($H$3,0,0,'Données projet'!$E$14+1,1))</f>
        <v>308.76306523144956</v>
      </c>
      <c r="DU57" s="60">
        <f t="shared" si="44"/>
        <v>283.28099819802776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6.2820512820512819</v>
      </c>
      <c r="EJ57" s="13">
        <f>IF('Données projet'!$A$192&gt;35,EJ56+EI57-ER56,IF(A57&lt;'Données projet'!$A$192,$EG$205^A57,IF(A57='Données projet'!$A$192,'Données projet'!$B$192,EJ56+EI57-ER56)))</f>
        <v>234.74358974358972</v>
      </c>
      <c r="EK57" s="18">
        <f>EJ57*VLOOKUP('Données projet'!$B$15,Paramètres!$A$1:$I$89,3,0)*VLOOKUP('Données projet'!$B$15,Paramètres!$A$1:$I$89,5,0)</f>
        <v>157.46600000000001</v>
      </c>
      <c r="EL57" s="14">
        <f t="shared" si="45"/>
        <v>40.270434679626149</v>
      </c>
      <c r="EM57" s="22">
        <f t="shared" si="19"/>
        <v>344.39095706701551</v>
      </c>
      <c r="EN57" s="60">
        <f t="shared" si="20"/>
        <v>602.09532973435489</v>
      </c>
      <c r="EO57" s="60">
        <f ca="1">AVERAGE(OFFSET($EN$3,0,0,'Données projet'!$E$15+1,1))-AVERAGE(OFFSET($H$3,0,0,'Données projet'!$E$15+1,1))</f>
        <v>375.49921531693559</v>
      </c>
      <c r="EP57" s="60">
        <f t="shared" si="46"/>
        <v>306.93934681565599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5.4</v>
      </c>
      <c r="FE57" s="13">
        <f>IF('Données projet'!$A$218&gt;35,FE56+FD57-FM56,IF(A57&lt;'Données projet'!$A$218,$FB$205^A57,IF(A57='Données projet'!$A$218,'Données projet'!$B$218,FE56+FD57-FM56)))</f>
        <v>178.60000000000008</v>
      </c>
      <c r="FF57" s="18">
        <f>FE57*VLOOKUP('Données projet'!$B$16,Paramètres!$A$1:$I$89,3,0)*VLOOKUP('Données projet'!$B$16,Paramètres!$A$1:$I$89,5,0)</f>
        <v>144.88032000000007</v>
      </c>
      <c r="FG57" s="14">
        <f t="shared" si="47"/>
        <v>37.412778923310412</v>
      </c>
      <c r="FH57" s="22">
        <f t="shared" si="22"/>
        <v>317.49381395809911</v>
      </c>
      <c r="FI57" s="60">
        <f t="shared" si="23"/>
        <v>575.19818662543844</v>
      </c>
      <c r="FJ57" s="60">
        <f ca="1">AVERAGE(OFFSET($FI$3,0,0,'Données projet'!$E$16+1,1))-AVERAGE(OFFSET($H$3,0,0,'Données projet'!$E$16+1,1))</f>
        <v>308.58270639204238</v>
      </c>
      <c r="FK57" s="60">
        <f t="shared" si="48"/>
        <v>258.90832875500325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</v>
      </c>
      <c r="FZ57" s="13">
        <f>IF('Données projet'!$A$244&gt;35,FZ56+FY57-GH56,IF(A57&lt;'Données projet'!$A$244,$FW$205^A57,IF(A57='Données projet'!$A$244,'Données projet'!$B$244,FZ56+FY57-GH56)))</f>
        <v>210</v>
      </c>
      <c r="GA57" s="18">
        <f>FZ57*VLOOKUP('Données projet'!$B$17,Paramètres!$A$1:$I$89,3,0)*VLOOKUP('Données projet'!$B$17,Paramètres!$A$1:$I$89,5,0)</f>
        <v>203.11199999999999</v>
      </c>
      <c r="GB57" s="14">
        <f t="shared" si="49"/>
        <v>50.427475336015782</v>
      </c>
      <c r="GC57" s="22">
        <f t="shared" si="25"/>
        <v>441.5812528768941</v>
      </c>
      <c r="GD57" s="60">
        <f t="shared" si="26"/>
        <v>699.28562554423343</v>
      </c>
      <c r="GE57" s="60">
        <f ca="1">AVERAGE(OFFSET($GD$3,0,0,'Données projet'!$E$17+1,1))-AVERAGE(OFFSET($H$3,0,0,'Données projet'!$E$17+1,1))</f>
        <v>495.77880062178235</v>
      </c>
      <c r="GF57" s="60">
        <f t="shared" si="50"/>
        <v>263.55891737750301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272</v>
      </c>
      <c r="L58" s="13">
        <f>VLOOKUP(A58,'Données projet'!$A$35:$I$55,9,0)</f>
        <v>11</v>
      </c>
      <c r="M58" s="13">
        <f t="array" ref="M58">INDEX(L:L,MIN(IF(ISNUMBER(L58:L254),ROW(L58:L254),"")))</f>
        <v>11</v>
      </c>
      <c r="N58" s="14">
        <f>IF('Données projet'!$A$36&gt;35,N57+M58-V57,IF(A58&lt;'Données projet'!$A$36,$K$205^A58,IF(A58='Données projet'!$A$36,'Données projet'!$B$36,N57+M58-V57)))</f>
        <v>272</v>
      </c>
      <c r="O58" s="14">
        <f>N58*VLOOKUP('Données projet'!$B$9,Paramètres!$A$1:$I$89,3,0)*VLOOKUP('Données projet'!$B$9,Paramètres!$A$1:$I$89,5,0)</f>
        <v>233.37600000000003</v>
      </c>
      <c r="P58" s="14">
        <f t="shared" si="33"/>
        <v>57.012031446990107</v>
      </c>
      <c r="Q58" s="22">
        <f t="shared" si="53"/>
        <v>505.75915477017446</v>
      </c>
      <c r="R58" s="60">
        <f t="shared" si="0"/>
        <v>764.08161025064578</v>
      </c>
      <c r="S58" s="60">
        <f ca="1">AVERAGE(OFFSET($R$3,0,0,'Données projet'!$E$9+1,1))-AVERAGE(OFFSET($H$3,0,0,'Données projet'!$E$9+1,1))</f>
        <v>598.73855311281966</v>
      </c>
      <c r="T58" s="60">
        <f t="shared" si="34"/>
        <v>275.88160405468193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218</v>
      </c>
      <c r="AJ58" s="14">
        <f>AI58*VLOOKUP('Données projet'!$B$10,Paramètres!$A$1:$I$89,3,0)*VLOOKUP('Données projet'!$B$10,Paramètres!$A$1:$I$89,5,0)</f>
        <v>221.05200000000002</v>
      </c>
      <c r="AK58" s="14">
        <f t="shared" si="35"/>
        <v>54.343469202939254</v>
      </c>
      <c r="AL58" s="22">
        <f t="shared" si="4"/>
        <v>479.64710886178597</v>
      </c>
      <c r="AM58" s="60">
        <f t="shared" si="5"/>
        <v>737.9695643422574</v>
      </c>
      <c r="AN58" s="60">
        <f ca="1">AVERAGE(OFFSET($AM$3,0,0,'Données projet'!$E$10+1,1))-AVERAGE(OFFSET($H$3,0,0,'Données projet'!$E$10+1,1))</f>
        <v>515.72324585399997</v>
      </c>
      <c r="AO58" s="60">
        <f t="shared" si="36"/>
        <v>273.35778700650792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184.97700000000009</v>
      </c>
      <c r="BF58" s="14">
        <f t="shared" si="37"/>
        <v>46.427713156194159</v>
      </c>
      <c r="BG58" s="22">
        <f t="shared" si="7"/>
        <v>403.02987541370499</v>
      </c>
      <c r="BH58" s="60">
        <f t="shared" si="8"/>
        <v>661.35233089417636</v>
      </c>
      <c r="BI58" s="60">
        <f ca="1">AVERAGE(OFFSET($BH$3,0,0,'Données projet'!$E$11+1,1))-AVERAGE(OFFSET($H$3,0,0,'Données projet'!$E$11+1,1))</f>
        <v>336.25341821407534</v>
      </c>
      <c r="BJ58" s="60">
        <f t="shared" si="38"/>
        <v>360.3246221345039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2.6001142012192164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2.6001142012192164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198.07692307692307</v>
      </c>
      <c r="BW58" s="13">
        <f>VLOOKUP(A58,'Données projet'!$A$113:$I$133,9,0)</f>
        <v>5.6410256410256405</v>
      </c>
      <c r="BX58" s="13">
        <f t="array" ref="BX58">INDEX(BW:BW,MIN(IF(ISNUMBER(BW58:BW254),ROW(BW58:BW254),"")))</f>
        <v>5.6410256410256405</v>
      </c>
      <c r="BY58" s="13">
        <f>IF('Données projet'!$A$114&gt;35,BY57+BX58-CG57,IF(A58&lt;'Données projet'!$A$114,$BV$205^A58,IF(A58='Données projet'!$A$114,'Données projet'!$B$114,BY57+BX58-CG57)))</f>
        <v>198.07692307692298</v>
      </c>
      <c r="BZ58" s="14">
        <f>BY58*VLOOKUP('Données projet'!$B$12,Paramètres!$A$1:$I$89,3,0)*VLOOKUP('Données projet'!$B$12,Paramètres!$A$1:$I$89,5,0)</f>
        <v>188.4899999999999</v>
      </c>
      <c r="CA58" s="14">
        <f t="shared" si="39"/>
        <v>47.205958418831322</v>
      </c>
      <c r="CB58" s="22">
        <f t="shared" si="10"/>
        <v>410.50379424613106</v>
      </c>
      <c r="CC58" s="60">
        <f t="shared" si="11"/>
        <v>668.82624972660244</v>
      </c>
      <c r="CD58" s="60">
        <f ca="1">AVERAGE(OFFSET($CC$3,0,0,'Données projet'!$E$12+1,1))-AVERAGE(OFFSET($H$3,0,0,'Données projet'!$E$12+1,1))</f>
        <v>438.41611139377829</v>
      </c>
      <c r="CE58" s="60">
        <f t="shared" si="40"/>
        <v>345.17417065809605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297.5</v>
      </c>
      <c r="CR58" s="13">
        <f>VLOOKUP(A58,'Données projet'!$A$139:$I$159,9,0)</f>
        <v>7.3600000000000021</v>
      </c>
      <c r="CS58" s="13">
        <f t="array" ref="CS58">INDEX(CR:CR,MIN(IF(ISNUMBER(CR58:CR254),ROW(CR58:CR254),"")))</f>
        <v>7.3600000000000021</v>
      </c>
      <c r="CT58" s="13">
        <f>IF('Données projet'!$A$140&gt;35,CT57+CS58-DB57,IF(A58&lt;'Données projet'!$A$140,$CQ$205^A58,IF(A58='Données projet'!$A$140,'Données projet'!$B$140,CT57+CS58-DB57)))</f>
        <v>297.5</v>
      </c>
      <c r="CU58" s="18">
        <f>CT58*VLOOKUP('Données projet'!$B$13,Paramètres!$A$1:$I$89,3,0)*VLOOKUP('Données projet'!$B$13,Paramètres!$A$1:$I$89,5,0)</f>
        <v>236.691</v>
      </c>
      <c r="CV58" s="14">
        <f t="shared" si="41"/>
        <v>57.727008770255331</v>
      </c>
      <c r="CW58" s="22">
        <f t="shared" si="13"/>
        <v>512.77803194152796</v>
      </c>
      <c r="CX58" s="60">
        <f t="shared" si="14"/>
        <v>771.10048742199933</v>
      </c>
      <c r="CY58" s="60">
        <f ca="1">AVERAGE(OFFSET($CX$3,0,0,'Données projet'!$E$13+1,1))-AVERAGE(OFFSET($H$3,0,0,'Données projet'!$E$13+1,1))</f>
        <v>395.27840703467933</v>
      </c>
      <c r="CZ58" s="60">
        <f t="shared" si="42"/>
        <v>364.24192380053944</v>
      </c>
      <c r="DA58" s="16">
        <f>IF(ISNA(VLOOKUP(A58,'Données projet'!$A$139:$I$159,3,0)),0,VLOOKUP(A58,'Données projet'!$A$139:$I$159,3,0))</f>
        <v>5</v>
      </c>
      <c r="DB58" s="16">
        <f>IF(ISNA(VLOOKUP(A58,'Données projet'!$A$139:$I$159,4,0)),0,VLOOKUP(A58,'Données projet'!$A$139:$I$159,4,0))</f>
        <v>34.9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264</v>
      </c>
      <c r="DM58" s="13">
        <f>VLOOKUP(A58,'Données projet'!$A$165:$I$185,9,0)</f>
        <v>8.1999999999999993</v>
      </c>
      <c r="DN58" s="13">
        <f t="array" ref="DN58">INDEX(DM:DM,MIN(IF(ISNUMBER(DM58:DM254),ROW(DM58:DM254),"")))</f>
        <v>8.1999999999999993</v>
      </c>
      <c r="DO58" s="13">
        <f>IF('Données projet'!$A$166&gt;35,DO57+DN58-DW57,IF(A58&lt;'Données projet'!$A$166,$DL$205^A58,IF(A58='Données projet'!$A$166,'Données projet'!$B$166,DO57+DN58-DW57)))</f>
        <v>263.99999999999994</v>
      </c>
      <c r="DP58" s="18">
        <f>DO58*VLOOKUP('Données projet'!$B$14,Paramètres!$A$1:$I$89,3,0)*VLOOKUP('Données projet'!$B$14,Paramètres!$A$1:$I$89,5,0)</f>
        <v>205.91999999999996</v>
      </c>
      <c r="DQ58" s="14">
        <f t="shared" si="43"/>
        <v>51.042987531485686</v>
      </c>
      <c r="DR58" s="22">
        <f t="shared" si="16"/>
        <v>447.5438699506708</v>
      </c>
      <c r="DS58" s="60">
        <f t="shared" si="17"/>
        <v>705.86632543114217</v>
      </c>
      <c r="DT58" s="60">
        <f ca="1">AVERAGE(OFFSET($DS$3,0,0,'Données projet'!$E$14+1,1))-AVERAGE(OFFSET($H$3,0,0,'Données projet'!$E$14+1,1))</f>
        <v>308.76306523144956</v>
      </c>
      <c r="DU58" s="60">
        <f t="shared" si="44"/>
        <v>283.28099819802776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30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241.02564102564102</v>
      </c>
      <c r="EH58" s="13">
        <f>VLOOKUP(A58,'Données projet'!$A$191:$I$211,9,0)</f>
        <v>6.2820512820512819</v>
      </c>
      <c r="EI58" s="13">
        <f t="array" ref="EI58">INDEX(EH:EH,MIN(IF(ISNUMBER(EH58:EH254),ROW(EH58:EH254),"")))</f>
        <v>6.2820512820512819</v>
      </c>
      <c r="EJ58" s="13">
        <f>IF('Données projet'!$A$192&gt;35,EJ57+EI58-ER57,IF(A58&lt;'Données projet'!$A$192,$EG$205^A58,IF(A58='Données projet'!$A$192,'Données projet'!$B$192,EJ57+EI58-ER57)))</f>
        <v>241.02564102564099</v>
      </c>
      <c r="EK58" s="18">
        <f>EJ58*VLOOKUP('Données projet'!$B$15,Paramètres!$A$1:$I$89,3,0)*VLOOKUP('Données projet'!$B$15,Paramètres!$A$1:$I$89,5,0)</f>
        <v>161.67999999999998</v>
      </c>
      <c r="EL58" s="14">
        <f t="shared" si="45"/>
        <v>41.221213432630442</v>
      </c>
      <c r="EM58" s="22">
        <f t="shared" si="19"/>
        <v>353.38628006183126</v>
      </c>
      <c r="EN58" s="60">
        <f t="shared" si="20"/>
        <v>611.70873554230263</v>
      </c>
      <c r="EO58" s="60">
        <f ca="1">AVERAGE(OFFSET($EN$3,0,0,'Données projet'!$E$15+1,1))-AVERAGE(OFFSET($H$3,0,0,'Données projet'!$E$15+1,1))</f>
        <v>375.49921531693559</v>
      </c>
      <c r="EP58" s="60">
        <f t="shared" si="46"/>
        <v>306.93934681565599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184</v>
      </c>
      <c r="FC58" s="13">
        <f>VLOOKUP(A58,'Données projet'!$A$217:$I$237,9,0)</f>
        <v>5.4</v>
      </c>
      <c r="FD58" s="13">
        <f t="array" ref="FD58">INDEX(FC:FC,MIN(IF(ISNUMBER(FC58:FC254),ROW(FC58:FC254),"")))</f>
        <v>5.4</v>
      </c>
      <c r="FE58" s="13">
        <f>IF('Données projet'!$A$218&gt;35,FE57+FD58-FM57,IF(A58&lt;'Données projet'!$A$218,$FB$205^A58,IF(A58='Données projet'!$A$218,'Données projet'!$B$218,FE57+FD58-FM57)))</f>
        <v>184.00000000000009</v>
      </c>
      <c r="FF58" s="18">
        <f>FE58*VLOOKUP('Données projet'!$B$16,Paramètres!$A$1:$I$89,3,0)*VLOOKUP('Données projet'!$B$16,Paramètres!$A$1:$I$89,5,0)</f>
        <v>149.26080000000007</v>
      </c>
      <c r="FG58" s="14">
        <f t="shared" si="47"/>
        <v>38.410551499792945</v>
      </c>
      <c r="FH58" s="22">
        <f t="shared" si="22"/>
        <v>326.86093719547284</v>
      </c>
      <c r="FI58" s="60">
        <f t="shared" si="23"/>
        <v>585.18339267594422</v>
      </c>
      <c r="FJ58" s="60">
        <f ca="1">AVERAGE(OFFSET($FI$3,0,0,'Données projet'!$E$16+1,1))-AVERAGE(OFFSET($H$3,0,0,'Données projet'!$E$16+1,1))</f>
        <v>308.58270639204238</v>
      </c>
      <c r="FK58" s="60">
        <f t="shared" si="48"/>
        <v>258.90832875500325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218</v>
      </c>
      <c r="FX58" s="13">
        <f>VLOOKUP(A58,'Données projet'!$A$243:$I$263,9,0)</f>
        <v>8</v>
      </c>
      <c r="FY58" s="13">
        <f t="array" ref="FY58">INDEX(FX:FX,MIN(IF(ISNUMBER(FX58:FX254),ROW(FX58:FX254),"")))</f>
        <v>8</v>
      </c>
      <c r="FZ58" s="13">
        <f>IF('Données projet'!$A$244&gt;35,FZ57+FY58-GH57,IF(A58&lt;'Données projet'!$A$244,$FW$205^A58,IF(A58='Données projet'!$A$244,'Données projet'!$B$244,FZ57+FY58-GH57)))</f>
        <v>218</v>
      </c>
      <c r="GA58" s="18">
        <f>FZ58*VLOOKUP('Données projet'!$B$17,Paramètres!$A$1:$I$89,3,0)*VLOOKUP('Données projet'!$B$17,Paramètres!$A$1:$I$89,5,0)</f>
        <v>210.84960000000001</v>
      </c>
      <c r="GB58" s="14">
        <f t="shared" si="49"/>
        <v>52.121201024231922</v>
      </c>
      <c r="GC58" s="22">
        <f t="shared" si="25"/>
        <v>458.00747845053729</v>
      </c>
      <c r="GD58" s="60">
        <f t="shared" si="26"/>
        <v>716.32993393100867</v>
      </c>
      <c r="GE58" s="60">
        <f ca="1">AVERAGE(OFFSET($GD$3,0,0,'Données projet'!$E$17+1,1))-AVERAGE(OFFSET($H$3,0,0,'Données projet'!$E$17+1,1))</f>
        <v>495.77880062178235</v>
      </c>
      <c r="GF58" s="60">
        <f t="shared" si="50"/>
        <v>263.55891737750301</v>
      </c>
      <c r="GG58" s="16">
        <f>IF(ISNA(VLOOKUP(A58,'Données projet'!$A$243:$I$263,3,0)),0,VLOOKUP(A58,'Données projet'!$A$243:$I$263,3,0))</f>
        <v>4</v>
      </c>
      <c r="GH58" s="16">
        <f>IF(ISNA(VLOOKUP(A58,'Données projet'!$A$243:$I$263,4,0)),0,VLOOKUP(A58,'Données projet'!$A$243:$I$263,4,0))</f>
        <v>42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10.6</v>
      </c>
      <c r="N59" s="14">
        <f>IF('Données projet'!$A$36&gt;35,N58+M59-V58,IF(A59&lt;'Données projet'!$A$36,$K$205^A59,IF(A59='Données projet'!$A$36,'Données projet'!$B$36,N58+M59-V58)))</f>
        <v>226.60000000000002</v>
      </c>
      <c r="O59" s="14">
        <f>N59*VLOOKUP('Données projet'!$B$9,Paramètres!$A$1:$I$89,3,0)*VLOOKUP('Données projet'!$B$9,Paramètres!$A$1:$I$89,5,0)</f>
        <v>194.42280000000005</v>
      </c>
      <c r="P59" s="14">
        <f t="shared" si="33"/>
        <v>48.516457749158555</v>
      </c>
      <c r="Q59" s="22">
        <f t="shared" si="53"/>
        <v>423.1192072464512</v>
      </c>
      <c r="R59" s="60">
        <f t="shared" si="0"/>
        <v>682.04902318507288</v>
      </c>
      <c r="S59" s="60">
        <f ca="1">AVERAGE(OFFSET($R$3,0,0,'Données projet'!$E$9+1,1))-AVERAGE(OFFSET($H$3,0,0,'Données projet'!$E$9+1,1))</f>
        <v>598.73855311281966</v>
      </c>
      <c r="T59" s="60">
        <f t="shared" si="34"/>
        <v>275.88160405468193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183.4</v>
      </c>
      <c r="AJ59" s="14">
        <f>AI59*VLOOKUP('Données projet'!$B$10,Paramètres!$A$1:$I$89,3,0)*VLOOKUP('Données projet'!$B$10,Paramètres!$A$1:$I$89,5,0)</f>
        <v>185.96760000000003</v>
      </c>
      <c r="AK59" s="14">
        <f t="shared" si="35"/>
        <v>46.647336490401138</v>
      </c>
      <c r="AL59" s="22">
        <f t="shared" si="4"/>
        <v>405.13768105411538</v>
      </c>
      <c r="AM59" s="60">
        <f t="shared" si="5"/>
        <v>664.06749699273712</v>
      </c>
      <c r="AN59" s="60">
        <f ca="1">AVERAGE(OFFSET($AM$3,0,0,'Données projet'!$E$10+1,1))-AVERAGE(OFFSET($H$3,0,0,'Données projet'!$E$10+1,1))</f>
        <v>515.72324585399997</v>
      </c>
      <c r="AO59" s="60">
        <f t="shared" si="36"/>
        <v>273.35778700650792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189.0822960000001</v>
      </c>
      <c r="BF59" s="14">
        <f t="shared" si="37"/>
        <v>47.337004389591748</v>
      </c>
      <c r="BG59" s="22">
        <f t="shared" si="7"/>
        <v>411.76361484520572</v>
      </c>
      <c r="BH59" s="60">
        <f t="shared" si="8"/>
        <v>670.69343078382747</v>
      </c>
      <c r="BI59" s="60">
        <f ca="1">AVERAGE(OFFSET($BH$3,0,0,'Données projet'!$E$11+1,1))-AVERAGE(OFFSET($H$3,0,0,'Données projet'!$E$11+1,1))</f>
        <v>336.25341821407534</v>
      </c>
      <c r="BJ59" s="60">
        <f t="shared" si="38"/>
        <v>360.3246221345039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2.5290139416528139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2.5290139416528139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5.3846153846153868</v>
      </c>
      <c r="BY59" s="13">
        <f>IF('Données projet'!$A$114&gt;35,BY58+BX59-CG58,IF(A59&lt;'Données projet'!$A$114,$BV$205^A59,IF(A59='Données projet'!$A$114,'Données projet'!$B$114,BY58+BX59-CG58)))</f>
        <v>203.46153846153837</v>
      </c>
      <c r="BZ59" s="14">
        <f>BY59*VLOOKUP('Données projet'!$B$12,Paramètres!$A$1:$I$89,3,0)*VLOOKUP('Données projet'!$B$12,Paramètres!$A$1:$I$89,5,0)</f>
        <v>193.61399999999992</v>
      </c>
      <c r="CA59" s="14">
        <f t="shared" si="39"/>
        <v>48.338078619840999</v>
      </c>
      <c r="CB59" s="22">
        <f t="shared" si="10"/>
        <v>421.39987026288958</v>
      </c>
      <c r="CC59" s="60">
        <f t="shared" si="11"/>
        <v>680.32968620151132</v>
      </c>
      <c r="CD59" s="60">
        <f ca="1">AVERAGE(OFFSET($CC$3,0,0,'Données projet'!$E$12+1,1))-AVERAGE(OFFSET($H$3,0,0,'Données projet'!$E$12+1,1))</f>
        <v>438.41611139377829</v>
      </c>
      <c r="CE59" s="60">
        <f t="shared" si="40"/>
        <v>345.17417065809605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6.2799999999999958</v>
      </c>
      <c r="CT59" s="13">
        <f>IF('Données projet'!$A$140&gt;35,CT58+CS59-DB58,IF(A59&lt;'Données projet'!$A$140,$CQ$205^A59,IF(A59='Données projet'!$A$140,'Données projet'!$B$140,CT58+CS59-DB58)))</f>
        <v>268.88</v>
      </c>
      <c r="CU59" s="18">
        <f>CT59*VLOOKUP('Données projet'!$B$13,Paramètres!$A$1:$I$89,3,0)*VLOOKUP('Données projet'!$B$13,Paramètres!$A$1:$I$89,5,0)</f>
        <v>213.92092800000003</v>
      </c>
      <c r="CV59" s="14">
        <f t="shared" si="41"/>
        <v>52.791482450292293</v>
      </c>
      <c r="CW59" s="22">
        <f t="shared" si="13"/>
        <v>464.52411486759246</v>
      </c>
      <c r="CX59" s="60">
        <f t="shared" si="14"/>
        <v>723.4539308062142</v>
      </c>
      <c r="CY59" s="60">
        <f ca="1">AVERAGE(OFFSET($CX$3,0,0,'Données projet'!$E$13+1,1))-AVERAGE(OFFSET($H$3,0,0,'Données projet'!$E$13+1,1))</f>
        <v>395.27840703467933</v>
      </c>
      <c r="CZ59" s="60">
        <f t="shared" si="42"/>
        <v>364.24192380053944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241.39999999999992</v>
      </c>
      <c r="DP59" s="18">
        <f>DO59*VLOOKUP('Données projet'!$B$14,Paramètres!$A$1:$I$89,3,0)*VLOOKUP('Données projet'!$B$14,Paramètres!$A$1:$I$89,5,0)</f>
        <v>188.29199999999994</v>
      </c>
      <c r="DQ59" s="14">
        <f t="shared" si="43"/>
        <v>47.162140074549235</v>
      </c>
      <c r="DR59" s="22">
        <f t="shared" si="16"/>
        <v>410.08262729650642</v>
      </c>
      <c r="DS59" s="60">
        <f t="shared" si="17"/>
        <v>669.0124432351281</v>
      </c>
      <c r="DT59" s="60">
        <f ca="1">AVERAGE(OFFSET($DS$3,0,0,'Données projet'!$E$14+1,1))-AVERAGE(OFFSET($H$3,0,0,'Données projet'!$E$14+1,1))</f>
        <v>308.76306523144956</v>
      </c>
      <c r="DU59" s="60">
        <f t="shared" si="44"/>
        <v>283.28099819802776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5.8974358974358951</v>
      </c>
      <c r="EJ59" s="13">
        <f>IF('Données projet'!$A$192&gt;35,EJ58+EI59-ER58,IF(A59&lt;'Données projet'!$A$192,$EG$205^A59,IF(A59='Données projet'!$A$192,'Données projet'!$B$192,EJ58+EI59-ER58)))</f>
        <v>246.92307692307688</v>
      </c>
      <c r="EK59" s="18">
        <f>EJ59*VLOOKUP('Données projet'!$B$15,Paramètres!$A$1:$I$89,3,0)*VLOOKUP('Données projet'!$B$15,Paramètres!$A$1:$I$89,5,0)</f>
        <v>165.63599999999997</v>
      </c>
      <c r="EL59" s="14">
        <f t="shared" si="45"/>
        <v>42.111158364957326</v>
      </c>
      <c r="EM59" s="22">
        <f t="shared" si="19"/>
        <v>361.82630081896724</v>
      </c>
      <c r="EN59" s="60">
        <f t="shared" si="20"/>
        <v>620.75611675758898</v>
      </c>
      <c r="EO59" s="60">
        <f ca="1">AVERAGE(OFFSET($EN$3,0,0,'Données projet'!$E$15+1,1))-AVERAGE(OFFSET($H$3,0,0,'Données projet'!$E$15+1,1))</f>
        <v>375.49921531693559</v>
      </c>
      <c r="EP59" s="60">
        <f t="shared" si="46"/>
        <v>306.93934681565599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5.4</v>
      </c>
      <c r="FE59" s="13">
        <f>IF('Données projet'!$A$218&gt;35,FE58+FD59-FM58,IF(A59&lt;'Données projet'!$A$218,$FB$205^A59,IF(A59='Données projet'!$A$218,'Données projet'!$B$218,FE58+FD59-FM58)))</f>
        <v>189.40000000000009</v>
      </c>
      <c r="FF59" s="18">
        <f>FE59*VLOOKUP('Données projet'!$B$16,Paramètres!$A$1:$I$89,3,0)*VLOOKUP('Données projet'!$B$16,Paramètres!$A$1:$I$89,5,0)</f>
        <v>153.64128000000008</v>
      </c>
      <c r="FG59" s="14">
        <f t="shared" si="47"/>
        <v>39.40492089741533</v>
      </c>
      <c r="FH59" s="22">
        <f t="shared" si="22"/>
        <v>336.22213322966519</v>
      </c>
      <c r="FI59" s="60">
        <f t="shared" si="23"/>
        <v>595.15194916828693</v>
      </c>
      <c r="FJ59" s="60">
        <f ca="1">AVERAGE(OFFSET($FI$3,0,0,'Données projet'!$E$16+1,1))-AVERAGE(OFFSET($H$3,0,0,'Données projet'!$E$16+1,1))</f>
        <v>308.58270639204238</v>
      </c>
      <c r="FK59" s="60">
        <f t="shared" si="48"/>
        <v>258.90832875500325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7.4</v>
      </c>
      <c r="FZ59" s="13">
        <f>IF('Données projet'!$A$244&gt;35,FZ58+FY59-GH58,IF(A59&lt;'Données projet'!$A$244,$FW$205^A59,IF(A59='Données projet'!$A$244,'Données projet'!$B$244,FZ58+FY59-GH58)))</f>
        <v>183.4</v>
      </c>
      <c r="GA59" s="18">
        <f>FZ59*VLOOKUP('Données projet'!$B$17,Paramètres!$A$1:$I$89,3,0)*VLOOKUP('Données projet'!$B$17,Paramètres!$A$1:$I$89,5,0)</f>
        <v>177.38448</v>
      </c>
      <c r="GB59" s="14">
        <f t="shared" si="49"/>
        <v>44.739786364792579</v>
      </c>
      <c r="GC59" s="22">
        <f t="shared" si="25"/>
        <v>386.86643058534702</v>
      </c>
      <c r="GD59" s="60">
        <f t="shared" si="26"/>
        <v>645.79624652396876</v>
      </c>
      <c r="GE59" s="60">
        <f ca="1">AVERAGE(OFFSET($GD$3,0,0,'Données projet'!$E$17+1,1))-AVERAGE(OFFSET($H$3,0,0,'Données projet'!$E$17+1,1))</f>
        <v>495.77880062178235</v>
      </c>
      <c r="GF59" s="60">
        <f t="shared" si="50"/>
        <v>263.55891737750301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10.6</v>
      </c>
      <c r="N60" s="14">
        <f>IF('Données projet'!$A$36&gt;35,N59+M60-V59,IF(A60&lt;'Données projet'!$A$36,$K$205^A60,IF(A60='Données projet'!$A$36,'Données projet'!$B$36,N59+M60-V59)))</f>
        <v>237.20000000000002</v>
      </c>
      <c r="O60" s="14">
        <f>N60*VLOOKUP('Données projet'!$B$9,Paramètres!$A$1:$I$89,3,0)*VLOOKUP('Données projet'!$B$9,Paramètres!$A$1:$I$89,5,0)</f>
        <v>203.51760000000002</v>
      </c>
      <c r="P60" s="14">
        <f t="shared" si="33"/>
        <v>50.516443546845025</v>
      </c>
      <c r="Q60" s="22">
        <f t="shared" si="53"/>
        <v>442.44262584408847</v>
      </c>
      <c r="R60" s="60">
        <f t="shared" si="0"/>
        <v>701.96926589476618</v>
      </c>
      <c r="S60" s="60">
        <f ca="1">AVERAGE(OFFSET($R$3,0,0,'Données projet'!$E$9+1,1))-AVERAGE(OFFSET($H$3,0,0,'Données projet'!$E$9+1,1))</f>
        <v>598.73855311281966</v>
      </c>
      <c r="T60" s="60">
        <f t="shared" si="34"/>
        <v>275.88160405468193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190.8</v>
      </c>
      <c r="AJ60" s="14">
        <f>AI60*VLOOKUP('Données projet'!$B$10,Paramètres!$A$1:$I$89,3,0)*VLOOKUP('Données projet'!$B$10,Paramètres!$A$1:$I$89,5,0)</f>
        <v>193.47120000000001</v>
      </c>
      <c r="AK60" s="14">
        <f t="shared" si="35"/>
        <v>48.306575382296536</v>
      </c>
      <c r="AL60" s="22">
        <f t="shared" si="4"/>
        <v>421.09629212416644</v>
      </c>
      <c r="AM60" s="60">
        <f t="shared" si="5"/>
        <v>680.62293217484421</v>
      </c>
      <c r="AN60" s="60">
        <f ca="1">AVERAGE(OFFSET($AM$3,0,0,'Données projet'!$E$10+1,1))-AVERAGE(OFFSET($H$3,0,0,'Données projet'!$E$10+1,1))</f>
        <v>515.72324585399997</v>
      </c>
      <c r="AO60" s="60">
        <f t="shared" si="36"/>
        <v>273.35778700650792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193.18759200000011</v>
      </c>
      <c r="BF60" s="14">
        <f t="shared" si="37"/>
        <v>48.244000336014693</v>
      </c>
      <c r="BG60" s="22">
        <f t="shared" si="7"/>
        <v>420.49335665189238</v>
      </c>
      <c r="BH60" s="60">
        <f t="shared" si="8"/>
        <v>680.0199967025701</v>
      </c>
      <c r="BI60" s="60">
        <f ca="1">AVERAGE(OFFSET($BH$3,0,0,'Données projet'!$E$11+1,1))-AVERAGE(OFFSET($H$3,0,0,'Données projet'!$E$11+1,1))</f>
        <v>336.25341821407534</v>
      </c>
      <c r="BJ60" s="60">
        <f t="shared" si="38"/>
        <v>360.3246221345039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2.4598579224232546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2.4598579224232546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5.3846153846153868</v>
      </c>
      <c r="BY60" s="13">
        <f>IF('Données projet'!$A$114&gt;35,BY59+BX60-CG59,IF(A60&lt;'Données projet'!$A$114,$BV$205^A60,IF(A60='Données projet'!$A$114,'Données projet'!$B$114,BY59+BX60-CG59)))</f>
        <v>208.84615384615375</v>
      </c>
      <c r="BZ60" s="14">
        <f>BY60*VLOOKUP('Données projet'!$B$12,Paramètres!$A$1:$I$89,3,0)*VLOOKUP('Données projet'!$B$12,Paramètres!$A$1:$I$89,5,0)</f>
        <v>198.73799999999991</v>
      </c>
      <c r="CA60" s="14">
        <f t="shared" si="39"/>
        <v>49.466716228002042</v>
      </c>
      <c r="CB60" s="22">
        <f t="shared" si="10"/>
        <v>432.28988076377004</v>
      </c>
      <c r="CC60" s="60">
        <f t="shared" si="11"/>
        <v>691.81652081444781</v>
      </c>
      <c r="CD60" s="60">
        <f ca="1">AVERAGE(OFFSET($CC$3,0,0,'Données projet'!$E$12+1,1))-AVERAGE(OFFSET($H$3,0,0,'Données projet'!$E$12+1,1))</f>
        <v>438.41611139377829</v>
      </c>
      <c r="CE60" s="60">
        <f t="shared" si="40"/>
        <v>345.17417065809605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6.2799999999999958</v>
      </c>
      <c r="CT60" s="13">
        <f>IF('Données projet'!$A$140&gt;35,CT59+CS60-DB59,IF(A60&lt;'Données projet'!$A$140,$CQ$205^A60,IF(A60='Données projet'!$A$140,'Données projet'!$B$140,CT59+CS60-DB59)))</f>
        <v>275.15999999999997</v>
      </c>
      <c r="CU60" s="18">
        <f>CT60*VLOOKUP('Données projet'!$B$13,Paramètres!$A$1:$I$89,3,0)*VLOOKUP('Données projet'!$B$13,Paramètres!$A$1:$I$89,5,0)</f>
        <v>218.91729599999996</v>
      </c>
      <c r="CV60" s="14">
        <f t="shared" si="41"/>
        <v>53.879497830364521</v>
      </c>
      <c r="CW60" s="22">
        <f t="shared" si="13"/>
        <v>475.12108258788476</v>
      </c>
      <c r="CX60" s="60">
        <f t="shared" si="14"/>
        <v>734.64772263856253</v>
      </c>
      <c r="CY60" s="60">
        <f ca="1">AVERAGE(OFFSET($CX$3,0,0,'Données projet'!$E$13+1,1))-AVERAGE(OFFSET($H$3,0,0,'Données projet'!$E$13+1,1))</f>
        <v>395.27840703467933</v>
      </c>
      <c r="CZ60" s="60">
        <f t="shared" si="42"/>
        <v>364.24192380053944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248.79999999999993</v>
      </c>
      <c r="DP60" s="18">
        <f>DO60*VLOOKUP('Données projet'!$B$14,Paramètres!$A$1:$I$89,3,0)*VLOOKUP('Données projet'!$B$14,Paramètres!$A$1:$I$89,5,0)</f>
        <v>194.06399999999994</v>
      </c>
      <c r="DQ60" s="14">
        <f t="shared" si="43"/>
        <v>48.437335849011056</v>
      </c>
      <c r="DR60" s="22">
        <f t="shared" si="16"/>
        <v>422.35649327036077</v>
      </c>
      <c r="DS60" s="60">
        <f t="shared" si="17"/>
        <v>681.88313332103849</v>
      </c>
      <c r="DT60" s="60">
        <f ca="1">AVERAGE(OFFSET($DS$3,0,0,'Données projet'!$E$14+1,1))-AVERAGE(OFFSET($H$3,0,0,'Données projet'!$E$14+1,1))</f>
        <v>308.76306523144956</v>
      </c>
      <c r="DU60" s="60">
        <f t="shared" si="44"/>
        <v>283.28099819802776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5.8974358974358951</v>
      </c>
      <c r="EJ60" s="13">
        <f>IF('Données projet'!$A$192&gt;35,EJ59+EI60-ER59,IF(A60&lt;'Données projet'!$A$192,$EG$205^A60,IF(A60='Données projet'!$A$192,'Données projet'!$B$192,EJ59+EI60-ER59)))</f>
        <v>252.82051282051276</v>
      </c>
      <c r="EK60" s="18">
        <f>EJ60*VLOOKUP('Données projet'!$B$15,Paramètres!$A$1:$I$89,3,0)*VLOOKUP('Données projet'!$B$15,Paramètres!$A$1:$I$89,5,0)</f>
        <v>169.59199999999996</v>
      </c>
      <c r="EL60" s="14">
        <f t="shared" si="45"/>
        <v>42.998632382543327</v>
      </c>
      <c r="EM60" s="22">
        <f t="shared" si="19"/>
        <v>370.2620180662629</v>
      </c>
      <c r="EN60" s="60">
        <f t="shared" si="20"/>
        <v>629.78865811694061</v>
      </c>
      <c r="EO60" s="60">
        <f ca="1">AVERAGE(OFFSET($EN$3,0,0,'Données projet'!$E$15+1,1))-AVERAGE(OFFSET($H$3,0,0,'Données projet'!$E$15+1,1))</f>
        <v>375.49921531693559</v>
      </c>
      <c r="EP60" s="60">
        <f t="shared" si="46"/>
        <v>306.93934681565599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5.4</v>
      </c>
      <c r="FE60" s="13">
        <f>IF('Données projet'!$A$218&gt;35,FE59+FD60-FM59,IF(A60&lt;'Données projet'!$A$218,$FB$205^A60,IF(A60='Données projet'!$A$218,'Données projet'!$B$218,FE59+FD60-FM59)))</f>
        <v>194.8000000000001</v>
      </c>
      <c r="FF60" s="18">
        <f>FE60*VLOOKUP('Données projet'!$B$16,Paramètres!$A$1:$I$89,3,0)*VLOOKUP('Données projet'!$B$16,Paramètres!$A$1:$I$89,5,0)</f>
        <v>158.02176000000009</v>
      </c>
      <c r="FG60" s="14">
        <f t="shared" si="47"/>
        <v>40.39599528875813</v>
      </c>
      <c r="FH60" s="22">
        <f t="shared" si="22"/>
        <v>345.57759046125392</v>
      </c>
      <c r="FI60" s="60">
        <f t="shared" si="23"/>
        <v>605.10423051193163</v>
      </c>
      <c r="FJ60" s="60">
        <f ca="1">AVERAGE(OFFSET($FI$3,0,0,'Données projet'!$E$16+1,1))-AVERAGE(OFFSET($H$3,0,0,'Données projet'!$E$16+1,1))</f>
        <v>308.58270639204238</v>
      </c>
      <c r="FK60" s="60">
        <f t="shared" si="48"/>
        <v>258.90832875500325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7.4</v>
      </c>
      <c r="FZ60" s="13">
        <f>IF('Données projet'!$A$244&gt;35,FZ59+FY60-GH59,IF(A60&lt;'Données projet'!$A$244,$FW$205^A60,IF(A60='Données projet'!$A$244,'Données projet'!$B$244,FZ59+FY60-GH59)))</f>
        <v>190.8</v>
      </c>
      <c r="GA60" s="18">
        <f>FZ60*VLOOKUP('Données projet'!$B$17,Paramètres!$A$1:$I$89,3,0)*VLOOKUP('Données projet'!$B$17,Paramètres!$A$1:$I$89,5,0)</f>
        <v>184.54176000000001</v>
      </c>
      <c r="GB60" s="14">
        <f t="shared" si="49"/>
        <v>46.33117397953523</v>
      </c>
      <c r="GC60" s="22">
        <f t="shared" si="25"/>
        <v>402.10369334769052</v>
      </c>
      <c r="GD60" s="60">
        <f t="shared" si="26"/>
        <v>661.63033339836829</v>
      </c>
      <c r="GE60" s="60">
        <f ca="1">AVERAGE(OFFSET($GD$3,0,0,'Données projet'!$E$17+1,1))-AVERAGE(OFFSET($H$3,0,0,'Données projet'!$E$17+1,1))</f>
        <v>495.77880062178235</v>
      </c>
      <c r="GF60" s="60">
        <f t="shared" si="50"/>
        <v>263.55891737750301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10.6</v>
      </c>
      <c r="N61" s="14">
        <f>IF('Données projet'!$A$36&gt;35,N60+M61-V60,IF(A61&lt;'Données projet'!$A$36,$K$205^A61,IF(A61='Données projet'!$A$36,'Données projet'!$B$36,N60+M61-V60)))</f>
        <v>247.8</v>
      </c>
      <c r="O61" s="14">
        <f>N61*VLOOKUP('Données projet'!$B$9,Paramètres!$A$1:$I$89,3,0)*VLOOKUP('Données projet'!$B$9,Paramètres!$A$1:$I$89,5,0)</f>
        <v>212.61240000000004</v>
      </c>
      <c r="P61" s="14">
        <f t="shared" si="33"/>
        <v>52.50604940806096</v>
      </c>
      <c r="Q61" s="22">
        <f t="shared" si="53"/>
        <v>461.74796605237293</v>
      </c>
      <c r="R61" s="60">
        <f t="shared" si="0"/>
        <v>721.86107665106135</v>
      </c>
      <c r="S61" s="60">
        <f ca="1">AVERAGE(OFFSET($R$3,0,0,'Données projet'!$E$9+1,1))-AVERAGE(OFFSET($H$3,0,0,'Données projet'!$E$9+1,1))</f>
        <v>598.73855311281966</v>
      </c>
      <c r="T61" s="60">
        <f t="shared" si="34"/>
        <v>275.88160405468193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198.20000000000002</v>
      </c>
      <c r="AJ61" s="14">
        <f>AI61*VLOOKUP('Données projet'!$B$10,Paramètres!$A$1:$I$89,3,0)*VLOOKUP('Données projet'!$B$10,Paramètres!$A$1:$I$89,5,0)</f>
        <v>200.97480000000002</v>
      </c>
      <c r="AK61" s="14">
        <f t="shared" si="35"/>
        <v>49.958338600688421</v>
      </c>
      <c r="AL61" s="22">
        <f t="shared" si="4"/>
        <v>437.04188306286568</v>
      </c>
      <c r="AM61" s="60">
        <f t="shared" si="5"/>
        <v>697.15499366155404</v>
      </c>
      <c r="AN61" s="60">
        <f ca="1">AVERAGE(OFFSET($AM$3,0,0,'Données projet'!$E$10+1,1))-AVERAGE(OFFSET($H$3,0,0,'Données projet'!$E$10+1,1))</f>
        <v>515.72324585399997</v>
      </c>
      <c r="AO61" s="60">
        <f t="shared" si="36"/>
        <v>273.35778700650792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197.29288800000009</v>
      </c>
      <c r="BF61" s="14">
        <f t="shared" si="37"/>
        <v>49.148755389471887</v>
      </c>
      <c r="BG61" s="22">
        <f t="shared" si="7"/>
        <v>429.219195569997</v>
      </c>
      <c r="BH61" s="60">
        <f t="shared" si="8"/>
        <v>689.33230616868536</v>
      </c>
      <c r="BI61" s="60">
        <f ca="1">AVERAGE(OFFSET($BH$3,0,0,'Données projet'!$E$11+1,1))-AVERAGE(OFFSET($H$3,0,0,'Données projet'!$E$11+1,1))</f>
        <v>336.25341821407534</v>
      </c>
      <c r="BJ61" s="60">
        <f t="shared" si="38"/>
        <v>360.3246221345039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2.3925929781762845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2.3925929781762845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5.3846153846153868</v>
      </c>
      <c r="BY61" s="13">
        <f>IF('Données projet'!$A$114&gt;35,BY60+BX61-CG60,IF(A61&lt;'Données projet'!$A$114,$BV$205^A61,IF(A61='Données projet'!$A$114,'Données projet'!$B$114,BY60+BX61-CG60)))</f>
        <v>214.23076923076914</v>
      </c>
      <c r="BZ61" s="14">
        <f>BY61*VLOOKUP('Données projet'!$B$12,Paramètres!$A$1:$I$89,3,0)*VLOOKUP('Données projet'!$B$12,Paramètres!$A$1:$I$89,5,0)</f>
        <v>203.86199999999994</v>
      </c>
      <c r="CA61" s="14">
        <f t="shared" si="39"/>
        <v>50.591971357727658</v>
      </c>
      <c r="CB61" s="22">
        <f t="shared" si="10"/>
        <v>443.17400011470886</v>
      </c>
      <c r="CC61" s="60">
        <f t="shared" si="11"/>
        <v>703.28711071339728</v>
      </c>
      <c r="CD61" s="60">
        <f ca="1">AVERAGE(OFFSET($CC$3,0,0,'Données projet'!$E$12+1,1))-AVERAGE(OFFSET($H$3,0,0,'Données projet'!$E$12+1,1))</f>
        <v>438.41611139377829</v>
      </c>
      <c r="CE61" s="60">
        <f t="shared" si="40"/>
        <v>345.17417065809605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6.2799999999999958</v>
      </c>
      <c r="CT61" s="13">
        <f>IF('Données projet'!$A$140&gt;35,CT60+CS61-DB60,IF(A61&lt;'Données projet'!$A$140,$CQ$205^A61,IF(A61='Données projet'!$A$140,'Données projet'!$B$140,CT60+CS61-DB60)))</f>
        <v>281.43999999999994</v>
      </c>
      <c r="CU61" s="18">
        <f>CT61*VLOOKUP('Données projet'!$B$13,Paramètres!$A$1:$I$89,3,0)*VLOOKUP('Données projet'!$B$13,Paramètres!$A$1:$I$89,5,0)</f>
        <v>223.91366399999998</v>
      </c>
      <c r="CV61" s="14">
        <f t="shared" si="41"/>
        <v>54.964626352169368</v>
      </c>
      <c r="CW61" s="22">
        <f t="shared" si="13"/>
        <v>485.71302236336152</v>
      </c>
      <c r="CX61" s="60">
        <f t="shared" si="14"/>
        <v>745.82613296205</v>
      </c>
      <c r="CY61" s="60">
        <f ca="1">AVERAGE(OFFSET($CX$3,0,0,'Données projet'!$E$13+1,1))-AVERAGE(OFFSET($H$3,0,0,'Données projet'!$E$13+1,1))</f>
        <v>395.27840703467933</v>
      </c>
      <c r="CZ61" s="60">
        <f t="shared" si="42"/>
        <v>364.24192380053944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256.19999999999993</v>
      </c>
      <c r="DP61" s="18">
        <f>DO61*VLOOKUP('Données projet'!$B$14,Paramètres!$A$1:$I$89,3,0)*VLOOKUP('Données projet'!$B$14,Paramètres!$A$1:$I$89,5,0)</f>
        <v>199.83599999999996</v>
      </c>
      <c r="DQ61" s="14">
        <f t="shared" si="43"/>
        <v>49.708123768564604</v>
      </c>
      <c r="DR61" s="22">
        <f t="shared" si="16"/>
        <v>434.62268223024995</v>
      </c>
      <c r="DS61" s="60">
        <f t="shared" si="17"/>
        <v>694.73579282893843</v>
      </c>
      <c r="DT61" s="60">
        <f ca="1">AVERAGE(OFFSET($DS$3,0,0,'Données projet'!$E$14+1,1))-AVERAGE(OFFSET($H$3,0,0,'Données projet'!$E$14+1,1))</f>
        <v>308.76306523144956</v>
      </c>
      <c r="DU61" s="60">
        <f t="shared" si="44"/>
        <v>283.28099819802776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5.8974358974358951</v>
      </c>
      <c r="EJ61" s="13">
        <f>IF('Données projet'!$A$192&gt;35,EJ60+EI61-ER60,IF(A61&lt;'Données projet'!$A$192,$EG$205^A61,IF(A61='Données projet'!$A$192,'Données projet'!$B$192,EJ60+EI61-ER60)))</f>
        <v>258.71794871794867</v>
      </c>
      <c r="EK61" s="18">
        <f>EJ61*VLOOKUP('Données projet'!$B$15,Paramètres!$A$1:$I$89,3,0)*VLOOKUP('Données projet'!$B$15,Paramètres!$A$1:$I$89,5,0)</f>
        <v>173.54799999999997</v>
      </c>
      <c r="EL61" s="14">
        <f t="shared" si="45"/>
        <v>43.88369975692207</v>
      </c>
      <c r="EM61" s="22">
        <f t="shared" si="19"/>
        <v>378.69354374330584</v>
      </c>
      <c r="EN61" s="60">
        <f t="shared" si="20"/>
        <v>638.80665434199432</v>
      </c>
      <c r="EO61" s="60">
        <f ca="1">AVERAGE(OFFSET($EN$3,0,0,'Données projet'!$E$15+1,1))-AVERAGE(OFFSET($H$3,0,0,'Données projet'!$E$15+1,1))</f>
        <v>375.49921531693559</v>
      </c>
      <c r="EP61" s="60">
        <f t="shared" si="46"/>
        <v>306.93934681565599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5.4</v>
      </c>
      <c r="FE61" s="13">
        <f>IF('Données projet'!$A$218&gt;35,FE60+FD61-FM60,IF(A61&lt;'Données projet'!$A$218,$FB$205^A61,IF(A61='Données projet'!$A$218,'Données projet'!$B$218,FE60+FD61-FM60)))</f>
        <v>200.2000000000001</v>
      </c>
      <c r="FF61" s="18">
        <f>FE61*VLOOKUP('Données projet'!$B$16,Paramètres!$A$1:$I$89,3,0)*VLOOKUP('Données projet'!$B$16,Paramètres!$A$1:$I$89,5,0)</f>
        <v>162.40224000000009</v>
      </c>
      <c r="FG61" s="14">
        <f t="shared" si="47"/>
        <v>41.383876507887827</v>
      </c>
      <c r="FH61" s="22">
        <f t="shared" si="22"/>
        <v>354.92748625123812</v>
      </c>
      <c r="FI61" s="60">
        <f t="shared" si="23"/>
        <v>615.04059684992649</v>
      </c>
      <c r="FJ61" s="60">
        <f ca="1">AVERAGE(OFFSET($FI$3,0,0,'Données projet'!$E$16+1,1))-AVERAGE(OFFSET($H$3,0,0,'Données projet'!$E$16+1,1))</f>
        <v>308.58270639204238</v>
      </c>
      <c r="FK61" s="60">
        <f t="shared" si="48"/>
        <v>258.90832875500325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7.4</v>
      </c>
      <c r="FZ61" s="13">
        <f>IF('Données projet'!$A$244&gt;35,FZ60+FY61-GH60,IF(A61&lt;'Données projet'!$A$244,$FW$205^A61,IF(A61='Données projet'!$A$244,'Données projet'!$B$244,FZ60+FY61-GH60)))</f>
        <v>198.20000000000002</v>
      </c>
      <c r="GA61" s="18">
        <f>FZ61*VLOOKUP('Données projet'!$B$17,Paramètres!$A$1:$I$89,3,0)*VLOOKUP('Données projet'!$B$17,Paramètres!$A$1:$I$89,5,0)</f>
        <v>191.69904000000002</v>
      </c>
      <c r="GB61" s="14">
        <f t="shared" si="49"/>
        <v>47.915391623586181</v>
      </c>
      <c r="GC61" s="22">
        <f t="shared" si="25"/>
        <v>417.32846841107926</v>
      </c>
      <c r="GD61" s="60">
        <f t="shared" si="26"/>
        <v>677.44157900976768</v>
      </c>
      <c r="GE61" s="60">
        <f ca="1">AVERAGE(OFFSET($GD$3,0,0,'Données projet'!$E$17+1,1))-AVERAGE(OFFSET($H$3,0,0,'Données projet'!$E$17+1,1))</f>
        <v>495.77880062178235</v>
      </c>
      <c r="GF61" s="60">
        <f t="shared" si="50"/>
        <v>263.55891737750301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10.6</v>
      </c>
      <c r="N62" s="14">
        <f>IF('Données projet'!$A$36&gt;35,N61+M62-V61,IF(A62&lt;'Données projet'!$A$36,$K$205^A62,IF(A62='Données projet'!$A$36,'Données projet'!$B$36,N61+M62-V61)))</f>
        <v>258.40000000000003</v>
      </c>
      <c r="O62" s="14">
        <f>N62*VLOOKUP('Données projet'!$B$9,Paramètres!$A$1:$I$89,3,0)*VLOOKUP('Données projet'!$B$9,Paramètres!$A$1:$I$89,5,0)</f>
        <v>221.70720000000006</v>
      </c>
      <c r="P62" s="14">
        <f t="shared" si="33"/>
        <v>54.485770108876878</v>
      </c>
      <c r="Q62" s="22">
        <f t="shared" si="53"/>
        <v>481.0360896062939</v>
      </c>
      <c r="R62" s="60">
        <f t="shared" si="0"/>
        <v>741.72549680013663</v>
      </c>
      <c r="S62" s="60">
        <f ca="1">AVERAGE(OFFSET($R$3,0,0,'Données projet'!$E$9+1,1))-AVERAGE(OFFSET($H$3,0,0,'Données projet'!$E$9+1,1))</f>
        <v>598.73855311281966</v>
      </c>
      <c r="T62" s="60">
        <f t="shared" si="34"/>
        <v>275.88160405468193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205.60000000000002</v>
      </c>
      <c r="AJ62" s="14">
        <f>AI62*VLOOKUP('Données projet'!$B$10,Paramètres!$A$1:$I$89,3,0)*VLOOKUP('Données projet'!$B$10,Paramètres!$A$1:$I$89,5,0)</f>
        <v>208.47840000000002</v>
      </c>
      <c r="AK62" s="14">
        <f t="shared" si="35"/>
        <v>51.60293721710056</v>
      </c>
      <c r="AL62" s="22">
        <f t="shared" si="4"/>
        <v>452.97499565311682</v>
      </c>
      <c r="AM62" s="60">
        <f t="shared" si="5"/>
        <v>713.66440284695955</v>
      </c>
      <c r="AN62" s="60">
        <f ca="1">AVERAGE(OFFSET($AM$3,0,0,'Données projet'!$E$10+1,1))-AVERAGE(OFFSET($H$3,0,0,'Données projet'!$E$10+1,1))</f>
        <v>515.72324585399997</v>
      </c>
      <c r="AO62" s="60">
        <f t="shared" si="36"/>
        <v>273.35778700650792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201.39818400000007</v>
      </c>
      <c r="BF62" s="14">
        <f t="shared" si="37"/>
        <v>50.051321550931391</v>
      </c>
      <c r="BG62" s="22">
        <f t="shared" si="7"/>
        <v>437.94122216787235</v>
      </c>
      <c r="BH62" s="60">
        <f t="shared" si="8"/>
        <v>698.63062936171514</v>
      </c>
      <c r="BI62" s="60">
        <f ca="1">AVERAGE(OFFSET($BH$3,0,0,'Données projet'!$E$11+1,1))-AVERAGE(OFFSET($H$3,0,0,'Données projet'!$E$11+1,1))</f>
        <v>336.25341821407534</v>
      </c>
      <c r="BJ62" s="60">
        <f t="shared" si="38"/>
        <v>360.3246221345039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2.3271673973670577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2.3271673973670577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5.3846153846153868</v>
      </c>
      <c r="BY62" s="13">
        <f>IF('Données projet'!$A$114&gt;35,BY61+BX62-CG61,IF(A62&lt;'Données projet'!$A$114,$BV$205^A62,IF(A62='Données projet'!$A$114,'Données projet'!$B$114,BY61+BX62-CG61)))</f>
        <v>219.61538461538453</v>
      </c>
      <c r="BZ62" s="14">
        <f>BY62*VLOOKUP('Données projet'!$B$12,Paramètres!$A$1:$I$89,3,0)*VLOOKUP('Données projet'!$B$12,Paramètres!$A$1:$I$89,5,0)</f>
        <v>208.9859999999999</v>
      </c>
      <c r="CA62" s="14">
        <f t="shared" si="39"/>
        <v>51.713938803941488</v>
      </c>
      <c r="CB62" s="22">
        <f t="shared" si="10"/>
        <v>454.05239341686456</v>
      </c>
      <c r="CC62" s="60">
        <f t="shared" si="11"/>
        <v>714.74180061070729</v>
      </c>
      <c r="CD62" s="60">
        <f ca="1">AVERAGE(OFFSET($CC$3,0,0,'Données projet'!$E$12+1,1))-AVERAGE(OFFSET($H$3,0,0,'Données projet'!$E$12+1,1))</f>
        <v>438.41611139377829</v>
      </c>
      <c r="CE62" s="60">
        <f t="shared" si="40"/>
        <v>345.17417065809605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6.2799999999999958</v>
      </c>
      <c r="CT62" s="13">
        <f>IF('Données projet'!$A$140&gt;35,CT61+CS62-DB61,IF(A62&lt;'Données projet'!$A$140,$CQ$205^A62,IF(A62='Données projet'!$A$140,'Données projet'!$B$140,CT61+CS62-DB61)))</f>
        <v>287.71999999999991</v>
      </c>
      <c r="CU62" s="18">
        <f>CT62*VLOOKUP('Données projet'!$B$13,Paramètres!$A$1:$I$89,3,0)*VLOOKUP('Données projet'!$B$13,Paramètres!$A$1:$I$89,5,0)</f>
        <v>228.91003199999992</v>
      </c>
      <c r="CV62" s="14">
        <f t="shared" si="41"/>
        <v>56.046939849376471</v>
      </c>
      <c r="CW62" s="22">
        <f t="shared" si="13"/>
        <v>496.30005930433055</v>
      </c>
      <c r="CX62" s="60">
        <f t="shared" si="14"/>
        <v>756.98946649817333</v>
      </c>
      <c r="CY62" s="60">
        <f ca="1">AVERAGE(OFFSET($CX$3,0,0,'Données projet'!$E$13+1,1))-AVERAGE(OFFSET($H$3,0,0,'Données projet'!$E$13+1,1))</f>
        <v>395.27840703467933</v>
      </c>
      <c r="CZ62" s="60">
        <f t="shared" si="42"/>
        <v>364.24192380053944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263.59999999999991</v>
      </c>
      <c r="DP62" s="18">
        <f>DO62*VLOOKUP('Données projet'!$B$14,Paramètres!$A$1:$I$89,3,0)*VLOOKUP('Données projet'!$B$14,Paramètres!$A$1:$I$89,5,0)</f>
        <v>205.60799999999995</v>
      </c>
      <c r="DQ62" s="14">
        <f t="shared" si="43"/>
        <v>50.97464576911181</v>
      </c>
      <c r="DR62" s="22">
        <f t="shared" si="16"/>
        <v>446.88144138120293</v>
      </c>
      <c r="DS62" s="60">
        <f t="shared" si="17"/>
        <v>707.57084857504572</v>
      </c>
      <c r="DT62" s="60">
        <f ca="1">AVERAGE(OFFSET($DS$3,0,0,'Données projet'!$E$14+1,1))-AVERAGE(OFFSET($H$3,0,0,'Données projet'!$E$14+1,1))</f>
        <v>308.76306523144956</v>
      </c>
      <c r="DU62" s="60">
        <f t="shared" si="44"/>
        <v>283.28099819802776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5.8974358974358951</v>
      </c>
      <c r="EJ62" s="13">
        <f>IF('Données projet'!$A$192&gt;35,EJ61+EI62-ER61,IF(A62&lt;'Données projet'!$A$192,$EG$205^A62,IF(A62='Données projet'!$A$192,'Données projet'!$B$192,EJ61+EI62-ER61)))</f>
        <v>264.61538461538458</v>
      </c>
      <c r="EK62" s="18">
        <f>EJ62*VLOOKUP('Données projet'!$B$15,Paramètres!$A$1:$I$89,3,0)*VLOOKUP('Données projet'!$B$15,Paramètres!$A$1:$I$89,5,0)</f>
        <v>177.50399999999996</v>
      </c>
      <c r="EL62" s="14">
        <f t="shared" si="45"/>
        <v>44.766421662277821</v>
      </c>
      <c r="EM62" s="22">
        <f t="shared" si="19"/>
        <v>387.12098439513375</v>
      </c>
      <c r="EN62" s="60">
        <f t="shared" si="20"/>
        <v>647.81039158897647</v>
      </c>
      <c r="EO62" s="60">
        <f ca="1">AVERAGE(OFFSET($EN$3,0,0,'Données projet'!$E$15+1,1))-AVERAGE(OFFSET($H$3,0,0,'Données projet'!$E$15+1,1))</f>
        <v>375.49921531693559</v>
      </c>
      <c r="EP62" s="60">
        <f t="shared" si="46"/>
        <v>306.93934681565599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5.4</v>
      </c>
      <c r="FE62" s="13">
        <f>IF('Données projet'!$A$218&gt;35,FE61+FD62-FM61,IF(A62&lt;'Données projet'!$A$218,$FB$205^A62,IF(A62='Données projet'!$A$218,'Données projet'!$B$218,FE61+FD62-FM61)))</f>
        <v>205.60000000000011</v>
      </c>
      <c r="FF62" s="18">
        <f>FE62*VLOOKUP('Données projet'!$B$16,Paramètres!$A$1:$I$89,3,0)*VLOOKUP('Données projet'!$B$16,Paramètres!$A$1:$I$89,5,0)</f>
        <v>166.7827200000001</v>
      </c>
      <c r="FG62" s="14">
        <f t="shared" si="47"/>
        <v>42.368660582590017</v>
      </c>
      <c r="FH62" s="22">
        <f t="shared" si="22"/>
        <v>364.27198784801112</v>
      </c>
      <c r="FI62" s="60">
        <f t="shared" si="23"/>
        <v>624.96139504185385</v>
      </c>
      <c r="FJ62" s="60">
        <f ca="1">AVERAGE(OFFSET($FI$3,0,0,'Données projet'!$E$16+1,1))-AVERAGE(OFFSET($H$3,0,0,'Données projet'!$E$16+1,1))</f>
        <v>308.58270639204238</v>
      </c>
      <c r="FK62" s="60">
        <f t="shared" si="48"/>
        <v>258.90832875500325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7.4</v>
      </c>
      <c r="FZ62" s="13">
        <f>IF('Données projet'!$A$244&gt;35,FZ61+FY62-GH61,IF(A62&lt;'Données projet'!$A$244,$FW$205^A62,IF(A62='Données projet'!$A$244,'Données projet'!$B$244,FZ61+FY62-GH61)))</f>
        <v>205.60000000000002</v>
      </c>
      <c r="GA62" s="18">
        <f>FZ62*VLOOKUP('Données projet'!$B$17,Paramètres!$A$1:$I$89,3,0)*VLOOKUP('Données projet'!$B$17,Paramètres!$A$1:$I$89,5,0)</f>
        <v>198.85632000000001</v>
      </c>
      <c r="GB62" s="14">
        <f t="shared" si="49"/>
        <v>49.492737647817407</v>
      </c>
      <c r="GC62" s="22">
        <f t="shared" si="25"/>
        <v>432.54127540328199</v>
      </c>
      <c r="GD62" s="60">
        <f t="shared" si="26"/>
        <v>693.23068259712477</v>
      </c>
      <c r="GE62" s="60">
        <f ca="1">AVERAGE(OFFSET($GD$3,0,0,'Données projet'!$E$17+1,1))-AVERAGE(OFFSET($H$3,0,0,'Données projet'!$E$17+1,1))</f>
        <v>495.77880062178235</v>
      </c>
      <c r="GF62" s="60">
        <f t="shared" si="50"/>
        <v>263.55891737750301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10.6</v>
      </c>
      <c r="N63" s="14">
        <f>IF('Données projet'!$A$36&gt;35,N62+M63-V62,IF(A63&lt;'Données projet'!$A$36,$K$205^A63,IF(A63='Données projet'!$A$36,'Données projet'!$B$36,N62+M63-V62)))</f>
        <v>269.00000000000006</v>
      </c>
      <c r="O63" s="14">
        <f>N63*VLOOKUP('Données projet'!$B$9,Paramètres!$A$1:$I$89,3,0)*VLOOKUP('Données projet'!$B$9,Paramètres!$A$1:$I$89,5,0)</f>
        <v>230.80200000000008</v>
      </c>
      <c r="P63" s="14">
        <f t="shared" si="33"/>
        <v>56.456057535276258</v>
      </c>
      <c r="Q63" s="22">
        <f t="shared" si="53"/>
        <v>500.30778354060629</v>
      </c>
      <c r="R63" s="60">
        <f t="shared" si="0"/>
        <v>761.56348987208378</v>
      </c>
      <c r="S63" s="60">
        <f ca="1">AVERAGE(OFFSET($R$3,0,0,'Données projet'!$E$9+1,1))-AVERAGE(OFFSET($H$3,0,0,'Données projet'!$E$9+1,1))</f>
        <v>598.73855311281966</v>
      </c>
      <c r="T63" s="60">
        <f t="shared" si="34"/>
        <v>275.88160405468193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213.00000000000003</v>
      </c>
      <c r="AJ63" s="14">
        <f>AI63*VLOOKUP('Données projet'!$B$10,Paramètres!$A$1:$I$89,3,0)*VLOOKUP('Données projet'!$B$10,Paramètres!$A$1:$I$89,5,0)</f>
        <v>215.98200000000003</v>
      </c>
      <c r="AK63" s="14">
        <f t="shared" si="35"/>
        <v>53.240658641505036</v>
      </c>
      <c r="AL63" s="22">
        <f t="shared" si="4"/>
        <v>468.896130467288</v>
      </c>
      <c r="AM63" s="60">
        <f t="shared" si="5"/>
        <v>730.15183679876554</v>
      </c>
      <c r="AN63" s="60">
        <f ca="1">AVERAGE(OFFSET($AM$3,0,0,'Données projet'!$E$10+1,1))-AVERAGE(OFFSET($H$3,0,0,'Données projet'!$E$10+1,1))</f>
        <v>515.72324585399997</v>
      </c>
      <c r="AO63" s="60">
        <f t="shared" si="36"/>
        <v>273.35778700650792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205.50348000000011</v>
      </c>
      <c r="BF63" s="14">
        <f t="shared" si="37"/>
        <v>50.951748580199457</v>
      </c>
      <c r="BG63" s="22">
        <f t="shared" si="7"/>
        <v>446.65952311051416</v>
      </c>
      <c r="BH63" s="60">
        <f t="shared" si="8"/>
        <v>707.91522944199164</v>
      </c>
      <c r="BI63" s="60">
        <f ca="1">AVERAGE(OFFSET($BH$3,0,0,'Données projet'!$E$11+1,1))-AVERAGE(OFFSET($H$3,0,0,'Données projet'!$E$11+1,1))</f>
        <v>336.25341821407534</v>
      </c>
      <c r="BJ63" s="60">
        <f t="shared" si="38"/>
        <v>360.3246221345039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2.2635308825056408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2.2635308825056408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225</v>
      </c>
      <c r="BW63" s="13">
        <f>VLOOKUP(A63,'Données projet'!$A$113:$I$133,9,0)</f>
        <v>5.3846153846153868</v>
      </c>
      <c r="BX63" s="13">
        <f t="array" ref="BX63">INDEX(BW:BW,MIN(IF(ISNUMBER(BW63:BW259),ROW(BW63:BW259),"")))</f>
        <v>5.3846153846153868</v>
      </c>
      <c r="BY63" s="13">
        <f>IF('Données projet'!$A$114&gt;35,BY62+BX63-CG62,IF(A63&lt;'Données projet'!$A$114,$BV$205^A63,IF(A63='Données projet'!$A$114,'Données projet'!$B$114,BY62+BX63-CG62)))</f>
        <v>224.99999999999991</v>
      </c>
      <c r="BZ63" s="14">
        <f>BY63*VLOOKUP('Données projet'!$B$12,Paramètres!$A$1:$I$89,3,0)*VLOOKUP('Données projet'!$B$12,Paramètres!$A$1:$I$89,5,0)</f>
        <v>214.10999999999993</v>
      </c>
      <c r="CA63" s="14">
        <f t="shared" si="39"/>
        <v>52.832708448119853</v>
      </c>
      <c r="CB63" s="22">
        <f t="shared" si="10"/>
        <v>464.92521721380859</v>
      </c>
      <c r="CC63" s="60">
        <f t="shared" si="11"/>
        <v>726.18092354528608</v>
      </c>
      <c r="CD63" s="60">
        <f ca="1">AVERAGE(OFFSET($CC$3,0,0,'Données projet'!$E$12+1,1))-AVERAGE(OFFSET($H$3,0,0,'Données projet'!$E$12+1,1))</f>
        <v>438.41611139377829</v>
      </c>
      <c r="CE63" s="60">
        <f t="shared" si="40"/>
        <v>345.17417065809605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33.974358974358971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294</v>
      </c>
      <c r="CR63" s="13">
        <f>VLOOKUP(A63,'Données projet'!$A$139:$I$159,9,0)</f>
        <v>6.2799999999999958</v>
      </c>
      <c r="CS63" s="13">
        <f t="array" ref="CS63">INDEX(CR:CR,MIN(IF(ISNUMBER(CR63:CR259),ROW(CR63:CR259),"")))</f>
        <v>6.2799999999999958</v>
      </c>
      <c r="CT63" s="13">
        <f>IF('Données projet'!$A$140&gt;35,CT62+CS63-DB62,IF(A63&lt;'Données projet'!$A$140,$CQ$205^A63,IF(A63='Données projet'!$A$140,'Données projet'!$B$140,CT62+CS63-DB62)))</f>
        <v>293.99999999999989</v>
      </c>
      <c r="CU63" s="18">
        <f>CT63*VLOOKUP('Données projet'!$B$13,Paramètres!$A$1:$I$89,3,0)*VLOOKUP('Données projet'!$B$13,Paramètres!$A$1:$I$89,5,0)</f>
        <v>233.90639999999991</v>
      </c>
      <c r="CV63" s="14">
        <f t="shared" si="41"/>
        <v>57.126506840778347</v>
      </c>
      <c r="CW63" s="22">
        <f t="shared" si="13"/>
        <v>506.88231274768879</v>
      </c>
      <c r="CX63" s="60">
        <f t="shared" si="14"/>
        <v>768.13801907916627</v>
      </c>
      <c r="CY63" s="60">
        <f ca="1">AVERAGE(OFFSET($CX$3,0,0,'Données projet'!$E$13+1,1))-AVERAGE(OFFSET($H$3,0,0,'Données projet'!$E$13+1,1))</f>
        <v>395.27840703467933</v>
      </c>
      <c r="CZ63" s="60">
        <f t="shared" si="42"/>
        <v>364.24192380053944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271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270.99999999999989</v>
      </c>
      <c r="DP63" s="18">
        <f>DO63*VLOOKUP('Données projet'!$B$14,Paramètres!$A$1:$I$89,3,0)*VLOOKUP('Données projet'!$B$14,Paramètres!$A$1:$I$89,5,0)</f>
        <v>211.37999999999991</v>
      </c>
      <c r="DQ63" s="14">
        <f t="shared" si="43"/>
        <v>52.237035364084207</v>
      </c>
      <c r="DR63" s="22">
        <f t="shared" si="16"/>
        <v>459.1330032591132</v>
      </c>
      <c r="DS63" s="60">
        <f t="shared" si="17"/>
        <v>720.38870959059068</v>
      </c>
      <c r="DT63" s="60">
        <f ca="1">AVERAGE(OFFSET($DS$3,0,0,'Données projet'!$E$14+1,1))-AVERAGE(OFFSET($H$3,0,0,'Données projet'!$E$14+1,1))</f>
        <v>308.76306523144956</v>
      </c>
      <c r="DU63" s="60">
        <f t="shared" si="44"/>
        <v>283.28099819802776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27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270.5128205128205</v>
      </c>
      <c r="EH63" s="13">
        <f>VLOOKUP(A63,'Données projet'!$A$191:$I$211,9,0)</f>
        <v>5.8974358974358951</v>
      </c>
      <c r="EI63" s="13">
        <f t="array" ref="EI63">INDEX(EH:EH,MIN(IF(ISNUMBER(EH63:EH259),ROW(EH63:EH259),"")))</f>
        <v>5.8974358974358951</v>
      </c>
      <c r="EJ63" s="13">
        <f>IF('Données projet'!$A$192&gt;35,EJ62+EI63-ER62,IF(A63&lt;'Données projet'!$A$192,$EG$205^A63,IF(A63='Données projet'!$A$192,'Données projet'!$B$192,EJ62+EI63-ER62)))</f>
        <v>270.5128205128205</v>
      </c>
      <c r="EK63" s="18">
        <f>EJ63*VLOOKUP('Données projet'!$B$15,Paramètres!$A$1:$I$89,3,0)*VLOOKUP('Données projet'!$B$15,Paramètres!$A$1:$I$89,5,0)</f>
        <v>181.46</v>
      </c>
      <c r="EL63" s="14">
        <f t="shared" si="45"/>
        <v>45.646856390363354</v>
      </c>
      <c r="EM63" s="22">
        <f t="shared" si="19"/>
        <v>395.54444154654948</v>
      </c>
      <c r="EN63" s="60">
        <f t="shared" si="20"/>
        <v>656.80014787802702</v>
      </c>
      <c r="EO63" s="60">
        <f ca="1">AVERAGE(OFFSET($EN$3,0,0,'Données projet'!$E$15+1,1))-AVERAGE(OFFSET($H$3,0,0,'Données projet'!$E$15+1,1))</f>
        <v>375.49921531693559</v>
      </c>
      <c r="EP63" s="60">
        <f t="shared" si="46"/>
        <v>306.93934681565599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31.410256410256409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211</v>
      </c>
      <c r="FC63" s="13">
        <f>VLOOKUP(A63,'Données projet'!$A$217:$I$237,9,0)</f>
        <v>5.4</v>
      </c>
      <c r="FD63" s="13">
        <f t="array" ref="FD63">INDEX(FC:FC,MIN(IF(ISNUMBER(FC63:FC259),ROW(FC63:FC259),"")))</f>
        <v>5.4</v>
      </c>
      <c r="FE63" s="13">
        <f>IF('Données projet'!$A$218&gt;35,FE62+FD63-FM62,IF(A63&lt;'Données projet'!$A$218,$FB$205^A63,IF(A63='Données projet'!$A$218,'Données projet'!$B$218,FE62+FD63-FM62)))</f>
        <v>211.00000000000011</v>
      </c>
      <c r="FF63" s="18">
        <f>FE63*VLOOKUP('Données projet'!$B$16,Paramètres!$A$1:$I$89,3,0)*VLOOKUP('Données projet'!$B$16,Paramètres!$A$1:$I$89,5,0)</f>
        <v>171.1632000000001</v>
      </c>
      <c r="FG63" s="14">
        <f t="shared" si="47"/>
        <v>43.350438209113932</v>
      </c>
      <c r="FH63" s="22">
        <f t="shared" si="22"/>
        <v>373.61125321420695</v>
      </c>
      <c r="FI63" s="60">
        <f t="shared" si="23"/>
        <v>634.86695954568449</v>
      </c>
      <c r="FJ63" s="60">
        <f ca="1">AVERAGE(OFFSET($FI$3,0,0,'Données projet'!$E$16+1,1))-AVERAGE(OFFSET($H$3,0,0,'Données projet'!$E$16+1,1))</f>
        <v>308.58270639204238</v>
      </c>
      <c r="FK63" s="60">
        <f t="shared" si="48"/>
        <v>258.90832875500325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28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7.4</v>
      </c>
      <c r="FZ63" s="13">
        <f>IF('Données projet'!$A$244&gt;35,FZ62+FY63-GH62,IF(A63&lt;'Données projet'!$A$244,$FW$205^A63,IF(A63='Données projet'!$A$244,'Données projet'!$B$244,FZ62+FY63-GH62)))</f>
        <v>213.00000000000003</v>
      </c>
      <c r="GA63" s="18">
        <f>FZ63*VLOOKUP('Données projet'!$B$17,Paramètres!$A$1:$I$89,3,0)*VLOOKUP('Données projet'!$B$17,Paramètres!$A$1:$I$89,5,0)</f>
        <v>206.01360000000005</v>
      </c>
      <c r="GB63" s="14">
        <f t="shared" si="49"/>
        <v>51.063487709141484</v>
      </c>
      <c r="GC63" s="22">
        <f t="shared" si="25"/>
        <v>447.74259442675481</v>
      </c>
      <c r="GD63" s="60">
        <f t="shared" si="26"/>
        <v>708.99830075823229</v>
      </c>
      <c r="GE63" s="60">
        <f ca="1">AVERAGE(OFFSET($GD$3,0,0,'Données projet'!$E$17+1,1))-AVERAGE(OFFSET($H$3,0,0,'Données projet'!$E$17+1,1))</f>
        <v>495.77880062178235</v>
      </c>
      <c r="GF63" s="60">
        <f t="shared" si="50"/>
        <v>263.55891737750301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10.6</v>
      </c>
      <c r="N64" s="14">
        <f>IF('Données projet'!$A$36&gt;35,N63+M64-V63,IF(A64&lt;'Données projet'!$A$36,$K$205^A64,IF(A64='Données projet'!$A$36,'Données projet'!$B$36,N63+M64-V63)))</f>
        <v>279.60000000000008</v>
      </c>
      <c r="O64" s="14">
        <f>N64*VLOOKUP('Données projet'!$B$9,Paramètres!$A$1:$I$89,3,0)*VLOOKUP('Données projet'!$B$9,Paramètres!$A$1:$I$89,5,0)</f>
        <v>239.8968000000001</v>
      </c>
      <c r="P64" s="14">
        <f t="shared" si="33"/>
        <v>58.417325943721046</v>
      </c>
      <c r="Q64" s="22">
        <f t="shared" si="53"/>
        <v>519.56376935198091</v>
      </c>
      <c r="R64" s="60">
        <f t="shared" si="0"/>
        <v>781.37595079711025</v>
      </c>
      <c r="S64" s="60">
        <f ca="1">AVERAGE(OFFSET($R$3,0,0,'Données projet'!$E$9+1,1))-AVERAGE(OFFSET($H$3,0,0,'Données projet'!$E$9+1,1))</f>
        <v>598.73855311281966</v>
      </c>
      <c r="T64" s="60">
        <f t="shared" si="34"/>
        <v>275.88160405468193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7.4</v>
      </c>
      <c r="AI64" s="14">
        <f>IF('Données projet'!$A$62&gt;35,AI63+AH64-AQ63,IF(A64&lt;'Données projet'!$A$62,$AF$205^A64,IF(A64='Données projet'!$A$62,'Données projet'!$B$62,AI63+AH64-AQ63)))</f>
        <v>220.40000000000003</v>
      </c>
      <c r="AJ64" s="14">
        <f>AI64*VLOOKUP('Données projet'!$B$10,Paramètres!$A$1:$I$89,3,0)*VLOOKUP('Données projet'!$B$10,Paramètres!$A$1:$I$89,5,0)</f>
        <v>223.48560000000003</v>
      </c>
      <c r="AK64" s="14">
        <f t="shared" si="35"/>
        <v>54.87176918107798</v>
      </c>
      <c r="AL64" s="22">
        <f t="shared" si="4"/>
        <v>484.80575132371087</v>
      </c>
      <c r="AM64" s="60">
        <f t="shared" si="5"/>
        <v>746.61793276884021</v>
      </c>
      <c r="AN64" s="60">
        <f ca="1">AVERAGE(OFFSET($AM$3,0,0,'Données projet'!$E$10+1,1))-AVERAGE(OFFSET($H$3,0,0,'Données projet'!$E$10+1,1))</f>
        <v>515.72324585399997</v>
      </c>
      <c r="AO64" s="60">
        <f t="shared" si="36"/>
        <v>273.35778700650792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188.90726400000011</v>
      </c>
      <c r="BF64" s="14">
        <f t="shared" si="37"/>
        <v>47.298283397901834</v>
      </c>
      <c r="BG64" s="22">
        <f t="shared" si="7"/>
        <v>411.39132838467918</v>
      </c>
      <c r="BH64" s="60">
        <f t="shared" si="8"/>
        <v>673.20350982980858</v>
      </c>
      <c r="BI64" s="60">
        <f ca="1">AVERAGE(OFFSET($BH$3,0,0,'Données projet'!$E$11+1,1))-AVERAGE(OFFSET($H$3,0,0,'Données projet'!$E$11+1,1))</f>
        <v>336.25341821407534</v>
      </c>
      <c r="BJ64" s="60">
        <f t="shared" si="38"/>
        <v>360.3246221345039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2.2016345114896083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2.2016345114896083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</v>
      </c>
      <c r="BY64" s="13">
        <f>IF('Données projet'!$A$114&gt;35,BY63+BX64-CG63,IF(A64&lt;'Données projet'!$A$114,$BV$205^A64,IF(A64='Données projet'!$A$114,'Données projet'!$B$114,BY63+BX64-CG63)))</f>
        <v>196.02564102564094</v>
      </c>
      <c r="BZ64" s="14">
        <f>BY64*VLOOKUP('Données projet'!$B$12,Paramètres!$A$1:$I$89,3,0)*VLOOKUP('Données projet'!$B$12,Paramètres!$A$1:$I$89,5,0)</f>
        <v>186.5379999999999</v>
      </c>
      <c r="CA64" s="14">
        <f t="shared" si="39"/>
        <v>46.773736568953147</v>
      </c>
      <c r="CB64" s="22">
        <f t="shared" si="10"/>
        <v>406.35127452425991</v>
      </c>
      <c r="CC64" s="60">
        <f t="shared" si="11"/>
        <v>668.16345596938925</v>
      </c>
      <c r="CD64" s="60">
        <f ca="1">AVERAGE(OFFSET($CC$3,0,0,'Données projet'!$E$12+1,1))-AVERAGE(OFFSET($H$3,0,0,'Données projet'!$E$12+1,1))</f>
        <v>438.41611139377829</v>
      </c>
      <c r="CE64" s="60">
        <f t="shared" si="40"/>
        <v>345.17417065809605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5.2399999999999975</v>
      </c>
      <c r="CT64" s="13">
        <f>IF('Données projet'!$A$140&gt;35,CT63+CS64-DB63,IF(A64&lt;'Données projet'!$A$140,$CQ$205^A64,IF(A64='Données projet'!$A$140,'Données projet'!$B$140,CT63+CS64-DB63)))</f>
        <v>299.2399999999999</v>
      </c>
      <c r="CU64" s="18">
        <f>CT64*VLOOKUP('Données projet'!$B$13,Paramètres!$A$1:$I$89,3,0)*VLOOKUP('Données projet'!$B$13,Paramètres!$A$1:$I$89,5,0)</f>
        <v>238.07534399999994</v>
      </c>
      <c r="CV64" s="14">
        <f t="shared" si="41"/>
        <v>58.025237516723202</v>
      </c>
      <c r="CW64" s="22">
        <f t="shared" si="13"/>
        <v>515.70851280829277</v>
      </c>
      <c r="CX64" s="60">
        <f t="shared" si="14"/>
        <v>777.52069425342211</v>
      </c>
      <c r="CY64" s="60">
        <f ca="1">AVERAGE(OFFSET($CX$3,0,0,'Données projet'!$E$13+1,1))-AVERAGE(OFFSET($H$3,0,0,'Données projet'!$E$13+1,1))</f>
        <v>395.27840703467933</v>
      </c>
      <c r="CZ64" s="60">
        <f t="shared" si="42"/>
        <v>364.24192380053944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6.4</v>
      </c>
      <c r="DO64" s="13">
        <f>IF('Données projet'!$A$166&gt;35,DO63+DN64-DW63,IF(A64&lt;'Données projet'!$A$166,$DL$205^A64,IF(A64='Données projet'!$A$166,'Données projet'!$B$166,DO63+DN64-DW63)))</f>
        <v>250.39999999999986</v>
      </c>
      <c r="DP64" s="18">
        <f>DO64*VLOOKUP('Données projet'!$B$14,Paramètres!$A$1:$I$89,3,0)*VLOOKUP('Données projet'!$B$14,Paramètres!$A$1:$I$89,5,0)</f>
        <v>195.3119999999999</v>
      </c>
      <c r="DQ64" s="14">
        <f t="shared" si="43"/>
        <v>48.712469285758459</v>
      </c>
      <c r="DR64" s="22">
        <f t="shared" si="16"/>
        <v>425.00928400602908</v>
      </c>
      <c r="DS64" s="60">
        <f t="shared" si="17"/>
        <v>686.82146545115847</v>
      </c>
      <c r="DT64" s="60">
        <f ca="1">AVERAGE(OFFSET($DS$3,0,0,'Données projet'!$E$14+1,1))-AVERAGE(OFFSET($H$3,0,0,'Données projet'!$E$14+1,1))</f>
        <v>308.76306523144956</v>
      </c>
      <c r="DU64" s="60">
        <f t="shared" si="44"/>
        <v>283.28099819802776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5.3846153846153815</v>
      </c>
      <c r="EJ64" s="13">
        <f>IF('Données projet'!$A$192&gt;35,EJ63+EI64-ER63,IF(A64&lt;'Données projet'!$A$192,$EG$205^A64,IF(A64='Données projet'!$A$192,'Données projet'!$B$192,EJ63+EI64-ER63)))</f>
        <v>244.48717948717945</v>
      </c>
      <c r="EK64" s="18">
        <f>EJ64*VLOOKUP('Données projet'!$B$15,Paramètres!$A$1:$I$89,3,0)*VLOOKUP('Données projet'!$B$15,Paramètres!$A$1:$I$89,5,0)</f>
        <v>164.00199999999998</v>
      </c>
      <c r="EL64" s="14">
        <f t="shared" si="45"/>
        <v>41.743875718910502</v>
      </c>
      <c r="EM64" s="22">
        <f t="shared" si="19"/>
        <v>358.34073354376909</v>
      </c>
      <c r="EN64" s="60">
        <f t="shared" si="20"/>
        <v>620.15291498889837</v>
      </c>
      <c r="EO64" s="60">
        <f ca="1">AVERAGE(OFFSET($EN$3,0,0,'Données projet'!$E$15+1,1))-AVERAGE(OFFSET($H$3,0,0,'Données projet'!$E$15+1,1))</f>
        <v>375.49921531693559</v>
      </c>
      <c r="EP64" s="60">
        <f t="shared" si="46"/>
        <v>306.93934681565599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</v>
      </c>
      <c r="FE64" s="13">
        <f>IF('Données projet'!$A$218&gt;35,FE63+FD64-FM63,IF(A64&lt;'Données projet'!$A$218,$FB$205^A64,IF(A64='Données projet'!$A$218,'Données projet'!$B$218,FE63+FD64-FM63)))</f>
        <v>188.00000000000011</v>
      </c>
      <c r="FF64" s="18">
        <f>FE64*VLOOKUP('Données projet'!$B$16,Paramètres!$A$1:$I$89,3,0)*VLOOKUP('Données projet'!$B$16,Paramètres!$A$1:$I$89,5,0)</f>
        <v>152.5056000000001</v>
      </c>
      <c r="FG64" s="14">
        <f t="shared" si="47"/>
        <v>39.147442061162252</v>
      </c>
      <c r="FH64" s="22">
        <f t="shared" si="22"/>
        <v>333.79571492319104</v>
      </c>
      <c r="FI64" s="60">
        <f t="shared" si="23"/>
        <v>595.60789636832033</v>
      </c>
      <c r="FJ64" s="60">
        <f ca="1">AVERAGE(OFFSET($FI$3,0,0,'Données projet'!$E$16+1,1))-AVERAGE(OFFSET($H$3,0,0,'Données projet'!$E$16+1,1))</f>
        <v>308.58270639204238</v>
      </c>
      <c r="FK64" s="60">
        <f t="shared" si="48"/>
        <v>258.90832875500325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7.4</v>
      </c>
      <c r="FZ64" s="13">
        <f>IF('Données projet'!$A$244&gt;35,FZ63+FY64-GH63,IF(A64&lt;'Données projet'!$A$244,$FW$205^A64,IF(A64='Données projet'!$A$244,'Données projet'!$B$244,FZ63+FY64-GH63)))</f>
        <v>220.40000000000003</v>
      </c>
      <c r="GA64" s="18">
        <f>FZ64*VLOOKUP('Données projet'!$B$17,Paramètres!$A$1:$I$89,3,0)*VLOOKUP('Données projet'!$B$17,Paramètres!$A$1:$I$89,5,0)</f>
        <v>213.17088000000004</v>
      </c>
      <c r="GB64" s="14">
        <f t="shared" si="49"/>
        <v>52.627897224631639</v>
      </c>
      <c r="GC64" s="22">
        <f t="shared" si="25"/>
        <v>462.93287033290017</v>
      </c>
      <c r="GD64" s="60">
        <f t="shared" si="26"/>
        <v>724.74505177802951</v>
      </c>
      <c r="GE64" s="60">
        <f ca="1">AVERAGE(OFFSET($GD$3,0,0,'Données projet'!$E$17+1,1))-AVERAGE(OFFSET($H$3,0,0,'Données projet'!$E$17+1,1))</f>
        <v>495.77880062178235</v>
      </c>
      <c r="GF64" s="60">
        <f t="shared" si="50"/>
        <v>263.55891737750301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10.6</v>
      </c>
      <c r="N65" s="14">
        <f>IF('Données projet'!$A$36&gt;35,N64+M65-V64,IF(A65&lt;'Données projet'!$A$36,$K$205^A65,IF(A65='Données projet'!$A$36,'Données projet'!$B$36,N64+M65-V64)))</f>
        <v>290.2000000000001</v>
      </c>
      <c r="O65" s="14">
        <f>N65*VLOOKUP('Données projet'!$B$9,Paramètres!$A$1:$I$89,3,0)*VLOOKUP('Données projet'!$B$9,Paramètres!$A$1:$I$89,5,0)</f>
        <v>248.99160000000012</v>
      </c>
      <c r="P65" s="14">
        <f t="shared" si="33"/>
        <v>60.369956401544904</v>
      </c>
      <c r="Q65" s="22">
        <f t="shared" si="53"/>
        <v>538.80471073269098</v>
      </c>
      <c r="R65" s="60">
        <f t="shared" si="0"/>
        <v>801.1637136923423</v>
      </c>
      <c r="S65" s="60">
        <f ca="1">AVERAGE(OFFSET($R$3,0,0,'Données projet'!$E$9+1,1))-AVERAGE(OFFSET($H$3,0,0,'Données projet'!$E$9+1,1))</f>
        <v>598.73855311281966</v>
      </c>
      <c r="T65" s="60">
        <f t="shared" si="34"/>
        <v>275.88160405468193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7.4</v>
      </c>
      <c r="AI65" s="14">
        <f>IF('Données projet'!$A$62&gt;35,AI64+AH65-AQ64,IF(A65&lt;'Données projet'!$A$62,$AF$205^A65,IF(A65='Données projet'!$A$62,'Données projet'!$B$62,AI64+AH65-AQ64)))</f>
        <v>227.80000000000004</v>
      </c>
      <c r="AJ65" s="14">
        <f>AI65*VLOOKUP('Données projet'!$B$10,Paramètres!$A$1:$I$89,3,0)*VLOOKUP('Données projet'!$B$10,Paramètres!$A$1:$I$89,5,0)</f>
        <v>230.98920000000004</v>
      </c>
      <c r="AK65" s="14">
        <f t="shared" si="35"/>
        <v>56.496516245657276</v>
      </c>
      <c r="AL65" s="22">
        <f t="shared" si="4"/>
        <v>500.70428912785314</v>
      </c>
      <c r="AM65" s="60">
        <f t="shared" si="5"/>
        <v>763.06329208750446</v>
      </c>
      <c r="AN65" s="60">
        <f ca="1">AVERAGE(OFFSET($AM$3,0,0,'Données projet'!$E$10+1,1))-AVERAGE(OFFSET($H$3,0,0,'Données projet'!$E$10+1,1))</f>
        <v>515.72324585399997</v>
      </c>
      <c r="AO65" s="60">
        <f t="shared" si="36"/>
        <v>273.35778700650792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192.3601680000001</v>
      </c>
      <c r="BF65" s="14">
        <f t="shared" si="37"/>
        <v>48.061376979759274</v>
      </c>
      <c r="BG65" s="22">
        <f t="shared" si="7"/>
        <v>418.73419083974755</v>
      </c>
      <c r="BH65" s="60">
        <f t="shared" si="8"/>
        <v>681.09319379939893</v>
      </c>
      <c r="BI65" s="60">
        <f ca="1">AVERAGE(OFFSET($BH$3,0,0,'Données projet'!$E$11+1,1))-AVERAGE(OFFSET($H$3,0,0,'Données projet'!$E$11+1,1))</f>
        <v>336.25341821407534</v>
      </c>
      <c r="BJ65" s="60">
        <f t="shared" si="38"/>
        <v>360.3246221345039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2.141430699993998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2.141430699993998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</v>
      </c>
      <c r="BY65" s="13">
        <f>IF('Données projet'!$A$114&gt;35,BY64+BX65-CG64,IF(A65&lt;'Données projet'!$A$114,$BV$205^A65,IF(A65='Données projet'!$A$114,'Données projet'!$B$114,BY64+BX65-CG64)))</f>
        <v>201.02564102564094</v>
      </c>
      <c r="BZ65" s="14">
        <f>BY65*VLOOKUP('Données projet'!$B$12,Paramètres!$A$1:$I$89,3,0)*VLOOKUP('Données projet'!$B$12,Paramètres!$A$1:$I$89,5,0)</f>
        <v>191.29599999999994</v>
      </c>
      <c r="CA65" s="14">
        <f t="shared" si="39"/>
        <v>47.826366590958408</v>
      </c>
      <c r="CB65" s="22">
        <f t="shared" si="10"/>
        <v>416.47145514591904</v>
      </c>
      <c r="CC65" s="60">
        <f t="shared" si="11"/>
        <v>678.83045810557041</v>
      </c>
      <c r="CD65" s="60">
        <f ca="1">AVERAGE(OFFSET($CC$3,0,0,'Données projet'!$E$12+1,1))-AVERAGE(OFFSET($H$3,0,0,'Données projet'!$E$12+1,1))</f>
        <v>438.41611139377829</v>
      </c>
      <c r="CE65" s="60">
        <f t="shared" si="40"/>
        <v>345.17417065809605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5.2399999999999975</v>
      </c>
      <c r="CT65" s="13">
        <f>IF('Données projet'!$A$140&gt;35,CT64+CS65-DB64,IF(A65&lt;'Données projet'!$A$140,$CQ$205^A65,IF(A65='Données projet'!$A$140,'Données projet'!$B$140,CT64+CS65-DB64)))</f>
        <v>304.4799999999999</v>
      </c>
      <c r="CU65" s="18">
        <f>CT65*VLOOKUP('Données projet'!$B$13,Paramètres!$A$1:$I$89,3,0)*VLOOKUP('Données projet'!$B$13,Paramètres!$A$1:$I$89,5,0)</f>
        <v>242.24428799999995</v>
      </c>
      <c r="CV65" s="14">
        <f t="shared" si="41"/>
        <v>58.922138091410275</v>
      </c>
      <c r="CW65" s="22">
        <f t="shared" si="13"/>
        <v>524.53152544253942</v>
      </c>
      <c r="CX65" s="60">
        <f t="shared" si="14"/>
        <v>786.89052840219074</v>
      </c>
      <c r="CY65" s="60">
        <f ca="1">AVERAGE(OFFSET($CX$3,0,0,'Données projet'!$E$13+1,1))-AVERAGE(OFFSET($H$3,0,0,'Données projet'!$E$13+1,1))</f>
        <v>395.27840703467933</v>
      </c>
      <c r="CZ65" s="60">
        <f t="shared" si="42"/>
        <v>364.24192380053944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6.4</v>
      </c>
      <c r="DO65" s="13">
        <f>IF('Données projet'!$A$166&gt;35,DO64+DN65-DW64,IF(A65&lt;'Données projet'!$A$166,$DL$205^A65,IF(A65='Données projet'!$A$166,'Données projet'!$B$166,DO64+DN65-DW64)))</f>
        <v>256.79999999999984</v>
      </c>
      <c r="DP65" s="18">
        <f>DO65*VLOOKUP('Données projet'!$B$14,Paramètres!$A$1:$I$89,3,0)*VLOOKUP('Données projet'!$B$14,Paramètres!$A$1:$I$89,5,0)</f>
        <v>200.30399999999989</v>
      </c>
      <c r="DQ65" s="14">
        <f t="shared" si="43"/>
        <v>49.810971817279096</v>
      </c>
      <c r="DR65" s="22">
        <f t="shared" si="16"/>
        <v>435.61690924842759</v>
      </c>
      <c r="DS65" s="60">
        <f t="shared" si="17"/>
        <v>697.97591220807885</v>
      </c>
      <c r="DT65" s="60">
        <f ca="1">AVERAGE(OFFSET($DS$3,0,0,'Données projet'!$E$14+1,1))-AVERAGE(OFFSET($H$3,0,0,'Données projet'!$E$14+1,1))</f>
        <v>308.76306523144956</v>
      </c>
      <c r="DU65" s="60">
        <f t="shared" si="44"/>
        <v>283.28099819802776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5.3846153846153815</v>
      </c>
      <c r="EJ65" s="13">
        <f>IF('Données projet'!$A$192&gt;35,EJ64+EI65-ER64,IF(A65&lt;'Données projet'!$A$192,$EG$205^A65,IF(A65='Données projet'!$A$192,'Données projet'!$B$192,EJ64+EI65-ER64)))</f>
        <v>249.87179487179483</v>
      </c>
      <c r="EK65" s="18">
        <f>EJ65*VLOOKUP('Données projet'!$B$15,Paramètres!$A$1:$I$89,3,0)*VLOOKUP('Données projet'!$B$15,Paramètres!$A$1:$I$89,5,0)</f>
        <v>167.61399999999998</v>
      </c>
      <c r="EL65" s="14">
        <f t="shared" si="45"/>
        <v>42.555200145867516</v>
      </c>
      <c r="EM65" s="22">
        <f t="shared" si="19"/>
        <v>366.04469025405251</v>
      </c>
      <c r="EN65" s="60">
        <f t="shared" si="20"/>
        <v>628.40369321370383</v>
      </c>
      <c r="EO65" s="60">
        <f ca="1">AVERAGE(OFFSET($EN$3,0,0,'Données projet'!$E$15+1,1))-AVERAGE(OFFSET($H$3,0,0,'Données projet'!$E$15+1,1))</f>
        <v>375.49921531693559</v>
      </c>
      <c r="EP65" s="60">
        <f t="shared" si="46"/>
        <v>306.93934681565599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</v>
      </c>
      <c r="FE65" s="13">
        <f>IF('Données projet'!$A$218&gt;35,FE64+FD65-FM64,IF(A65&lt;'Données projet'!$A$218,$FB$205^A65,IF(A65='Données projet'!$A$218,'Données projet'!$B$218,FE64+FD65-FM64)))</f>
        <v>193.00000000000011</v>
      </c>
      <c r="FF65" s="18">
        <f>FE65*VLOOKUP('Données projet'!$B$16,Paramètres!$A$1:$I$89,3,0)*VLOOKUP('Données projet'!$B$16,Paramètres!$A$1:$I$89,5,0)</f>
        <v>156.56160000000008</v>
      </c>
      <c r="FG65" s="14">
        <f t="shared" si="47"/>
        <v>40.065996859746512</v>
      </c>
      <c r="FH65" s="22">
        <f t="shared" si="22"/>
        <v>342.45973119739205</v>
      </c>
      <c r="FI65" s="60">
        <f t="shared" si="23"/>
        <v>604.81873415704331</v>
      </c>
      <c r="FJ65" s="60">
        <f ca="1">AVERAGE(OFFSET($FI$3,0,0,'Données projet'!$E$16+1,1))-AVERAGE(OFFSET($H$3,0,0,'Données projet'!$E$16+1,1))</f>
        <v>308.58270639204238</v>
      </c>
      <c r="FK65" s="60">
        <f t="shared" si="48"/>
        <v>258.90832875500325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7.4</v>
      </c>
      <c r="FZ65" s="13">
        <f>IF('Données projet'!$A$244&gt;35,FZ64+FY65-GH64,IF(A65&lt;'Données projet'!$A$244,$FW$205^A65,IF(A65='Données projet'!$A$244,'Données projet'!$B$244,FZ64+FY65-GH64)))</f>
        <v>227.80000000000004</v>
      </c>
      <c r="GA65" s="18">
        <f>FZ65*VLOOKUP('Données projet'!$B$17,Paramètres!$A$1:$I$89,3,0)*VLOOKUP('Données projet'!$B$17,Paramètres!$A$1:$I$89,5,0)</f>
        <v>220.32816000000003</v>
      </c>
      <c r="GB65" s="14">
        <f t="shared" si="49"/>
        <v>54.186203486792131</v>
      </c>
      <c r="GC65" s="22">
        <f t="shared" si="25"/>
        <v>478.11251640616291</v>
      </c>
      <c r="GD65" s="60">
        <f t="shared" si="26"/>
        <v>740.47151936581417</v>
      </c>
      <c r="GE65" s="60">
        <f ca="1">AVERAGE(OFFSET($GD$3,0,0,'Données projet'!$E$17+1,1))-AVERAGE(OFFSET($H$3,0,0,'Données projet'!$E$17+1,1))</f>
        <v>495.77880062178235</v>
      </c>
      <c r="GF65" s="60">
        <f t="shared" si="50"/>
        <v>263.55891737750301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10.6</v>
      </c>
      <c r="N66" s="14">
        <f>IF('Données projet'!$A$36&gt;35,N65+M66-V65,IF(A66&lt;'Données projet'!$A$36,$K$205^A66,IF(A66='Données projet'!$A$36,'Données projet'!$B$36,N65+M66-V65)))</f>
        <v>300.80000000000013</v>
      </c>
      <c r="O66" s="14">
        <f>N66*VLOOKUP('Données projet'!$B$9,Paramètres!$A$1:$I$89,3,0)*VLOOKUP('Données projet'!$B$9,Paramètres!$A$1:$I$89,5,0)</f>
        <v>258.08640000000014</v>
      </c>
      <c r="P66" s="14">
        <f t="shared" si="33"/>
        <v>62.314300560342502</v>
      </c>
      <c r="Q66" s="22">
        <f t="shared" si="53"/>
        <v>558.03122014259679</v>
      </c>
      <c r="R66" s="60">
        <f t="shared" si="0"/>
        <v>820.92755848600291</v>
      </c>
      <c r="S66" s="60">
        <f ca="1">AVERAGE(OFFSET($R$3,0,0,'Données projet'!$E$9+1,1))-AVERAGE(OFFSET($H$3,0,0,'Données projet'!$E$9+1,1))</f>
        <v>598.73855311281966</v>
      </c>
      <c r="T66" s="60">
        <f t="shared" si="34"/>
        <v>275.88160405468193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7.4</v>
      </c>
      <c r="AI66" s="14">
        <f>IF('Données projet'!$A$62&gt;35,AI65+AH66-AQ65,IF(A66&lt;'Données projet'!$A$62,$AF$205^A66,IF(A66='Données projet'!$A$62,'Données projet'!$B$62,AI65+AH66-AQ65)))</f>
        <v>235.20000000000005</v>
      </c>
      <c r="AJ66" s="14">
        <f>AI66*VLOOKUP('Données projet'!$B$10,Paramètres!$A$1:$I$89,3,0)*VLOOKUP('Données projet'!$B$10,Paramètres!$A$1:$I$89,5,0)</f>
        <v>238.49280000000005</v>
      </c>
      <c r="AK66" s="14">
        <f t="shared" si="35"/>
        <v>58.115130258576592</v>
      </c>
      <c r="AL66" s="22">
        <f t="shared" si="4"/>
        <v>516.59214520035425</v>
      </c>
      <c r="AM66" s="60">
        <f t="shared" si="5"/>
        <v>779.48848354376037</v>
      </c>
      <c r="AN66" s="60">
        <f ca="1">AVERAGE(OFFSET($AM$3,0,0,'Données projet'!$E$10+1,1))-AVERAGE(OFFSET($H$3,0,0,'Données projet'!$E$10+1,1))</f>
        <v>515.72324585399997</v>
      </c>
      <c r="AO66" s="60">
        <f t="shared" si="36"/>
        <v>273.35778700650792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195.81307200000012</v>
      </c>
      <c r="BF66" s="14">
        <f t="shared" si="37"/>
        <v>48.822877725242478</v>
      </c>
      <c r="BG66" s="22">
        <f t="shared" si="7"/>
        <v>426.07427910479754</v>
      </c>
      <c r="BH66" s="60">
        <f t="shared" si="8"/>
        <v>688.97061744820371</v>
      </c>
      <c r="BI66" s="60">
        <f ca="1">AVERAGE(OFFSET($BH$3,0,0,'Données projet'!$E$11+1,1))-AVERAGE(OFFSET($H$3,0,0,'Données projet'!$E$11+1,1))</f>
        <v>336.25341821407534</v>
      </c>
      <c r="BJ66" s="60">
        <f t="shared" si="38"/>
        <v>360.3246221345039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2.0828731648897159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2.0828731648897159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</v>
      </c>
      <c r="BY66" s="13">
        <f>IF('Données projet'!$A$114&gt;35,BY65+BX66-CG65,IF(A66&lt;'Données projet'!$A$114,$BV$205^A66,IF(A66='Données projet'!$A$114,'Données projet'!$B$114,BY65+BX66-CG65)))</f>
        <v>206.02564102564094</v>
      </c>
      <c r="BZ66" s="14">
        <f>BY66*VLOOKUP('Données projet'!$B$12,Paramètres!$A$1:$I$89,3,0)*VLOOKUP('Données projet'!$B$12,Paramètres!$A$1:$I$89,5,0)</f>
        <v>196.05399999999992</v>
      </c>
      <c r="CA66" s="14">
        <f t="shared" si="39"/>
        <v>48.875953163572923</v>
      </c>
      <c r="CB66" s="22">
        <f t="shared" si="10"/>
        <v>426.58633509322271</v>
      </c>
      <c r="CC66" s="60">
        <f t="shared" si="11"/>
        <v>689.48267343662883</v>
      </c>
      <c r="CD66" s="60">
        <f ca="1">AVERAGE(OFFSET($CC$3,0,0,'Données projet'!$E$12+1,1))-AVERAGE(OFFSET($H$3,0,0,'Données projet'!$E$12+1,1))</f>
        <v>438.41611139377829</v>
      </c>
      <c r="CE66" s="60">
        <f t="shared" si="40"/>
        <v>345.17417065809605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5.2399999999999975</v>
      </c>
      <c r="CT66" s="13">
        <f>IF('Données projet'!$A$140&gt;35,CT65+CS66-DB65,IF(A66&lt;'Données projet'!$A$140,$CQ$205^A66,IF(A66='Données projet'!$A$140,'Données projet'!$B$140,CT65+CS66-DB65)))</f>
        <v>309.71999999999991</v>
      </c>
      <c r="CU66" s="18">
        <f>CT66*VLOOKUP('Données projet'!$B$13,Paramètres!$A$1:$I$89,3,0)*VLOOKUP('Données projet'!$B$13,Paramètres!$A$1:$I$89,5,0)</f>
        <v>246.41323199999997</v>
      </c>
      <c r="CV66" s="14">
        <f t="shared" si="41"/>
        <v>59.817243694646031</v>
      </c>
      <c r="CW66" s="22">
        <f t="shared" si="13"/>
        <v>533.35141183484177</v>
      </c>
      <c r="CX66" s="60">
        <f t="shared" si="14"/>
        <v>796.24775017824788</v>
      </c>
      <c r="CY66" s="60">
        <f ca="1">AVERAGE(OFFSET($CX$3,0,0,'Données projet'!$E$13+1,1))-AVERAGE(OFFSET($H$3,0,0,'Données projet'!$E$13+1,1))</f>
        <v>395.27840703467933</v>
      </c>
      <c r="CZ66" s="60">
        <f t="shared" si="42"/>
        <v>364.24192380053944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6.4</v>
      </c>
      <c r="DO66" s="13">
        <f>IF('Données projet'!$A$166&gt;35,DO65+DN66-DW65,IF(A66&lt;'Données projet'!$A$166,$DL$205^A66,IF(A66='Données projet'!$A$166,'Données projet'!$B$166,DO65+DN66-DW65)))</f>
        <v>263.19999999999982</v>
      </c>
      <c r="DP66" s="18">
        <f>DO66*VLOOKUP('Données projet'!$B$14,Paramètres!$A$1:$I$89,3,0)*VLOOKUP('Données projet'!$B$14,Paramètres!$A$1:$I$89,5,0)</f>
        <v>205.29599999999988</v>
      </c>
      <c r="DQ66" s="14">
        <f t="shared" si="43"/>
        <v>50.906291934375353</v>
      </c>
      <c r="DR66" s="22">
        <f t="shared" si="16"/>
        <v>446.21899178570357</v>
      </c>
      <c r="DS66" s="60">
        <f t="shared" si="17"/>
        <v>709.11533012910968</v>
      </c>
      <c r="DT66" s="60">
        <f ca="1">AVERAGE(OFFSET($DS$3,0,0,'Données projet'!$E$14+1,1))-AVERAGE(OFFSET($H$3,0,0,'Données projet'!$E$14+1,1))</f>
        <v>308.76306523144956</v>
      </c>
      <c r="DU66" s="60">
        <f t="shared" si="44"/>
        <v>283.28099819802776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5.3846153846153815</v>
      </c>
      <c r="EJ66" s="13">
        <f>IF('Données projet'!$A$192&gt;35,EJ65+EI66-ER65,IF(A66&lt;'Données projet'!$A$192,$EG$205^A66,IF(A66='Données projet'!$A$192,'Données projet'!$B$192,EJ65+EI66-ER65)))</f>
        <v>255.25641025641022</v>
      </c>
      <c r="EK66" s="18">
        <f>EJ66*VLOOKUP('Données projet'!$B$15,Paramètres!$A$1:$I$89,3,0)*VLOOKUP('Données projet'!$B$15,Paramètres!$A$1:$I$89,5,0)</f>
        <v>171.22599999999997</v>
      </c>
      <c r="EL66" s="14">
        <f t="shared" si="45"/>
        <v>43.364491860393144</v>
      </c>
      <c r="EM66" s="22">
        <f t="shared" si="19"/>
        <v>373.74510665685131</v>
      </c>
      <c r="EN66" s="60">
        <f t="shared" si="20"/>
        <v>636.64144500025736</v>
      </c>
      <c r="EO66" s="60">
        <f ca="1">AVERAGE(OFFSET($EN$3,0,0,'Données projet'!$E$15+1,1))-AVERAGE(OFFSET($H$3,0,0,'Données projet'!$E$15+1,1))</f>
        <v>375.49921531693559</v>
      </c>
      <c r="EP66" s="60">
        <f t="shared" si="46"/>
        <v>306.93934681565599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</v>
      </c>
      <c r="FE66" s="13">
        <f>IF('Données projet'!$A$218&gt;35,FE65+FD66-FM65,IF(A66&lt;'Données projet'!$A$218,$FB$205^A66,IF(A66='Données projet'!$A$218,'Données projet'!$B$218,FE65+FD66-FM65)))</f>
        <v>198.00000000000011</v>
      </c>
      <c r="FF66" s="18">
        <f>FE66*VLOOKUP('Données projet'!$B$16,Paramètres!$A$1:$I$89,3,0)*VLOOKUP('Données projet'!$B$16,Paramètres!$A$1:$I$89,5,0)</f>
        <v>160.6176000000001</v>
      </c>
      <c r="FG66" s="14">
        <f t="shared" si="47"/>
        <v>40.981785561145109</v>
      </c>
      <c r="FH66" s="22">
        <f t="shared" si="22"/>
        <v>351.11892985232788</v>
      </c>
      <c r="FI66" s="60">
        <f t="shared" si="23"/>
        <v>614.01526819573405</v>
      </c>
      <c r="FJ66" s="60">
        <f ca="1">AVERAGE(OFFSET($FI$3,0,0,'Données projet'!$E$16+1,1))-AVERAGE(OFFSET($H$3,0,0,'Données projet'!$E$16+1,1))</f>
        <v>308.58270639204238</v>
      </c>
      <c r="FK66" s="60">
        <f t="shared" si="48"/>
        <v>258.90832875500325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7.4</v>
      </c>
      <c r="FZ66" s="13">
        <f>IF('Données projet'!$A$244&gt;35,FZ65+FY66-GH65,IF(A66&lt;'Données projet'!$A$244,$FW$205^A66,IF(A66='Données projet'!$A$244,'Données projet'!$B$244,FZ65+FY66-GH65)))</f>
        <v>235.20000000000005</v>
      </c>
      <c r="GA66" s="18">
        <f>FZ66*VLOOKUP('Données projet'!$B$17,Paramètres!$A$1:$I$89,3,0)*VLOOKUP('Données projet'!$B$17,Paramètres!$A$1:$I$89,5,0)</f>
        <v>227.48544000000007</v>
      </c>
      <c r="GB66" s="14">
        <f t="shared" si="49"/>
        <v>55.738627496252377</v>
      </c>
      <c r="GC66" s="22">
        <f t="shared" si="25"/>
        <v>493.281917555973</v>
      </c>
      <c r="GD66" s="60">
        <f t="shared" si="26"/>
        <v>756.17825589937911</v>
      </c>
      <c r="GE66" s="60">
        <f ca="1">AVERAGE(OFFSET($GD$3,0,0,'Données projet'!$E$17+1,1))-AVERAGE(OFFSET($H$3,0,0,'Données projet'!$E$17+1,1))</f>
        <v>495.77880062178235</v>
      </c>
      <c r="GF66" s="60">
        <f t="shared" si="50"/>
        <v>263.55891737750301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10.6</v>
      </c>
      <c r="N67" s="14">
        <f>IF('Données projet'!$A$36&gt;35,N66+M67-V66,IF(A67&lt;'Données projet'!$A$36,$K$205^A67,IF(A67='Données projet'!$A$36,'Données projet'!$B$36,N66+M67-V66)))</f>
        <v>311.40000000000015</v>
      </c>
      <c r="O67" s="14">
        <f>N67*VLOOKUP('Données projet'!$B$9,Paramètres!$A$1:$I$89,3,0)*VLOOKUP('Données projet'!$B$9,Paramètres!$A$1:$I$89,5,0)</f>
        <v>267.18120000000016</v>
      </c>
      <c r="P67" s="14">
        <f t="shared" si="33"/>
        <v>64.250683882526531</v>
      </c>
      <c r="Q67" s="22">
        <f t="shared" ref="Q67:Q98" si="54">(O67+P67)*0.475*44/12</f>
        <v>577.2438644287339</v>
      </c>
      <c r="R67" s="60">
        <f t="shared" ref="R67:R130" si="55">Q67+(I67+J67)*44/12</f>
        <v>840.66821658828871</v>
      </c>
      <c r="S67" s="60">
        <f ca="1">AVERAGE(OFFSET($R$3,0,0,'Données projet'!$E$9+1,1))-AVERAGE(OFFSET($H$3,0,0,'Données projet'!$E$9+1,1))</f>
        <v>598.73855311281966</v>
      </c>
      <c r="T67" s="60">
        <f t="shared" si="34"/>
        <v>275.88160405468193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7.4</v>
      </c>
      <c r="AI67" s="14">
        <f>IF('Données projet'!$A$62&gt;35,AI66+AH67-AQ66,IF(A67&lt;'Données projet'!$A$62,$AF$205^A67,IF(A67='Données projet'!$A$62,'Données projet'!$B$62,AI66+AH67-AQ66)))</f>
        <v>242.60000000000005</v>
      </c>
      <c r="AJ67" s="14">
        <f>AI67*VLOOKUP('Données projet'!$B$10,Paramètres!$A$1:$I$89,3,0)*VLOOKUP('Données projet'!$B$10,Paramètres!$A$1:$I$89,5,0)</f>
        <v>245.99640000000005</v>
      </c>
      <c r="AK67" s="14">
        <f t="shared" si="35"/>
        <v>59.72782632026442</v>
      </c>
      <c r="AL67" s="22">
        <f t="shared" si="4"/>
        <v>532.46969417446053</v>
      </c>
      <c r="AM67" s="60">
        <f t="shared" si="5"/>
        <v>795.89404633401523</v>
      </c>
      <c r="AN67" s="60">
        <f ca="1">AVERAGE(OFFSET($AM$3,0,0,'Données projet'!$E$10+1,1))-AVERAGE(OFFSET($H$3,0,0,'Données projet'!$E$10+1,1))</f>
        <v>515.72324585399997</v>
      </c>
      <c r="AO67" s="60">
        <f t="shared" si="36"/>
        <v>273.35778700650792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199.26597600000011</v>
      </c>
      <c r="BF67" s="14">
        <f t="shared" si="37"/>
        <v>49.582816962415684</v>
      </c>
      <c r="BG67" s="22">
        <f t="shared" si="7"/>
        <v>433.4116477428741</v>
      </c>
      <c r="BH67" s="60">
        <f t="shared" si="8"/>
        <v>696.83599990242885</v>
      </c>
      <c r="BI67" s="60">
        <f ca="1">AVERAGE(OFFSET($BH$3,0,0,'Données projet'!$E$11+1,1))-AVERAGE(OFFSET($H$3,0,0,'Données projet'!$E$11+1,1))</f>
        <v>336.25341821407534</v>
      </c>
      <c r="BJ67" s="60">
        <f t="shared" si="38"/>
        <v>360.3246221345039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2.0259168886622674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2.0259168886622674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</v>
      </c>
      <c r="BY67" s="13">
        <f>IF('Données projet'!$A$114&gt;35,BY66+BX67-CG66,IF(A67&lt;'Données projet'!$A$114,$BV$205^A67,IF(A67='Données projet'!$A$114,'Données projet'!$B$114,BY66+BX67-CG66)))</f>
        <v>211.02564102564094</v>
      </c>
      <c r="BZ67" s="14">
        <f>BY67*VLOOKUP('Données projet'!$B$12,Paramètres!$A$1:$I$89,3,0)*VLOOKUP('Données projet'!$B$12,Paramètres!$A$1:$I$89,5,0)</f>
        <v>200.81199999999993</v>
      </c>
      <c r="CA67" s="14">
        <f t="shared" si="39"/>
        <v>49.922578645138138</v>
      </c>
      <c r="CB67" s="22">
        <f t="shared" si="10"/>
        <v>436.69605780694877</v>
      </c>
      <c r="CC67" s="60">
        <f t="shared" si="11"/>
        <v>700.12040996650353</v>
      </c>
      <c r="CD67" s="60">
        <f ca="1">AVERAGE(OFFSET($CC$3,0,0,'Données projet'!$E$12+1,1))-AVERAGE(OFFSET($H$3,0,0,'Données projet'!$E$12+1,1))</f>
        <v>438.41611139377829</v>
      </c>
      <c r="CE67" s="60">
        <f t="shared" si="40"/>
        <v>345.17417065809605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5.2399999999999975</v>
      </c>
      <c r="CT67" s="13">
        <f>IF('Données projet'!$A$140&gt;35,CT66+CS67-DB66,IF(A67&lt;'Données projet'!$A$140,$CQ$205^A67,IF(A67='Données projet'!$A$140,'Données projet'!$B$140,CT66+CS67-DB66)))</f>
        <v>314.95999999999992</v>
      </c>
      <c r="CU67" s="18">
        <f>CT67*VLOOKUP('Données projet'!$B$13,Paramètres!$A$1:$I$89,3,0)*VLOOKUP('Données projet'!$B$13,Paramètres!$A$1:$I$89,5,0)</f>
        <v>250.58217599999995</v>
      </c>
      <c r="CV67" s="14">
        <f t="shared" si="41"/>
        <v>60.710588199426105</v>
      </c>
      <c r="CW67" s="22">
        <f t="shared" si="13"/>
        <v>542.16823098066709</v>
      </c>
      <c r="CX67" s="60">
        <f t="shared" si="14"/>
        <v>805.5925831402219</v>
      </c>
      <c r="CY67" s="60">
        <f ca="1">AVERAGE(OFFSET($CX$3,0,0,'Données projet'!$E$13+1,1))-AVERAGE(OFFSET($H$3,0,0,'Données projet'!$E$13+1,1))</f>
        <v>395.27840703467933</v>
      </c>
      <c r="CZ67" s="60">
        <f t="shared" si="42"/>
        <v>364.24192380053944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6.4</v>
      </c>
      <c r="DO67" s="13">
        <f>IF('Données projet'!$A$166&gt;35,DO66+DN67-DW66,IF(A67&lt;'Données projet'!$A$166,$DL$205^A67,IF(A67='Données projet'!$A$166,'Données projet'!$B$166,DO66+DN67-DW66)))</f>
        <v>269.5999999999998</v>
      </c>
      <c r="DP67" s="18">
        <f>DO67*VLOOKUP('Données projet'!$B$14,Paramètres!$A$1:$I$89,3,0)*VLOOKUP('Données projet'!$B$14,Paramètres!$A$1:$I$89,5,0)</f>
        <v>210.28799999999984</v>
      </c>
      <c r="DQ67" s="14">
        <f t="shared" si="43"/>
        <v>51.998515923525652</v>
      </c>
      <c r="DR67" s="22">
        <f t="shared" si="16"/>
        <v>456.81568190014019</v>
      </c>
      <c r="DS67" s="60">
        <f t="shared" si="17"/>
        <v>720.24003405969495</v>
      </c>
      <c r="DT67" s="60">
        <f ca="1">AVERAGE(OFFSET($DS$3,0,0,'Données projet'!$E$14+1,1))-AVERAGE(OFFSET($H$3,0,0,'Données projet'!$E$14+1,1))</f>
        <v>308.76306523144956</v>
      </c>
      <c r="DU67" s="60">
        <f t="shared" si="44"/>
        <v>283.28099819802776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5.3846153846153815</v>
      </c>
      <c r="EJ67" s="13">
        <f>IF('Données projet'!$A$192&gt;35,EJ66+EI67-ER66,IF(A67&lt;'Données projet'!$A$192,$EG$205^A67,IF(A67='Données projet'!$A$192,'Données projet'!$B$192,EJ66+EI67-ER66)))</f>
        <v>260.64102564102558</v>
      </c>
      <c r="EK67" s="18">
        <f>EJ67*VLOOKUP('Données projet'!$B$15,Paramètres!$A$1:$I$89,3,0)*VLOOKUP('Données projet'!$B$15,Paramètres!$A$1:$I$89,5,0)</f>
        <v>174.83799999999997</v>
      </c>
      <c r="EL67" s="14">
        <f t="shared" si="45"/>
        <v>44.171798682067895</v>
      </c>
      <c r="EM67" s="22">
        <f t="shared" si="19"/>
        <v>381.44206603793481</v>
      </c>
      <c r="EN67" s="60">
        <f t="shared" si="20"/>
        <v>644.86641819748957</v>
      </c>
      <c r="EO67" s="60">
        <f ca="1">AVERAGE(OFFSET($EN$3,0,0,'Données projet'!$E$15+1,1))-AVERAGE(OFFSET($H$3,0,0,'Données projet'!$E$15+1,1))</f>
        <v>375.49921531693559</v>
      </c>
      <c r="EP67" s="60">
        <f t="shared" si="46"/>
        <v>306.93934681565599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</v>
      </c>
      <c r="FE67" s="13">
        <f>IF('Données projet'!$A$218&gt;35,FE66+FD67-FM66,IF(A67&lt;'Données projet'!$A$218,$FB$205^A67,IF(A67='Données projet'!$A$218,'Données projet'!$B$218,FE66+FD67-FM66)))</f>
        <v>203.00000000000011</v>
      </c>
      <c r="FF67" s="18">
        <f>FE67*VLOOKUP('Données projet'!$B$16,Paramètres!$A$1:$I$89,3,0)*VLOOKUP('Données projet'!$B$16,Paramètres!$A$1:$I$89,5,0)</f>
        <v>164.67360000000011</v>
      </c>
      <c r="FG67" s="14">
        <f t="shared" si="47"/>
        <v>41.894886049197019</v>
      </c>
      <c r="FH67" s="22">
        <f t="shared" si="22"/>
        <v>359.77344653568503</v>
      </c>
      <c r="FI67" s="60">
        <f t="shared" si="23"/>
        <v>623.19779869523973</v>
      </c>
      <c r="FJ67" s="60">
        <f ca="1">AVERAGE(OFFSET($FI$3,0,0,'Données projet'!$E$16+1,1))-AVERAGE(OFFSET($H$3,0,0,'Données projet'!$E$16+1,1))</f>
        <v>308.58270639204238</v>
      </c>
      <c r="FK67" s="60">
        <f t="shared" si="48"/>
        <v>258.90832875500325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7.4</v>
      </c>
      <c r="FZ67" s="13">
        <f>IF('Données projet'!$A$244&gt;35,FZ66+FY67-GH66,IF(A67&lt;'Données projet'!$A$244,$FW$205^A67,IF(A67='Données projet'!$A$244,'Données projet'!$B$244,FZ66+FY67-GH66)))</f>
        <v>242.60000000000005</v>
      </c>
      <c r="GA67" s="18">
        <f>FZ67*VLOOKUP('Données projet'!$B$17,Paramètres!$A$1:$I$89,3,0)*VLOOKUP('Données projet'!$B$17,Paramètres!$A$1:$I$89,5,0)</f>
        <v>234.64272000000005</v>
      </c>
      <c r="GB67" s="14">
        <f t="shared" si="49"/>
        <v>57.285375557336316</v>
      </c>
      <c r="GC67" s="22">
        <f t="shared" si="25"/>
        <v>508.44143309569409</v>
      </c>
      <c r="GD67" s="60">
        <f t="shared" si="26"/>
        <v>771.86578525524885</v>
      </c>
      <c r="GE67" s="60">
        <f ca="1">AVERAGE(OFFSET($GD$3,0,0,'Données projet'!$E$17+1,1))-AVERAGE(OFFSET($H$3,0,0,'Données projet'!$E$17+1,1))</f>
        <v>495.77880062178235</v>
      </c>
      <c r="GF67" s="60">
        <f t="shared" si="50"/>
        <v>263.55891737750301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322</v>
      </c>
      <c r="L68" s="13">
        <f>VLOOKUP(A68,'Données projet'!$A$35:$I$55,9,0)</f>
        <v>10.6</v>
      </c>
      <c r="M68" s="13">
        <f t="array" ref="M68">INDEX(L:L,MIN(IF(ISNUMBER(L68:L264),ROW(L68:L264),"")))</f>
        <v>10.6</v>
      </c>
      <c r="N68" s="14">
        <f>IF('Données projet'!$A$36&gt;35,N67+M68-V67,IF(A68&lt;'Données projet'!$A$36,$K$205^A68,IF(A68='Données projet'!$A$36,'Données projet'!$B$36,N67+M68-V67)))</f>
        <v>322.00000000000017</v>
      </c>
      <c r="O68" s="14">
        <f>N68*VLOOKUP('Données projet'!$B$9,Paramètres!$A$1:$I$89,3,0)*VLOOKUP('Données projet'!$B$9,Paramètres!$A$1:$I$89,5,0)</f>
        <v>276.27600000000018</v>
      </c>
      <c r="P68" s="14">
        <f t="shared" si="33"/>
        <v>66.179408416217214</v>
      </c>
      <c r="Q68" s="22">
        <f t="shared" si="54"/>
        <v>596.44316965824521</v>
      </c>
      <c r="R68" s="60">
        <f t="shared" si="55"/>
        <v>860.38637577470035</v>
      </c>
      <c r="S68" s="60">
        <f ca="1">AVERAGE(OFFSET($R$3,0,0,'Données projet'!$E$9+1,1))-AVERAGE(OFFSET($H$3,0,0,'Données projet'!$E$9+1,1))</f>
        <v>598.73855311281966</v>
      </c>
      <c r="T68" s="60">
        <f t="shared" si="34"/>
        <v>275.88160405468193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7.4</v>
      </c>
      <c r="AH68" s="13">
        <f t="array" ref="AH68">INDEX(AG:AG,MIN(IF(ISNUMBER(AG68:AG264),ROW(AG68:AG264),"")))</f>
        <v>7.4</v>
      </c>
      <c r="AI68" s="14">
        <f>IF('Données projet'!$A$62&gt;35,AI67+AH68-AQ67,IF(A68&lt;'Données projet'!$A$62,$AF$205^A68,IF(A68='Données projet'!$A$62,'Données projet'!$B$62,AI67+AH68-AQ67)))</f>
        <v>250.00000000000006</v>
      </c>
      <c r="AJ68" s="14">
        <f>AI68*VLOOKUP('Données projet'!$B$10,Paramètres!$A$1:$I$89,3,0)*VLOOKUP('Données projet'!$B$10,Paramètres!$A$1:$I$89,5,0)</f>
        <v>253.50000000000006</v>
      </c>
      <c r="AK68" s="14">
        <f t="shared" si="35"/>
        <v>61.334805663162555</v>
      </c>
      <c r="AL68" s="22">
        <f t="shared" ref="AL68:AL131" si="58">(AJ68+AK68)*0.475*44/12</f>
        <v>548.33728653000821</v>
      </c>
      <c r="AM68" s="60">
        <f t="shared" ref="AM68:AM131" si="59">AL68+(AD68+AE68)*44/12</f>
        <v>812.28049264646347</v>
      </c>
      <c r="AN68" s="60">
        <f ca="1">AVERAGE(OFFSET($AM$3,0,0,'Données projet'!$E$10+1,1))-AVERAGE(OFFSET($H$3,0,0,'Données projet'!$E$10+1,1))</f>
        <v>515.72324585399997</v>
      </c>
      <c r="AO68" s="60">
        <f t="shared" si="36"/>
        <v>273.35778700650792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202.7188800000001</v>
      </c>
      <c r="BF68" s="14">
        <f t="shared" si="37"/>
        <v>50.341224871428125</v>
      </c>
      <c r="BG68" s="22">
        <f t="shared" ref="BG68:BG131" si="61">(BE68+BF68)*0.475*44/12</f>
        <v>440.7463493177375</v>
      </c>
      <c r="BH68" s="60">
        <f t="shared" ref="BH68:BH131" si="62">BG68+(AY68+AZ68)*44/12</f>
        <v>704.6895554341927</v>
      </c>
      <c r="BI68" s="60">
        <f ca="1">AVERAGE(OFFSET($BH$3,0,0,'Données projet'!$E$11+1,1))-AVERAGE(OFFSET($H$3,0,0,'Données projet'!$E$11+1,1))</f>
        <v>336.25341821407534</v>
      </c>
      <c r="BJ68" s="60">
        <f t="shared" si="38"/>
        <v>360.3246221345039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1.9705180848034587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1.9705180848034587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216.02564102564102</v>
      </c>
      <c r="BW68" s="13">
        <f>VLOOKUP(A68,'Données projet'!$A$113:$I$133,9,0)</f>
        <v>5</v>
      </c>
      <c r="BX68" s="13">
        <f t="array" ref="BX68">INDEX(BW:BW,MIN(IF(ISNUMBER(BW68:BW264),ROW(BW68:BW264),"")))</f>
        <v>5</v>
      </c>
      <c r="BY68" s="13">
        <f>IF('Données projet'!$A$114&gt;35,BY67+BX68-CG67,IF(A68&lt;'Données projet'!$A$114,$BV$205^A68,IF(A68='Données projet'!$A$114,'Données projet'!$B$114,BY67+BX68-CG67)))</f>
        <v>216.02564102564094</v>
      </c>
      <c r="BZ68" s="14">
        <f>BY68*VLOOKUP('Données projet'!$B$12,Paramètres!$A$1:$I$89,3,0)*VLOOKUP('Données projet'!$B$12,Paramètres!$A$1:$I$89,5,0)</f>
        <v>205.56999999999991</v>
      </c>
      <c r="CA68" s="14">
        <f t="shared" si="39"/>
        <v>50.966321268617726</v>
      </c>
      <c r="CB68" s="22">
        <f t="shared" ref="CB68:CB131" si="64">(BZ68+CA68)*0.475*44/12</f>
        <v>446.8007595428424</v>
      </c>
      <c r="CC68" s="60">
        <f t="shared" ref="CC68:CC131" si="65">CB68+(BT68+BU68)*44/12</f>
        <v>710.7439656592976</v>
      </c>
      <c r="CD68" s="60">
        <f ca="1">AVERAGE(OFFSET($CC$3,0,0,'Données projet'!$E$12+1,1))-AVERAGE(OFFSET($H$3,0,0,'Données projet'!$E$12+1,1))</f>
        <v>438.41611139377829</v>
      </c>
      <c r="CE68" s="60">
        <f t="shared" si="40"/>
        <v>345.17417065809605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320.2</v>
      </c>
      <c r="CR68" s="13">
        <f>VLOOKUP(A68,'Données projet'!$A$139:$I$159,9,0)</f>
        <v>5.2399999999999975</v>
      </c>
      <c r="CS68" s="13">
        <f t="array" ref="CS68">INDEX(CR:CR,MIN(IF(ISNUMBER(CR68:CR264),ROW(CR68:CR264),"")))</f>
        <v>5.2399999999999975</v>
      </c>
      <c r="CT68" s="13">
        <f>IF('Données projet'!$A$140&gt;35,CT67+CS68-DB67,IF(A68&lt;'Données projet'!$A$140,$CQ$205^A68,IF(A68='Données projet'!$A$140,'Données projet'!$B$140,CT67+CS68-DB67)))</f>
        <v>320.19999999999993</v>
      </c>
      <c r="CU68" s="18">
        <f>CT68*VLOOKUP('Données projet'!$B$13,Paramètres!$A$1:$I$89,3,0)*VLOOKUP('Données projet'!$B$13,Paramètres!$A$1:$I$89,5,0)</f>
        <v>254.75111999999996</v>
      </c>
      <c r="CV68" s="14">
        <f t="shared" si="41"/>
        <v>61.60220428704681</v>
      </c>
      <c r="CW68" s="22">
        <f t="shared" ref="CW68:CW131" si="67">(CU68+CV68)*0.475*44/12</f>
        <v>550.98203979993968</v>
      </c>
      <c r="CX68" s="60">
        <f t="shared" ref="CX68:CX131" si="68">CW68+(CO68+CP68)*44/12</f>
        <v>814.92524591639494</v>
      </c>
      <c r="CY68" s="60">
        <f ca="1">AVERAGE(OFFSET($CX$3,0,0,'Données projet'!$E$13+1,1))-AVERAGE(OFFSET($H$3,0,0,'Données projet'!$E$13+1,1))</f>
        <v>395.27840703467933</v>
      </c>
      <c r="CZ68" s="60">
        <f t="shared" si="42"/>
        <v>364.24192380053944</v>
      </c>
      <c r="DA68" s="16">
        <f>IF(ISNA(VLOOKUP(A68,'Données projet'!$A$139:$I$159,3,0)),0,VLOOKUP(A68,'Données projet'!$A$139:$I$159,3,0))</f>
        <v>6</v>
      </c>
      <c r="DB68" s="16">
        <f>IF(ISNA(VLOOKUP(A68,'Données projet'!$A$139:$I$159,4,0)),0,VLOOKUP(A68,'Données projet'!$A$139:$I$159,4,0))</f>
        <v>27.6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276</v>
      </c>
      <c r="DM68" s="13">
        <f>VLOOKUP(A68,'Données projet'!$A$165:$I$185,9,0)</f>
        <v>6.4</v>
      </c>
      <c r="DN68" s="13">
        <f t="array" ref="DN68">INDEX(DM:DM,MIN(IF(ISNUMBER(DM68:DM264),ROW(DM68:DM264),"")))</f>
        <v>6.4</v>
      </c>
      <c r="DO68" s="13">
        <f>IF('Données projet'!$A$166&gt;35,DO67+DN68-DW67,IF(A68&lt;'Données projet'!$A$166,$DL$205^A68,IF(A68='Données projet'!$A$166,'Données projet'!$B$166,DO67+DN68-DW67)))</f>
        <v>275.99999999999977</v>
      </c>
      <c r="DP68" s="18">
        <f>DO68*VLOOKUP('Données projet'!$B$14,Paramètres!$A$1:$I$89,3,0)*VLOOKUP('Données projet'!$B$14,Paramètres!$A$1:$I$89,5,0)</f>
        <v>215.27999999999983</v>
      </c>
      <c r="DQ68" s="14">
        <f t="shared" si="43"/>
        <v>53.087725740853138</v>
      </c>
      <c r="DR68" s="22">
        <f t="shared" ref="DR68:DR131" si="70">(DP68+DQ68)*0.475*44/12</f>
        <v>467.40712233198559</v>
      </c>
      <c r="DS68" s="60">
        <f t="shared" ref="DS68:DS131" si="71">DR68+(DJ68+DK68)*44/12</f>
        <v>731.35032844844079</v>
      </c>
      <c r="DT68" s="60">
        <f ca="1">AVERAGE(OFFSET($DS$3,0,0,'Données projet'!$E$14+1,1))-AVERAGE(OFFSET($H$3,0,0,'Données projet'!$E$14+1,1))</f>
        <v>308.76306523144956</v>
      </c>
      <c r="DU68" s="60">
        <f t="shared" si="44"/>
        <v>283.28099819802776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26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266.02564102564099</v>
      </c>
      <c r="EH68" s="13">
        <f>VLOOKUP(A68,'Données projet'!$A$191:$I$211,9,0)</f>
        <v>5.3846153846153815</v>
      </c>
      <c r="EI68" s="13">
        <f t="array" ref="EI68">INDEX(EH:EH,MIN(IF(ISNUMBER(EH68:EH264),ROW(EH68:EH264),"")))</f>
        <v>5.3846153846153815</v>
      </c>
      <c r="EJ68" s="13">
        <f>IF('Données projet'!$A$192&gt;35,EJ67+EI68-ER67,IF(A68&lt;'Données projet'!$A$192,$EG$205^A68,IF(A68='Données projet'!$A$192,'Données projet'!$B$192,EJ67+EI68-ER67)))</f>
        <v>266.02564102564094</v>
      </c>
      <c r="EK68" s="18">
        <f>EJ68*VLOOKUP('Données projet'!$B$15,Paramètres!$A$1:$I$89,3,0)*VLOOKUP('Données projet'!$B$15,Paramètres!$A$1:$I$89,5,0)</f>
        <v>178.44999999999996</v>
      </c>
      <c r="EL68" s="14">
        <f t="shared" si="45"/>
        <v>44.9771663417241</v>
      </c>
      <c r="EM68" s="22">
        <f t="shared" ref="EM68:EM131" si="73">(EK68+EL68)*0.475*44/12</f>
        <v>389.13564804516938</v>
      </c>
      <c r="EN68" s="60">
        <f t="shared" ref="EN68:EN131" si="74">EM68+(EE68+EF68)*44/12</f>
        <v>653.07885416162458</v>
      </c>
      <c r="EO68" s="60">
        <f ca="1">AVERAGE(OFFSET($EN$3,0,0,'Données projet'!$E$15+1,1))-AVERAGE(OFFSET($H$3,0,0,'Données projet'!$E$15+1,1))</f>
        <v>375.49921531693559</v>
      </c>
      <c r="EP68" s="60">
        <f t="shared" si="46"/>
        <v>306.93934681565599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208</v>
      </c>
      <c r="FC68" s="13">
        <f>VLOOKUP(A68,'Données projet'!$A$217:$I$237,9,0)</f>
        <v>5</v>
      </c>
      <c r="FD68" s="13">
        <f t="array" ref="FD68">INDEX(FC:FC,MIN(IF(ISNUMBER(FC68:FC264),ROW(FC68:FC264),"")))</f>
        <v>5</v>
      </c>
      <c r="FE68" s="13">
        <f>IF('Données projet'!$A$218&gt;35,FE67+FD68-FM67,IF(A68&lt;'Données projet'!$A$218,$FB$205^A68,IF(A68='Données projet'!$A$218,'Données projet'!$B$218,FE67+FD68-FM67)))</f>
        <v>208.00000000000011</v>
      </c>
      <c r="FF68" s="18">
        <f>FE68*VLOOKUP('Données projet'!$B$16,Paramètres!$A$1:$I$89,3,0)*VLOOKUP('Données projet'!$B$16,Paramètres!$A$1:$I$89,5,0)</f>
        <v>168.72960000000012</v>
      </c>
      <c r="FG68" s="14">
        <f t="shared" si="47"/>
        <v>42.805372152385111</v>
      </c>
      <c r="FH68" s="22">
        <f t="shared" ref="FH68:FH131" si="76">(FF68+FG68)*0.475*44/12</f>
        <v>368.42340983207094</v>
      </c>
      <c r="FI68" s="60">
        <f t="shared" ref="FI68:FI131" si="77">FH68+(EZ68+FA68)*44/12</f>
        <v>632.36661594852615</v>
      </c>
      <c r="FJ68" s="60">
        <f ca="1">AVERAGE(OFFSET($FI$3,0,0,'Données projet'!$E$16+1,1))-AVERAGE(OFFSET($H$3,0,0,'Données projet'!$E$16+1,1))</f>
        <v>308.58270639204238</v>
      </c>
      <c r="FK68" s="60">
        <f t="shared" si="48"/>
        <v>258.90832875500325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250</v>
      </c>
      <c r="FX68" s="13">
        <f>VLOOKUP(A68,'Données projet'!$A$243:$I$263,9,0)</f>
        <v>7.4</v>
      </c>
      <c r="FY68" s="13">
        <f t="array" ref="FY68">INDEX(FX:FX,MIN(IF(ISNUMBER(FX68:FX264),ROW(FX68:FX264),"")))</f>
        <v>7.4</v>
      </c>
      <c r="FZ68" s="13">
        <f>IF('Données projet'!$A$244&gt;35,FZ67+FY68-GH67,IF(A68&lt;'Données projet'!$A$244,$FW$205^A68,IF(A68='Données projet'!$A$244,'Données projet'!$B$244,FZ67+FY68-GH67)))</f>
        <v>250.00000000000006</v>
      </c>
      <c r="GA68" s="18">
        <f>FZ68*VLOOKUP('Données projet'!$B$17,Paramètres!$A$1:$I$89,3,0)*VLOOKUP('Données projet'!$B$17,Paramètres!$A$1:$I$89,5,0)</f>
        <v>241.80000000000004</v>
      </c>
      <c r="GB68" s="14">
        <f t="shared" si="49"/>
        <v>58.826640673484839</v>
      </c>
      <c r="GC68" s="22">
        <f t="shared" ref="GC68:GC131" si="79">(GA68+GB68)*0.475*44/12</f>
        <v>523.59139917298614</v>
      </c>
      <c r="GD68" s="60">
        <f t="shared" ref="GD68:GD131" si="80">GC68+(FU68+FV68)*44/12</f>
        <v>787.53460528944129</v>
      </c>
      <c r="GE68" s="60">
        <f ca="1">AVERAGE(OFFSET($GD$3,0,0,'Données projet'!$E$17+1,1))-AVERAGE(OFFSET($H$3,0,0,'Données projet'!$E$17+1,1))</f>
        <v>495.77880062178235</v>
      </c>
      <c r="GF68" s="60">
        <f t="shared" si="50"/>
        <v>263.55891737750301</v>
      </c>
      <c r="GG68" s="16">
        <f>IF(ISNA(VLOOKUP(A68,'Données projet'!$A$243:$I$263,3,0)),0,VLOOKUP(A68,'Données projet'!$A$243:$I$263,3,0))</f>
        <v>5</v>
      </c>
      <c r="GH68" s="16">
        <f>IF(ISNA(VLOOKUP(A68,'Données projet'!$A$243:$I$263,4,0)),0,VLOOKUP(A68,'Données projet'!$A$243:$I$263,4,0))</f>
        <v>42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9.6999999999999993</v>
      </c>
      <c r="N69" s="14">
        <f>IF('Données projet'!$A$36&gt;35,N68+M69-V68,IF(A69&lt;'Données projet'!$A$36,$K$205^A69,IF(A69='Données projet'!$A$36,'Données projet'!$B$36,N68+M69-V68)))</f>
        <v>275.70000000000016</v>
      </c>
      <c r="O69" s="14">
        <f>N69*VLOOKUP('Données projet'!$B$9,Paramètres!$A$1:$I$89,3,0)*VLOOKUP('Données projet'!$B$9,Paramètres!$A$1:$I$89,5,0)</f>
        <v>236.55060000000017</v>
      </c>
      <c r="P69" s="14">
        <f t="shared" ref="P69:P132" si="87">EXP(-1.0587+0.8836*LN(O69)+0.284)</f>
        <v>57.696751125407701</v>
      </c>
      <c r="Q69" s="22">
        <f t="shared" si="54"/>
        <v>512.48080321008536</v>
      </c>
      <c r="R69" s="60">
        <f t="shared" si="55"/>
        <v>776.93386232727244</v>
      </c>
      <c r="S69" s="60">
        <f ca="1">AVERAGE(OFFSET($R$3,0,0,'Données projet'!$E$9+1,1))-AVERAGE(OFFSET($H$3,0,0,'Données projet'!$E$9+1,1))</f>
        <v>598.73855311281966</v>
      </c>
      <c r="T69" s="60">
        <f t="shared" ref="T69:T132" si="88">$T$3</f>
        <v>275.88160405468193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6.5</v>
      </c>
      <c r="AI69" s="14">
        <f>IF('Données projet'!$A$62&gt;35,AI68+AH69-AQ68,IF(A69&lt;'Données projet'!$A$62,$AF$205^A69,IF(A69='Données projet'!$A$62,'Données projet'!$B$62,AI68+AH69-AQ68)))</f>
        <v>214.50000000000006</v>
      </c>
      <c r="AJ69" s="14">
        <f>AI69*VLOOKUP('Données projet'!$B$10,Paramètres!$A$1:$I$89,3,0)*VLOOKUP('Données projet'!$B$10,Paramètres!$A$1:$I$89,5,0)</f>
        <v>217.50300000000007</v>
      </c>
      <c r="AK69" s="14">
        <f t="shared" ref="AK69:AK132" si="89">EXP(-1.0587+0.8836*LN(AJ69)+0.284)</f>
        <v>53.571815086086424</v>
      </c>
      <c r="AL69" s="22">
        <f t="shared" si="58"/>
        <v>472.12196960826736</v>
      </c>
      <c r="AM69" s="60">
        <f t="shared" si="59"/>
        <v>736.57502872545444</v>
      </c>
      <c r="AN69" s="60">
        <f ca="1">AVERAGE(OFFSET($AM$3,0,0,'Données projet'!$E$10+1,1))-AVERAGE(OFFSET($H$3,0,0,'Données projet'!$E$10+1,1))</f>
        <v>515.72324585399997</v>
      </c>
      <c r="AO69" s="60">
        <f t="shared" ref="AO69:AO132" si="90">$AO$3</f>
        <v>273.35778700650792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205.7103360000001</v>
      </c>
      <c r="BF69" s="14">
        <f t="shared" ref="BF69:BF132" si="91">EXP(-1.0587+0.8836*LN(BE69)+0.284)</f>
        <v>50.99706319664395</v>
      </c>
      <c r="BG69" s="22">
        <f t="shared" si="61"/>
        <v>447.09872026748832</v>
      </c>
      <c r="BH69" s="60">
        <f t="shared" si="62"/>
        <v>711.55177938467546</v>
      </c>
      <c r="BI69" s="60">
        <f ca="1">AVERAGE(OFFSET($BH$3,0,0,'Données projet'!$E$11+1,1))-AVERAGE(OFFSET($H$3,0,0,'Données projet'!$E$11+1,1))</f>
        <v>336.25341821407534</v>
      </c>
      <c r="BJ69" s="60">
        <f t="shared" ref="BJ69:BJ132" si="92">$BJ$3</f>
        <v>360.3246221345039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1.9166341641494657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1.9166341641494657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4.7435897435897401</v>
      </c>
      <c r="BY69" s="13">
        <f>IF('Données projet'!$A$114&gt;35,BY68+BX69-CG68,IF(A69&lt;'Données projet'!$A$114,$BV$205^A69,IF(A69='Données projet'!$A$114,'Données projet'!$B$114,BY68+BX69-CG68)))</f>
        <v>220.76923076923069</v>
      </c>
      <c r="BZ69" s="14">
        <f>BY69*VLOOKUP('Données projet'!$B$12,Paramètres!$A$1:$I$89,3,0)*VLOOKUP('Données projet'!$B$12,Paramètres!$A$1:$I$89,5,0)</f>
        <v>210.08399999999995</v>
      </c>
      <c r="CA69" s="14">
        <f t="shared" ref="CA69:CA132" si="93">EXP(-1.0587+0.8836*LN(BZ69)+0.284)</f>
        <v>51.953941384443397</v>
      </c>
      <c r="CB69" s="22">
        <f t="shared" si="64"/>
        <v>456.38274791123877</v>
      </c>
      <c r="CC69" s="60">
        <f t="shared" si="65"/>
        <v>720.83580702842585</v>
      </c>
      <c r="CD69" s="60">
        <f ca="1">AVERAGE(OFFSET($CC$3,0,0,'Données projet'!$E$12+1,1))-AVERAGE(OFFSET($H$3,0,0,'Données projet'!$E$12+1,1))</f>
        <v>438.41611139377829</v>
      </c>
      <c r="CE69" s="60">
        <f t="shared" ref="CE69:CE132" si="94">$CE$3</f>
        <v>345.17417065809605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4.5000000000000115</v>
      </c>
      <c r="CT69" s="13">
        <f>IF('Données projet'!$A$140&gt;35,CT68+CS69-DB68,IF(A69&lt;'Données projet'!$A$140,$CQ$205^A69,IF(A69='Données projet'!$A$140,'Données projet'!$B$140,CT68+CS69-DB68)))</f>
        <v>297.09999999999991</v>
      </c>
      <c r="CU69" s="18">
        <f>CT69*VLOOKUP('Données projet'!$B$13,Paramètres!$A$1:$I$89,3,0)*VLOOKUP('Données projet'!$B$13,Paramètres!$A$1:$I$89,5,0)</f>
        <v>236.37275999999994</v>
      </c>
      <c r="CV69" s="14">
        <f t="shared" ref="CV69:CV132" si="95">EXP(-1.0587+0.8836*LN(CU69)+0.284)</f>
        <v>57.658421774089099</v>
      </c>
      <c r="CW69" s="22">
        <f t="shared" si="67"/>
        <v>512.10430825653827</v>
      </c>
      <c r="CX69" s="60">
        <f t="shared" si="68"/>
        <v>776.55736737372536</v>
      </c>
      <c r="CY69" s="60">
        <f ca="1">AVERAGE(OFFSET($CX$3,0,0,'Données projet'!$E$13+1,1))-AVERAGE(OFFSET($H$3,0,0,'Données projet'!$E$13+1,1))</f>
        <v>395.27840703467933</v>
      </c>
      <c r="CZ69" s="60">
        <f t="shared" ref="CZ69:CZ132" si="96">$CZ$3</f>
        <v>364.24192380053944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</v>
      </c>
      <c r="DO69" s="13">
        <f>IF('Données projet'!$A$166&gt;35,DO68+DN69-DW68,IF(A69&lt;'Données projet'!$A$166,$DL$205^A69,IF(A69='Données projet'!$A$166,'Données projet'!$B$166,DO68+DN69-DW68)))</f>
        <v>255.99999999999977</v>
      </c>
      <c r="DP69" s="18">
        <f>DO69*VLOOKUP('Données projet'!$B$14,Paramètres!$A$1:$I$89,3,0)*VLOOKUP('Données projet'!$B$14,Paramètres!$A$1:$I$89,5,0)</f>
        <v>199.67999999999984</v>
      </c>
      <c r="DQ69" s="14">
        <f t="shared" ref="DQ69:DQ132" si="97">EXP(-1.0587+0.8836*LN(DP69)+0.284)</f>
        <v>49.673834858130768</v>
      </c>
      <c r="DR69" s="22">
        <f t="shared" si="70"/>
        <v>434.29126237791075</v>
      </c>
      <c r="DS69" s="60">
        <f t="shared" si="71"/>
        <v>698.74432149509789</v>
      </c>
      <c r="DT69" s="60">
        <f ca="1">AVERAGE(OFFSET($DS$3,0,0,'Données projet'!$E$14+1,1))-AVERAGE(OFFSET($H$3,0,0,'Données projet'!$E$14+1,1))</f>
        <v>308.76306523144956</v>
      </c>
      <c r="DU69" s="60">
        <f t="shared" ref="DU69:DU132" si="98">$DU$3</f>
        <v>283.28099819802776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5.1282051282051269</v>
      </c>
      <c r="EJ69" s="13">
        <f>IF('Données projet'!$A$192&gt;35,EJ68+EI69-ER68,IF(A69&lt;'Données projet'!$A$192,$EG$205^A69,IF(A69='Données projet'!$A$192,'Données projet'!$B$192,EJ68+EI69-ER68)))</f>
        <v>271.15384615384608</v>
      </c>
      <c r="EK69" s="18">
        <f>EJ69*VLOOKUP('Données projet'!$B$15,Paramètres!$A$1:$I$89,3,0)*VLOOKUP('Données projet'!$B$15,Paramètres!$A$1:$I$89,5,0)</f>
        <v>181.88999999999996</v>
      </c>
      <c r="EL69" s="14">
        <f t="shared" ref="EL69:EL132" si="99">EXP(-1.0587+0.8836*LN(EK69)+0.284)</f>
        <v>45.742420382341599</v>
      </c>
      <c r="EM69" s="22">
        <f t="shared" si="73"/>
        <v>396.4597988325782</v>
      </c>
      <c r="EN69" s="60">
        <f t="shared" si="74"/>
        <v>660.91285794976534</v>
      </c>
      <c r="EO69" s="60">
        <f ca="1">AVERAGE(OFFSET($EN$3,0,0,'Données projet'!$E$15+1,1))-AVERAGE(OFFSET($H$3,0,0,'Données projet'!$E$15+1,1))</f>
        <v>375.49921531693559</v>
      </c>
      <c r="EP69" s="60">
        <f t="shared" ref="EP69:EP132" si="100">$EP$3</f>
        <v>306.93934681565599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4.8</v>
      </c>
      <c r="FE69" s="13">
        <f>IF('Données projet'!$A$218&gt;35,FE68+FD69-FM68,IF(A69&lt;'Données projet'!$A$218,$FB$205^A69,IF(A69='Données projet'!$A$218,'Données projet'!$B$218,FE68+FD69-FM68)))</f>
        <v>212.80000000000013</v>
      </c>
      <c r="FF69" s="18">
        <f>FE69*VLOOKUP('Données projet'!$B$16,Paramètres!$A$1:$I$89,3,0)*VLOOKUP('Données projet'!$B$16,Paramètres!$A$1:$I$89,5,0)</f>
        <v>172.6233600000001</v>
      </c>
      <c r="FG69" s="14">
        <f t="shared" ref="FG69:FG132" si="101">EXP(-1.0587+0.8836*LN(FF69)+0.284)</f>
        <v>43.677044279986113</v>
      </c>
      <c r="FH69" s="22">
        <f t="shared" si="76"/>
        <v>376.72320412097594</v>
      </c>
      <c r="FI69" s="60">
        <f t="shared" si="77"/>
        <v>641.17626323816307</v>
      </c>
      <c r="FJ69" s="60">
        <f ca="1">AVERAGE(OFFSET($FI$3,0,0,'Données projet'!$E$16+1,1))-AVERAGE(OFFSET($H$3,0,0,'Données projet'!$E$16+1,1))</f>
        <v>308.58270639204238</v>
      </c>
      <c r="FK69" s="60">
        <f t="shared" ref="FK69:FK132" si="102">$FK$3</f>
        <v>258.90832875500325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6.5</v>
      </c>
      <c r="FZ69" s="13">
        <f>IF('Données projet'!$A$244&gt;35,FZ68+FY69-GH68,IF(A69&lt;'Données projet'!$A$244,$FW$205^A69,IF(A69='Données projet'!$A$244,'Données projet'!$B$244,FZ68+FY69-GH68)))</f>
        <v>214.50000000000006</v>
      </c>
      <c r="GA69" s="18">
        <f>FZ69*VLOOKUP('Données projet'!$B$17,Paramètres!$A$1:$I$89,3,0)*VLOOKUP('Données projet'!$B$17,Paramètres!$A$1:$I$89,5,0)</f>
        <v>207.46440000000007</v>
      </c>
      <c r="GB69" s="14">
        <f t="shared" ref="GB69:GB132" si="103">EXP(-1.0587+0.8836*LN(GA69)+0.284)</f>
        <v>51.381102169014063</v>
      </c>
      <c r="GC69" s="22">
        <f t="shared" si="79"/>
        <v>450.82258294436627</v>
      </c>
      <c r="GD69" s="60">
        <f t="shared" si="80"/>
        <v>715.2756420615533</v>
      </c>
      <c r="GE69" s="60">
        <f ca="1">AVERAGE(OFFSET($GD$3,0,0,'Données projet'!$E$17+1,1))-AVERAGE(OFFSET($H$3,0,0,'Données projet'!$E$17+1,1))</f>
        <v>495.77880062178235</v>
      </c>
      <c r="GF69" s="60">
        <f t="shared" ref="GF69:GF132" si="104">$GF$3</f>
        <v>263.55891737750301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9.6999999999999993</v>
      </c>
      <c r="N70" s="14">
        <f>IF('Données projet'!$A$36&gt;35,N69+M70-V69,IF(A70&lt;'Données projet'!$A$36,$K$205^A70,IF(A70='Données projet'!$A$36,'Données projet'!$B$36,N69+M70-V69)))</f>
        <v>285.40000000000015</v>
      </c>
      <c r="O70" s="14">
        <f>N70*VLOOKUP('Données projet'!$B$9,Paramètres!$A$1:$I$89,3,0)*VLOOKUP('Données projet'!$B$9,Paramètres!$A$1:$I$89,5,0)</f>
        <v>244.87320000000014</v>
      </c>
      <c r="P70" s="14">
        <f t="shared" si="87"/>
        <v>59.486793407357482</v>
      </c>
      <c r="Q70" s="22">
        <f t="shared" si="54"/>
        <v>530.09365518448112</v>
      </c>
      <c r="R70" s="60">
        <f t="shared" si="55"/>
        <v>795.04772249269809</v>
      </c>
      <c r="S70" s="60">
        <f ca="1">AVERAGE(OFFSET($R$3,0,0,'Données projet'!$E$9+1,1))-AVERAGE(OFFSET($H$3,0,0,'Données projet'!$E$9+1,1))</f>
        <v>598.73855311281966</v>
      </c>
      <c r="T70" s="60">
        <f t="shared" si="88"/>
        <v>275.88160405468193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6.5</v>
      </c>
      <c r="AI70" s="14">
        <f>IF('Données projet'!$A$62&gt;35,AI69+AH70-AQ69,IF(A70&lt;'Données projet'!$A$62,$AF$205^A70,IF(A70='Données projet'!$A$62,'Données projet'!$B$62,AI69+AH70-AQ69)))</f>
        <v>221.00000000000006</v>
      </c>
      <c r="AJ70" s="14">
        <f>AI70*VLOOKUP('Données projet'!$B$10,Paramètres!$A$1:$I$89,3,0)*VLOOKUP('Données projet'!$B$10,Paramètres!$A$1:$I$89,5,0)</f>
        <v>224.09400000000005</v>
      </c>
      <c r="AK70" s="14">
        <f t="shared" si="89"/>
        <v>55.003739293082717</v>
      </c>
      <c r="AL70" s="22">
        <f t="shared" si="58"/>
        <v>486.09522926878577</v>
      </c>
      <c r="AM70" s="60">
        <f t="shared" si="59"/>
        <v>751.04929657700268</v>
      </c>
      <c r="AN70" s="60">
        <f ca="1">AVERAGE(OFFSET($AM$3,0,0,'Données projet'!$E$10+1,1))-AVERAGE(OFFSET($H$3,0,0,'Données projet'!$E$10+1,1))</f>
        <v>515.72324585399997</v>
      </c>
      <c r="AO70" s="60">
        <f t="shared" si="90"/>
        <v>273.35778700650792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208.7017920000001</v>
      </c>
      <c r="BF70" s="14">
        <f t="shared" si="91"/>
        <v>51.651792283320177</v>
      </c>
      <c r="BG70" s="22">
        <f t="shared" si="61"/>
        <v>453.44915929344944</v>
      </c>
      <c r="BH70" s="60">
        <f t="shared" si="62"/>
        <v>718.40322660166635</v>
      </c>
      <c r="BI70" s="60">
        <f ca="1">AVERAGE(OFFSET($BH$3,0,0,'Données projet'!$E$11+1,1))-AVERAGE(OFFSET($H$3,0,0,'Données projet'!$E$11+1,1))</f>
        <v>336.25341821407534</v>
      </c>
      <c r="BJ70" s="60">
        <f t="shared" si="92"/>
        <v>360.3246221345039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1.8642237021393884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1.8642237021393884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4.7435897435897401</v>
      </c>
      <c r="BY70" s="13">
        <f>IF('Données projet'!$A$114&gt;35,BY69+BX70-CG69,IF(A70&lt;'Données projet'!$A$114,$BV$205^A70,IF(A70='Données projet'!$A$114,'Données projet'!$B$114,BY69+BX70-CG69)))</f>
        <v>225.51282051282044</v>
      </c>
      <c r="BZ70" s="14">
        <f>BY70*VLOOKUP('Données projet'!$B$12,Paramètres!$A$1:$I$89,3,0)*VLOOKUP('Données projet'!$B$12,Paramètres!$A$1:$I$89,5,0)</f>
        <v>214.5979999999999</v>
      </c>
      <c r="CA70" s="14">
        <f t="shared" si="93"/>
        <v>52.939094303283817</v>
      </c>
      <c r="CB70" s="22">
        <f t="shared" si="64"/>
        <v>465.96043924488578</v>
      </c>
      <c r="CC70" s="60">
        <f t="shared" si="65"/>
        <v>730.91450655310268</v>
      </c>
      <c r="CD70" s="60">
        <f ca="1">AVERAGE(OFFSET($CC$3,0,0,'Données projet'!$E$12+1,1))-AVERAGE(OFFSET($H$3,0,0,'Données projet'!$E$12+1,1))</f>
        <v>438.41611139377829</v>
      </c>
      <c r="CE70" s="60">
        <f t="shared" si="94"/>
        <v>345.17417065809605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4.5000000000000115</v>
      </c>
      <c r="CT70" s="13">
        <f>IF('Données projet'!$A$140&gt;35,CT69+CS70-DB69,IF(A70&lt;'Données projet'!$A$140,$CQ$205^A70,IF(A70='Données projet'!$A$140,'Données projet'!$B$140,CT69+CS70-DB69)))</f>
        <v>301.59999999999991</v>
      </c>
      <c r="CU70" s="18">
        <f>CT70*VLOOKUP('Données projet'!$B$13,Paramètres!$A$1:$I$89,3,0)*VLOOKUP('Données projet'!$B$13,Paramètres!$A$1:$I$89,5,0)</f>
        <v>239.95295999999993</v>
      </c>
      <c r="CV70" s="14">
        <f t="shared" si="95"/>
        <v>58.429409481604822</v>
      </c>
      <c r="CW70" s="22">
        <f t="shared" si="67"/>
        <v>519.68262684712829</v>
      </c>
      <c r="CX70" s="60">
        <f t="shared" si="68"/>
        <v>784.63669415534514</v>
      </c>
      <c r="CY70" s="60">
        <f ca="1">AVERAGE(OFFSET($CX$3,0,0,'Données projet'!$E$13+1,1))-AVERAGE(OFFSET($H$3,0,0,'Données projet'!$E$13+1,1))</f>
        <v>395.27840703467933</v>
      </c>
      <c r="CZ70" s="60">
        <f t="shared" si="96"/>
        <v>364.24192380053944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</v>
      </c>
      <c r="DO70" s="13">
        <f>IF('Données projet'!$A$166&gt;35,DO69+DN70-DW69,IF(A70&lt;'Données projet'!$A$166,$DL$205^A70,IF(A70='Données projet'!$A$166,'Données projet'!$B$166,DO69+DN70-DW69)))</f>
        <v>261.99999999999977</v>
      </c>
      <c r="DP70" s="18">
        <f>DO70*VLOOKUP('Données projet'!$B$14,Paramètres!$A$1:$I$89,3,0)*VLOOKUP('Données projet'!$B$14,Paramètres!$A$1:$I$89,5,0)</f>
        <v>204.35999999999984</v>
      </c>
      <c r="DQ70" s="14">
        <f t="shared" si="97"/>
        <v>50.701157790815166</v>
      </c>
      <c r="DR70" s="22">
        <f t="shared" si="70"/>
        <v>444.23151648566937</v>
      </c>
      <c r="DS70" s="60">
        <f t="shared" si="71"/>
        <v>709.18558379388628</v>
      </c>
      <c r="DT70" s="60">
        <f ca="1">AVERAGE(OFFSET($DS$3,0,0,'Données projet'!$E$14+1,1))-AVERAGE(OFFSET($H$3,0,0,'Données projet'!$E$14+1,1))</f>
        <v>308.76306523144956</v>
      </c>
      <c r="DU70" s="60">
        <f t="shared" si="98"/>
        <v>283.28099819802776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5.1282051282051269</v>
      </c>
      <c r="EJ70" s="13">
        <f>IF('Données projet'!$A$192&gt;35,EJ69+EI70-ER69,IF(A70&lt;'Données projet'!$A$192,$EG$205^A70,IF(A70='Données projet'!$A$192,'Données projet'!$B$192,EJ69+EI70-ER69)))</f>
        <v>276.28205128205121</v>
      </c>
      <c r="EK70" s="18">
        <f>EJ70*VLOOKUP('Données projet'!$B$15,Paramètres!$A$1:$I$89,3,0)*VLOOKUP('Données projet'!$B$15,Paramètres!$A$1:$I$89,5,0)</f>
        <v>185.32999999999996</v>
      </c>
      <c r="EL70" s="14">
        <f t="shared" si="99"/>
        <v>46.505991525491268</v>
      </c>
      <c r="EM70" s="22">
        <f t="shared" si="73"/>
        <v>403.78101857356387</v>
      </c>
      <c r="EN70" s="60">
        <f t="shared" si="74"/>
        <v>668.73508588178083</v>
      </c>
      <c r="EO70" s="60">
        <f ca="1">AVERAGE(OFFSET($EN$3,0,0,'Données projet'!$E$15+1,1))-AVERAGE(OFFSET($H$3,0,0,'Données projet'!$E$15+1,1))</f>
        <v>375.49921531693559</v>
      </c>
      <c r="EP70" s="60">
        <f t="shared" si="100"/>
        <v>306.93934681565599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4.8</v>
      </c>
      <c r="FE70" s="13">
        <f>IF('Données projet'!$A$218&gt;35,FE69+FD70-FM69,IF(A70&lt;'Données projet'!$A$218,$FB$205^A70,IF(A70='Données projet'!$A$218,'Données projet'!$B$218,FE69+FD70-FM69)))</f>
        <v>217.60000000000014</v>
      </c>
      <c r="FF70" s="18">
        <f>FE70*VLOOKUP('Données projet'!$B$16,Paramètres!$A$1:$I$89,3,0)*VLOOKUP('Données projet'!$B$16,Paramètres!$A$1:$I$89,5,0)</f>
        <v>176.51712000000012</v>
      </c>
      <c r="FG70" s="14">
        <f t="shared" si="101"/>
        <v>44.546430573680709</v>
      </c>
      <c r="FH70" s="22">
        <f t="shared" si="76"/>
        <v>385.01901724916075</v>
      </c>
      <c r="FI70" s="60">
        <f t="shared" si="77"/>
        <v>649.97308455737766</v>
      </c>
      <c r="FJ70" s="60">
        <f ca="1">AVERAGE(OFFSET($FI$3,0,0,'Données projet'!$E$16+1,1))-AVERAGE(OFFSET($H$3,0,0,'Données projet'!$E$16+1,1))</f>
        <v>308.58270639204238</v>
      </c>
      <c r="FK70" s="60">
        <f t="shared" si="102"/>
        <v>258.90832875500325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6.5</v>
      </c>
      <c r="FZ70" s="13">
        <f>IF('Données projet'!$A$244&gt;35,FZ69+FY70-GH69,IF(A70&lt;'Données projet'!$A$244,$FW$205^A70,IF(A70='Données projet'!$A$244,'Données projet'!$B$244,FZ69+FY70-GH69)))</f>
        <v>221.00000000000006</v>
      </c>
      <c r="GA70" s="18">
        <f>FZ70*VLOOKUP('Données projet'!$B$17,Paramètres!$A$1:$I$89,3,0)*VLOOKUP('Données projet'!$B$17,Paramètres!$A$1:$I$89,5,0)</f>
        <v>213.75120000000007</v>
      </c>
      <c r="GB70" s="14">
        <f t="shared" si="103"/>
        <v>52.75447068116425</v>
      </c>
      <c r="GC70" s="22">
        <f t="shared" si="79"/>
        <v>464.16404310302778</v>
      </c>
      <c r="GD70" s="60">
        <f t="shared" si="80"/>
        <v>729.11811041124474</v>
      </c>
      <c r="GE70" s="60">
        <f ca="1">AVERAGE(OFFSET($GD$3,0,0,'Données projet'!$E$17+1,1))-AVERAGE(OFFSET($H$3,0,0,'Données projet'!$E$17+1,1))</f>
        <v>495.77880062178235</v>
      </c>
      <c r="GF70" s="60">
        <f t="shared" si="104"/>
        <v>263.55891737750301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9.6999999999999993</v>
      </c>
      <c r="N71" s="14">
        <f>IF('Données projet'!$A$36&gt;35,N70+M71-V70,IF(A71&lt;'Données projet'!$A$36,$K$205^A71,IF(A71='Données projet'!$A$36,'Données projet'!$B$36,N70+M71-V70)))</f>
        <v>295.10000000000014</v>
      </c>
      <c r="O71" s="14">
        <f>N71*VLOOKUP('Données projet'!$B$9,Paramètres!$A$1:$I$89,3,0)*VLOOKUP('Données projet'!$B$9,Paramètres!$A$1:$I$89,5,0)</f>
        <v>253.19580000000016</v>
      </c>
      <c r="P71" s="14">
        <f t="shared" si="87"/>
        <v>61.269766597981317</v>
      </c>
      <c r="Q71" s="22">
        <f t="shared" si="54"/>
        <v>547.69419515815105</v>
      </c>
      <c r="R71" s="60">
        <f t="shared" si="55"/>
        <v>813.14057928536988</v>
      </c>
      <c r="S71" s="60">
        <f ca="1">AVERAGE(OFFSET($R$3,0,0,'Données projet'!$E$9+1,1))-AVERAGE(OFFSET($H$3,0,0,'Données projet'!$E$9+1,1))</f>
        <v>598.73855311281966</v>
      </c>
      <c r="T71" s="60">
        <f t="shared" si="88"/>
        <v>275.88160405468193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6.5</v>
      </c>
      <c r="AI71" s="14">
        <f>IF('Données projet'!$A$62&gt;35,AI70+AH71-AQ70,IF(A71&lt;'Données projet'!$A$62,$AF$205^A71,IF(A71='Données projet'!$A$62,'Données projet'!$B$62,AI70+AH71-AQ70)))</f>
        <v>227.50000000000006</v>
      </c>
      <c r="AJ71" s="14">
        <f>AI71*VLOOKUP('Données projet'!$B$10,Paramètres!$A$1:$I$89,3,0)*VLOOKUP('Données projet'!$B$10,Paramètres!$A$1:$I$89,5,0)</f>
        <v>230.68500000000006</v>
      </c>
      <c r="AK71" s="14">
        <f t="shared" si="89"/>
        <v>56.430768901715489</v>
      </c>
      <c r="AL71" s="22">
        <f t="shared" si="58"/>
        <v>500.05996417048794</v>
      </c>
      <c r="AM71" s="60">
        <f t="shared" si="59"/>
        <v>765.50634829770684</v>
      </c>
      <c r="AN71" s="60">
        <f ca="1">AVERAGE(OFFSET($AM$3,0,0,'Données projet'!$E$10+1,1))-AVERAGE(OFFSET($H$3,0,0,'Données projet'!$E$10+1,1))</f>
        <v>515.72324585399997</v>
      </c>
      <c r="AO71" s="60">
        <f t="shared" si="90"/>
        <v>273.35778700650792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211.69324800000007</v>
      </c>
      <c r="BF71" s="14">
        <f t="shared" si="91"/>
        <v>52.305429867997155</v>
      </c>
      <c r="BG71" s="22">
        <f t="shared" si="61"/>
        <v>459.79769728676183</v>
      </c>
      <c r="BH71" s="60">
        <f t="shared" si="62"/>
        <v>725.24408141398067</v>
      </c>
      <c r="BI71" s="60">
        <f ca="1">AVERAGE(OFFSET($BH$3,0,0,'Données projet'!$E$11+1,1))-AVERAGE(OFFSET($H$3,0,0,'Données projet'!$E$11+1,1))</f>
        <v>336.25341821407534</v>
      </c>
      <c r="BJ71" s="60">
        <f t="shared" si="92"/>
        <v>360.3246221345039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1.813246406969123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1.813246406969123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4.7435897435897401</v>
      </c>
      <c r="BY71" s="13">
        <f>IF('Données projet'!$A$114&gt;35,BY70+BX71-CG70,IF(A71&lt;'Données projet'!$A$114,$BV$205^A71,IF(A71='Données projet'!$A$114,'Données projet'!$B$114,BY70+BX71-CG70)))</f>
        <v>230.25641025641019</v>
      </c>
      <c r="BZ71" s="14">
        <f>BY71*VLOOKUP('Données projet'!$B$12,Paramètres!$A$1:$I$89,3,0)*VLOOKUP('Données projet'!$B$12,Paramètres!$A$1:$I$89,5,0)</f>
        <v>219.11199999999994</v>
      </c>
      <c r="CA71" s="14">
        <f t="shared" si="93"/>
        <v>53.921837900358042</v>
      </c>
      <c r="CB71" s="22">
        <f t="shared" si="64"/>
        <v>475.53393434312346</v>
      </c>
      <c r="CC71" s="60">
        <f t="shared" si="65"/>
        <v>740.98031847034235</v>
      </c>
      <c r="CD71" s="60">
        <f ca="1">AVERAGE(OFFSET($CC$3,0,0,'Données projet'!$E$12+1,1))-AVERAGE(OFFSET($H$3,0,0,'Données projet'!$E$12+1,1))</f>
        <v>438.41611139377829</v>
      </c>
      <c r="CE71" s="60">
        <f t="shared" si="94"/>
        <v>345.17417065809605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4.5000000000000115</v>
      </c>
      <c r="CT71" s="13">
        <f>IF('Données projet'!$A$140&gt;35,CT70+CS71-DB70,IF(A71&lt;'Données projet'!$A$140,$CQ$205^A71,IF(A71='Données projet'!$A$140,'Données projet'!$B$140,CT70+CS71-DB70)))</f>
        <v>306.09999999999991</v>
      </c>
      <c r="CU71" s="18">
        <f>CT71*VLOOKUP('Données projet'!$B$13,Paramètres!$A$1:$I$89,3,0)*VLOOKUP('Données projet'!$B$13,Paramètres!$A$1:$I$89,5,0)</f>
        <v>243.53315999999995</v>
      </c>
      <c r="CV71" s="14">
        <f t="shared" si="95"/>
        <v>59.199059295522858</v>
      </c>
      <c r="CW71" s="22">
        <f t="shared" si="67"/>
        <v>527.2586152730355</v>
      </c>
      <c r="CX71" s="60">
        <f t="shared" si="68"/>
        <v>792.70499940025434</v>
      </c>
      <c r="CY71" s="60">
        <f ca="1">AVERAGE(OFFSET($CX$3,0,0,'Données projet'!$E$13+1,1))-AVERAGE(OFFSET($H$3,0,0,'Données projet'!$E$13+1,1))</f>
        <v>395.27840703467933</v>
      </c>
      <c r="CZ71" s="60">
        <f t="shared" si="96"/>
        <v>364.24192380053944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</v>
      </c>
      <c r="DO71" s="13">
        <f>IF('Données projet'!$A$166&gt;35,DO70+DN71-DW70,IF(A71&lt;'Données projet'!$A$166,$DL$205^A71,IF(A71='Données projet'!$A$166,'Données projet'!$B$166,DO70+DN71-DW70)))</f>
        <v>267.99999999999977</v>
      </c>
      <c r="DP71" s="18">
        <f>DO71*VLOOKUP('Données projet'!$B$14,Paramètres!$A$1:$I$89,3,0)*VLOOKUP('Données projet'!$B$14,Paramètres!$A$1:$I$89,5,0)</f>
        <v>209.03999999999982</v>
      </c>
      <c r="DQ71" s="14">
        <f t="shared" si="97"/>
        <v>51.725745635299404</v>
      </c>
      <c r="DR71" s="22">
        <f t="shared" si="70"/>
        <v>454.16700698147952</v>
      </c>
      <c r="DS71" s="60">
        <f t="shared" si="71"/>
        <v>719.61339110869835</v>
      </c>
      <c r="DT71" s="60">
        <f ca="1">AVERAGE(OFFSET($DS$3,0,0,'Données projet'!$E$14+1,1))-AVERAGE(OFFSET($H$3,0,0,'Données projet'!$E$14+1,1))</f>
        <v>308.76306523144956</v>
      </c>
      <c r="DU71" s="60">
        <f t="shared" si="98"/>
        <v>283.28099819802776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5.1282051282051269</v>
      </c>
      <c r="EJ71" s="13">
        <f>IF('Données projet'!$A$192&gt;35,EJ70+EI71-ER70,IF(A71&lt;'Données projet'!$A$192,$EG$205^A71,IF(A71='Données projet'!$A$192,'Données projet'!$B$192,EJ70+EI71-ER70)))</f>
        <v>281.41025641025635</v>
      </c>
      <c r="EK71" s="18">
        <f>EJ71*VLOOKUP('Données projet'!$B$15,Paramètres!$A$1:$I$89,3,0)*VLOOKUP('Données projet'!$B$15,Paramètres!$A$1:$I$89,5,0)</f>
        <v>188.76999999999998</v>
      </c>
      <c r="EL71" s="14">
        <f t="shared" si="99"/>
        <v>47.26791461063398</v>
      </c>
      <c r="EM71" s="22">
        <f t="shared" si="73"/>
        <v>411.0993679468541</v>
      </c>
      <c r="EN71" s="60">
        <f t="shared" si="74"/>
        <v>676.54575207407288</v>
      </c>
      <c r="EO71" s="60">
        <f ca="1">AVERAGE(OFFSET($EN$3,0,0,'Données projet'!$E$15+1,1))-AVERAGE(OFFSET($H$3,0,0,'Données projet'!$E$15+1,1))</f>
        <v>375.49921531693559</v>
      </c>
      <c r="EP71" s="60">
        <f t="shared" si="100"/>
        <v>306.93934681565599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4.8</v>
      </c>
      <c r="FE71" s="13">
        <f>IF('Données projet'!$A$218&gt;35,FE70+FD71-FM70,IF(A71&lt;'Données projet'!$A$218,$FB$205^A71,IF(A71='Données projet'!$A$218,'Données projet'!$B$218,FE70+FD71-FM70)))</f>
        <v>222.40000000000015</v>
      </c>
      <c r="FF71" s="18">
        <f>FE71*VLOOKUP('Données projet'!$B$16,Paramètres!$A$1:$I$89,3,0)*VLOOKUP('Données projet'!$B$16,Paramètres!$A$1:$I$89,5,0)</f>
        <v>180.41088000000013</v>
      </c>
      <c r="FG71" s="14">
        <f t="shared" si="101"/>
        <v>45.413587262495575</v>
      </c>
      <c r="FH71" s="22">
        <f t="shared" si="76"/>
        <v>393.31094714884671</v>
      </c>
      <c r="FI71" s="60">
        <f t="shared" si="77"/>
        <v>658.75733127606554</v>
      </c>
      <c r="FJ71" s="60">
        <f ca="1">AVERAGE(OFFSET($FI$3,0,0,'Données projet'!$E$16+1,1))-AVERAGE(OFFSET($H$3,0,0,'Données projet'!$E$16+1,1))</f>
        <v>308.58270639204238</v>
      </c>
      <c r="FK71" s="60">
        <f t="shared" si="102"/>
        <v>258.90832875500325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6.5</v>
      </c>
      <c r="FZ71" s="13">
        <f>IF('Données projet'!$A$244&gt;35,FZ70+FY71-GH70,IF(A71&lt;'Données projet'!$A$244,$FW$205^A71,IF(A71='Données projet'!$A$244,'Données projet'!$B$244,FZ70+FY71-GH70)))</f>
        <v>227.50000000000006</v>
      </c>
      <c r="GA71" s="18">
        <f>FZ71*VLOOKUP('Données projet'!$B$17,Paramètres!$A$1:$I$89,3,0)*VLOOKUP('Données projet'!$B$17,Paramètres!$A$1:$I$89,5,0)</f>
        <v>220.03800000000007</v>
      </c>
      <c r="GB71" s="14">
        <f t="shared" si="103"/>
        <v>54.123144749824128</v>
      </c>
      <c r="GC71" s="22">
        <f t="shared" si="79"/>
        <v>477.49732710594373</v>
      </c>
      <c r="GD71" s="60">
        <f t="shared" si="80"/>
        <v>742.9437112331625</v>
      </c>
      <c r="GE71" s="60">
        <f ca="1">AVERAGE(OFFSET($GD$3,0,0,'Données projet'!$E$17+1,1))-AVERAGE(OFFSET($H$3,0,0,'Données projet'!$E$17+1,1))</f>
        <v>495.77880062178235</v>
      </c>
      <c r="GF71" s="60">
        <f t="shared" si="104"/>
        <v>263.55891737750301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9.6999999999999993</v>
      </c>
      <c r="N72" s="14">
        <f>IF('Données projet'!$A$36&gt;35,N71+M72-V71,IF(A72&lt;'Données projet'!$A$36,$K$205^A72,IF(A72='Données projet'!$A$36,'Données projet'!$B$36,N71+M72-V71)))</f>
        <v>304.80000000000013</v>
      </c>
      <c r="O72" s="14">
        <f>N72*VLOOKUP('Données projet'!$B$9,Paramètres!$A$1:$I$89,3,0)*VLOOKUP('Données projet'!$B$9,Paramètres!$A$1:$I$89,5,0)</f>
        <v>261.5184000000001</v>
      </c>
      <c r="P72" s="14">
        <f t="shared" si="87"/>
        <v>63.04592970590366</v>
      </c>
      <c r="Q72" s="22">
        <f t="shared" si="54"/>
        <v>565.28287423778238</v>
      </c>
      <c r="R72" s="60">
        <f t="shared" si="55"/>
        <v>831.21303458784894</v>
      </c>
      <c r="S72" s="60">
        <f ca="1">AVERAGE(OFFSET($R$3,0,0,'Données projet'!$E$9+1,1))-AVERAGE(OFFSET($H$3,0,0,'Données projet'!$E$9+1,1))</f>
        <v>598.73855311281966</v>
      </c>
      <c r="T72" s="60">
        <f t="shared" si="88"/>
        <v>275.88160405468193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6.5</v>
      </c>
      <c r="AI72" s="14">
        <f>IF('Données projet'!$A$62&gt;35,AI71+AH72-AQ71,IF(A72&lt;'Données projet'!$A$62,$AF$205^A72,IF(A72='Données projet'!$A$62,'Données projet'!$B$62,AI71+AH72-AQ71)))</f>
        <v>234.00000000000006</v>
      </c>
      <c r="AJ72" s="14">
        <f>AI72*VLOOKUP('Données projet'!$B$10,Paramètres!$A$1:$I$89,3,0)*VLOOKUP('Données projet'!$B$10,Paramètres!$A$1:$I$89,5,0)</f>
        <v>237.2760000000001</v>
      </c>
      <c r="AK72" s="14">
        <f t="shared" si="89"/>
        <v>57.853059819349561</v>
      </c>
      <c r="AL72" s="22">
        <f t="shared" si="58"/>
        <v>514.01644585203405</v>
      </c>
      <c r="AM72" s="60">
        <f t="shared" si="59"/>
        <v>779.94660620210061</v>
      </c>
      <c r="AN72" s="60">
        <f ca="1">AVERAGE(OFFSET($AM$3,0,0,'Données projet'!$E$10+1,1))-AVERAGE(OFFSET($H$3,0,0,'Données projet'!$E$10+1,1))</f>
        <v>515.72324585399997</v>
      </c>
      <c r="AO72" s="60">
        <f t="shared" si="90"/>
        <v>273.35778700650792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214.68470400000007</v>
      </c>
      <c r="BF72" s="14">
        <f t="shared" si="91"/>
        <v>52.957993157151179</v>
      </c>
      <c r="BG72" s="22">
        <f t="shared" si="61"/>
        <v>466.14436421537175</v>
      </c>
      <c r="BH72" s="60">
        <f t="shared" si="62"/>
        <v>732.07452456543831</v>
      </c>
      <c r="BI72" s="60">
        <f ca="1">AVERAGE(OFFSET($BH$3,0,0,'Données projet'!$E$11+1,1))-AVERAGE(OFFSET($H$3,0,0,'Données projet'!$E$11+1,1))</f>
        <v>336.25341821407534</v>
      </c>
      <c r="BJ72" s="60">
        <f t="shared" si="92"/>
        <v>360.3246221345039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1.763663088616068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1.763663088616068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4.7435897435897401</v>
      </c>
      <c r="BY72" s="13">
        <f>IF('Données projet'!$A$114&gt;35,BY71+BX72-CG71,IF(A72&lt;'Données projet'!$A$114,$BV$205^A72,IF(A72='Données projet'!$A$114,'Données projet'!$B$114,BY71+BX72-CG71)))</f>
        <v>234.99999999999994</v>
      </c>
      <c r="BZ72" s="14">
        <f>BY72*VLOOKUP('Données projet'!$B$12,Paramètres!$A$1:$I$89,3,0)*VLOOKUP('Données projet'!$B$12,Paramètres!$A$1:$I$89,5,0)</f>
        <v>223.62599999999995</v>
      </c>
      <c r="CA72" s="14">
        <f t="shared" si="93"/>
        <v>54.902227529974944</v>
      </c>
      <c r="CB72" s="22">
        <f t="shared" si="64"/>
        <v>485.1033296147063</v>
      </c>
      <c r="CC72" s="60">
        <f t="shared" si="65"/>
        <v>751.0334899647728</v>
      </c>
      <c r="CD72" s="60">
        <f ca="1">AVERAGE(OFFSET($CC$3,0,0,'Données projet'!$E$12+1,1))-AVERAGE(OFFSET($H$3,0,0,'Données projet'!$E$12+1,1))</f>
        <v>438.41611139377829</v>
      </c>
      <c r="CE72" s="60">
        <f t="shared" si="94"/>
        <v>345.17417065809605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4.5000000000000115</v>
      </c>
      <c r="CT72" s="13">
        <f>IF('Données projet'!$A$140&gt;35,CT71+CS72-DB71,IF(A72&lt;'Données projet'!$A$140,$CQ$205^A72,IF(A72='Données projet'!$A$140,'Données projet'!$B$140,CT71+CS72-DB71)))</f>
        <v>310.59999999999991</v>
      </c>
      <c r="CU72" s="18">
        <f>CT72*VLOOKUP('Données projet'!$B$13,Paramètres!$A$1:$I$89,3,0)*VLOOKUP('Données projet'!$B$13,Paramètres!$A$1:$I$89,5,0)</f>
        <v>247.11335999999991</v>
      </c>
      <c r="CV72" s="14">
        <f t="shared" si="95"/>
        <v>59.967393156546734</v>
      </c>
      <c r="CW72" s="22">
        <f t="shared" si="67"/>
        <v>534.83231174765194</v>
      </c>
      <c r="CX72" s="60">
        <f t="shared" si="68"/>
        <v>800.7624720977185</v>
      </c>
      <c r="CY72" s="60">
        <f ca="1">AVERAGE(OFFSET($CX$3,0,0,'Données projet'!$E$13+1,1))-AVERAGE(OFFSET($H$3,0,0,'Données projet'!$E$13+1,1))</f>
        <v>395.27840703467933</v>
      </c>
      <c r="CZ72" s="60">
        <f t="shared" si="96"/>
        <v>364.24192380053944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</v>
      </c>
      <c r="DO72" s="13">
        <f>IF('Données projet'!$A$166&gt;35,DO71+DN72-DW71,IF(A72&lt;'Données projet'!$A$166,$DL$205^A72,IF(A72='Données projet'!$A$166,'Données projet'!$B$166,DO71+DN72-DW71)))</f>
        <v>273.99999999999977</v>
      </c>
      <c r="DP72" s="18">
        <f>DO72*VLOOKUP('Données projet'!$B$14,Paramètres!$A$1:$I$89,3,0)*VLOOKUP('Données projet'!$B$14,Paramètres!$A$1:$I$89,5,0)</f>
        <v>213.71999999999983</v>
      </c>
      <c r="DQ72" s="14">
        <f t="shared" si="97"/>
        <v>52.747666674989134</v>
      </c>
      <c r="DR72" s="22">
        <f t="shared" si="70"/>
        <v>464.09785279227236</v>
      </c>
      <c r="DS72" s="60">
        <f t="shared" si="71"/>
        <v>730.02801314233898</v>
      </c>
      <c r="DT72" s="60">
        <f ca="1">AVERAGE(OFFSET($DS$3,0,0,'Données projet'!$E$14+1,1))-AVERAGE(OFFSET($H$3,0,0,'Données projet'!$E$14+1,1))</f>
        <v>308.76306523144956</v>
      </c>
      <c r="DU72" s="60">
        <f t="shared" si="98"/>
        <v>283.28099819802776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5.1282051282051269</v>
      </c>
      <c r="EJ72" s="13">
        <f>IF('Données projet'!$A$192&gt;35,EJ71+EI72-ER71,IF(A72&lt;'Données projet'!$A$192,$EG$205^A72,IF(A72='Données projet'!$A$192,'Données projet'!$B$192,EJ71+EI72-ER71)))</f>
        <v>286.53846153846149</v>
      </c>
      <c r="EK72" s="18">
        <f>EJ72*VLOOKUP('Données projet'!$B$15,Paramètres!$A$1:$I$89,3,0)*VLOOKUP('Données projet'!$B$15,Paramètres!$A$1:$I$89,5,0)</f>
        <v>192.20999999999998</v>
      </c>
      <c r="EL72" s="14">
        <f t="shared" si="99"/>
        <v>48.028223134756061</v>
      </c>
      <c r="EM72" s="22">
        <f t="shared" si="73"/>
        <v>418.41490529303337</v>
      </c>
      <c r="EN72" s="60">
        <f t="shared" si="74"/>
        <v>684.34506564309993</v>
      </c>
      <c r="EO72" s="60">
        <f ca="1">AVERAGE(OFFSET($EN$3,0,0,'Données projet'!$E$15+1,1))-AVERAGE(OFFSET($H$3,0,0,'Données projet'!$E$15+1,1))</f>
        <v>375.49921531693559</v>
      </c>
      <c r="EP72" s="60">
        <f t="shared" si="100"/>
        <v>306.93934681565599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4.8</v>
      </c>
      <c r="FE72" s="13">
        <f>IF('Données projet'!$A$218&gt;35,FE71+FD72-FM71,IF(A72&lt;'Données projet'!$A$218,$FB$205^A72,IF(A72='Données projet'!$A$218,'Données projet'!$B$218,FE71+FD72-FM71)))</f>
        <v>227.20000000000016</v>
      </c>
      <c r="FF72" s="18">
        <f>FE72*VLOOKUP('Données projet'!$B$16,Paramètres!$A$1:$I$89,3,0)*VLOOKUP('Données projet'!$B$16,Paramètres!$A$1:$I$89,5,0)</f>
        <v>184.30464000000015</v>
      </c>
      <c r="FG72" s="14">
        <f t="shared" si="101"/>
        <v>46.278568009669833</v>
      </c>
      <c r="FH72" s="22">
        <f t="shared" si="76"/>
        <v>401.5990872835086</v>
      </c>
      <c r="FI72" s="60">
        <f t="shared" si="77"/>
        <v>667.5292476335751</v>
      </c>
      <c r="FJ72" s="60">
        <f ca="1">AVERAGE(OFFSET($FI$3,0,0,'Données projet'!$E$16+1,1))-AVERAGE(OFFSET($H$3,0,0,'Données projet'!$E$16+1,1))</f>
        <v>308.58270639204238</v>
      </c>
      <c r="FK72" s="60">
        <f t="shared" si="102"/>
        <v>258.90832875500325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6.5</v>
      </c>
      <c r="FZ72" s="13">
        <f>IF('Données projet'!$A$244&gt;35,FZ71+FY72-GH71,IF(A72&lt;'Données projet'!$A$244,$FW$205^A72,IF(A72='Données projet'!$A$244,'Données projet'!$B$244,FZ71+FY72-GH71)))</f>
        <v>234.00000000000006</v>
      </c>
      <c r="GA72" s="18">
        <f>FZ72*VLOOKUP('Données projet'!$B$17,Paramètres!$A$1:$I$89,3,0)*VLOOKUP('Données projet'!$B$17,Paramètres!$A$1:$I$89,5,0)</f>
        <v>226.32480000000007</v>
      </c>
      <c r="GB72" s="14">
        <f t="shared" si="103"/>
        <v>55.48727390683672</v>
      </c>
      <c r="GC72" s="22">
        <f t="shared" si="79"/>
        <v>490.82269538774068</v>
      </c>
      <c r="GD72" s="60">
        <f t="shared" si="80"/>
        <v>756.75285573780729</v>
      </c>
      <c r="GE72" s="60">
        <f ca="1">AVERAGE(OFFSET($GD$3,0,0,'Données projet'!$E$17+1,1))-AVERAGE(OFFSET($H$3,0,0,'Données projet'!$E$17+1,1))</f>
        <v>495.77880062178235</v>
      </c>
      <c r="GF72" s="60">
        <f t="shared" si="104"/>
        <v>263.55891737750301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9.6999999999999993</v>
      </c>
      <c r="N73" s="14">
        <f>IF('Données projet'!$A$36&gt;35,N72+M73-V72,IF(A73&lt;'Données projet'!$A$36,$K$205^A73,IF(A73='Données projet'!$A$36,'Données projet'!$B$36,N72+M73-V72)))</f>
        <v>314.50000000000011</v>
      </c>
      <c r="O73" s="14">
        <f>N73*VLOOKUP('Données projet'!$B$9,Paramètres!$A$1:$I$89,3,0)*VLOOKUP('Données projet'!$B$9,Paramètres!$A$1:$I$89,5,0)</f>
        <v>269.84100000000012</v>
      </c>
      <c r="P73" s="14">
        <f t="shared" si="87"/>
        <v>64.815524318181573</v>
      </c>
      <c r="Q73" s="22">
        <f t="shared" si="54"/>
        <v>582.86011318749979</v>
      </c>
      <c r="R73" s="60">
        <f t="shared" si="55"/>
        <v>849.26565732450922</v>
      </c>
      <c r="S73" s="60">
        <f ca="1">AVERAGE(OFFSET($R$3,0,0,'Données projet'!$E$9+1,1))-AVERAGE(OFFSET($H$3,0,0,'Données projet'!$E$9+1,1))</f>
        <v>598.73855311281966</v>
      </c>
      <c r="T73" s="60">
        <f t="shared" si="88"/>
        <v>275.88160405468193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6.5</v>
      </c>
      <c r="AI73" s="14">
        <f>IF('Données projet'!$A$62&gt;35,AI72+AH73-AQ72,IF(A73&lt;'Données projet'!$A$62,$AF$205^A73,IF(A73='Données projet'!$A$62,'Données projet'!$B$62,AI72+AH73-AQ72)))</f>
        <v>240.50000000000006</v>
      </c>
      <c r="AJ73" s="14">
        <f>AI73*VLOOKUP('Données projet'!$B$10,Paramètres!$A$1:$I$89,3,0)*VLOOKUP('Données projet'!$B$10,Paramètres!$A$1:$I$89,5,0)</f>
        <v>243.86700000000008</v>
      </c>
      <c r="AK73" s="14">
        <f t="shared" si="89"/>
        <v>59.270758798971528</v>
      </c>
      <c r="AL73" s="22">
        <f t="shared" si="58"/>
        <v>527.96492990820889</v>
      </c>
      <c r="AM73" s="60">
        <f t="shared" si="59"/>
        <v>794.37047404521832</v>
      </c>
      <c r="AN73" s="60">
        <f ca="1">AVERAGE(OFFSET($AM$3,0,0,'Données projet'!$E$10+1,1))-AVERAGE(OFFSET($H$3,0,0,'Données projet'!$E$10+1,1))</f>
        <v>515.72324585399997</v>
      </c>
      <c r="AO73" s="60">
        <f t="shared" si="90"/>
        <v>273.35778700650792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217.67616000000007</v>
      </c>
      <c r="BF73" s="14">
        <f t="shared" si="91"/>
        <v>53.609498850196708</v>
      </c>
      <c r="BG73" s="22">
        <f t="shared" si="61"/>
        <v>472.48918916409275</v>
      </c>
      <c r="BH73" s="60">
        <f t="shared" si="62"/>
        <v>738.89473330110218</v>
      </c>
      <c r="BI73" s="60">
        <f ca="1">AVERAGE(OFFSET($BH$3,0,0,'Données projet'!$E$11+1,1))-AVERAGE(OFFSET($H$3,0,0,'Données projet'!$E$11+1,1))</f>
        <v>336.25341821407534</v>
      </c>
      <c r="BJ73" s="60">
        <f t="shared" si="92"/>
        <v>360.3246221345039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1.7154356287108508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1.7154356287108508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239.74358974358972</v>
      </c>
      <c r="BW73" s="13">
        <f>VLOOKUP(A73,'Données projet'!$A$113:$I$133,9,0)</f>
        <v>4.7435897435897401</v>
      </c>
      <c r="BX73" s="13">
        <f t="array" ref="BX73">INDEX(BW:BW,MIN(IF(ISNUMBER(BW73:BW269),ROW(BW73:BW269),"")))</f>
        <v>4.7435897435897401</v>
      </c>
      <c r="BY73" s="13">
        <f>IF('Données projet'!$A$114&gt;35,BY72+BX73-CG72,IF(A73&lt;'Données projet'!$A$114,$BV$205^A73,IF(A73='Données projet'!$A$114,'Données projet'!$B$114,BY72+BX73-CG72)))</f>
        <v>239.74358974358969</v>
      </c>
      <c r="BZ73" s="14">
        <f>BY73*VLOOKUP('Données projet'!$B$12,Paramètres!$A$1:$I$89,3,0)*VLOOKUP('Données projet'!$B$12,Paramètres!$A$1:$I$89,5,0)</f>
        <v>228.14</v>
      </c>
      <c r="CA73" s="14">
        <f t="shared" si="93"/>
        <v>55.880316183970429</v>
      </c>
      <c r="CB73" s="22">
        <f t="shared" si="64"/>
        <v>494.66871735374849</v>
      </c>
      <c r="CC73" s="60">
        <f t="shared" si="65"/>
        <v>761.07426149075798</v>
      </c>
      <c r="CD73" s="60">
        <f ca="1">AVERAGE(OFFSET($CC$3,0,0,'Données projet'!$E$12+1,1))-AVERAGE(OFFSET($H$3,0,0,'Données projet'!$E$12+1,1))</f>
        <v>438.41611139377829</v>
      </c>
      <c r="CE73" s="60">
        <f t="shared" si="94"/>
        <v>345.17417065809605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31.410256410256409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315.10000000000002</v>
      </c>
      <c r="CR73" s="13">
        <f>VLOOKUP(A73,'Données projet'!$A$139:$I$159,9,0)</f>
        <v>4.5000000000000115</v>
      </c>
      <c r="CS73" s="13">
        <f t="array" ref="CS73">INDEX(CR:CR,MIN(IF(ISNUMBER(CR73:CR269),ROW(CR73:CR269),"")))</f>
        <v>4.5000000000000115</v>
      </c>
      <c r="CT73" s="13">
        <f>IF('Données projet'!$A$140&gt;35,CT72+CS73-DB72,IF(A73&lt;'Données projet'!$A$140,$CQ$205^A73,IF(A73='Données projet'!$A$140,'Données projet'!$B$140,CT72+CS73-DB72)))</f>
        <v>315.09999999999991</v>
      </c>
      <c r="CU73" s="18">
        <f>CT73*VLOOKUP('Données projet'!$B$13,Paramètres!$A$1:$I$89,3,0)*VLOOKUP('Données projet'!$B$13,Paramètres!$A$1:$I$89,5,0)</f>
        <v>250.69355999999996</v>
      </c>
      <c r="CV73" s="14">
        <f t="shared" si="95"/>
        <v>60.734432333118377</v>
      </c>
      <c r="CW73" s="22">
        <f t="shared" si="67"/>
        <v>542.40375331351447</v>
      </c>
      <c r="CX73" s="60">
        <f t="shared" si="68"/>
        <v>808.8092974505239</v>
      </c>
      <c r="CY73" s="60">
        <f ca="1">AVERAGE(OFFSET($CX$3,0,0,'Données projet'!$E$13+1,1))-AVERAGE(OFFSET($H$3,0,0,'Données projet'!$E$13+1,1))</f>
        <v>395.27840703467933</v>
      </c>
      <c r="CZ73" s="60">
        <f t="shared" si="96"/>
        <v>364.24192380053944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280</v>
      </c>
      <c r="DM73" s="13">
        <f>VLOOKUP(A73,'Données projet'!$A$165:$I$185,9,0)</f>
        <v>6</v>
      </c>
      <c r="DN73" s="13">
        <f t="array" ref="DN73">INDEX(DM:DM,MIN(IF(ISNUMBER(DM73:DM269),ROW(DM73:DM269),"")))</f>
        <v>6</v>
      </c>
      <c r="DO73" s="13">
        <f>IF('Données projet'!$A$166&gt;35,DO72+DN73-DW72,IF(A73&lt;'Données projet'!$A$166,$DL$205^A73,IF(A73='Données projet'!$A$166,'Données projet'!$B$166,DO72+DN73-DW72)))</f>
        <v>279.99999999999977</v>
      </c>
      <c r="DP73" s="18">
        <f>DO73*VLOOKUP('Données projet'!$B$14,Paramètres!$A$1:$I$89,3,0)*VLOOKUP('Données projet'!$B$14,Paramètres!$A$1:$I$89,5,0)</f>
        <v>218.39999999999984</v>
      </c>
      <c r="DQ73" s="14">
        <f t="shared" si="97"/>
        <v>53.766986031998471</v>
      </c>
      <c r="DR73" s="22">
        <f t="shared" si="70"/>
        <v>474.02416733906375</v>
      </c>
      <c r="DS73" s="60">
        <f t="shared" si="71"/>
        <v>740.42971147607318</v>
      </c>
      <c r="DT73" s="60">
        <f ca="1">AVERAGE(OFFSET($DS$3,0,0,'Données projet'!$E$14+1,1))-AVERAGE(OFFSET($H$3,0,0,'Données projet'!$E$14+1,1))</f>
        <v>308.76306523144956</v>
      </c>
      <c r="DU73" s="60">
        <f t="shared" si="98"/>
        <v>283.28099819802776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20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291.66666666666663</v>
      </c>
      <c r="EH73" s="13">
        <f>VLOOKUP(A73,'Données projet'!$A$191:$I$211,9,0)</f>
        <v>5.1282051282051269</v>
      </c>
      <c r="EI73" s="13">
        <f t="array" ref="EI73">INDEX(EH:EH,MIN(IF(ISNUMBER(EH73:EH269),ROW(EH73:EH269),"")))</f>
        <v>5.1282051282051269</v>
      </c>
      <c r="EJ73" s="13">
        <f>IF('Données projet'!$A$192&gt;35,EJ72+EI73-ER72,IF(A73&lt;'Données projet'!$A$192,$EG$205^A73,IF(A73='Données projet'!$A$192,'Données projet'!$B$192,EJ72+EI73-ER72)))</f>
        <v>291.66666666666663</v>
      </c>
      <c r="EK73" s="18">
        <f>EJ73*VLOOKUP('Données projet'!$B$15,Paramètres!$A$1:$I$89,3,0)*VLOOKUP('Données projet'!$B$15,Paramètres!$A$1:$I$89,5,0)</f>
        <v>195.64999999999998</v>
      </c>
      <c r="EL73" s="14">
        <f t="shared" si="99"/>
        <v>48.786949327182938</v>
      </c>
      <c r="EM73" s="22">
        <f t="shared" si="73"/>
        <v>425.72768674484354</v>
      </c>
      <c r="EN73" s="60">
        <f t="shared" si="74"/>
        <v>692.13323088185302</v>
      </c>
      <c r="EO73" s="60">
        <f ca="1">AVERAGE(OFFSET($EN$3,0,0,'Données projet'!$E$15+1,1))-AVERAGE(OFFSET($H$3,0,0,'Données projet'!$E$15+1,1))</f>
        <v>375.49921531693559</v>
      </c>
      <c r="EP73" s="60">
        <f t="shared" si="100"/>
        <v>306.93934681565599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30.128205128205128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232</v>
      </c>
      <c r="FC73" s="13">
        <f>VLOOKUP(A73,'Données projet'!$A$217:$I$237,9,0)</f>
        <v>4.8</v>
      </c>
      <c r="FD73" s="13">
        <f t="array" ref="FD73">INDEX(FC:FC,MIN(IF(ISNUMBER(FC73:FC269),ROW(FC73:FC269),"")))</f>
        <v>4.8</v>
      </c>
      <c r="FE73" s="13">
        <f>IF('Données projet'!$A$218&gt;35,FE72+FD73-FM72,IF(A73&lt;'Données projet'!$A$218,$FB$205^A73,IF(A73='Données projet'!$A$218,'Données projet'!$B$218,FE72+FD73-FM72)))</f>
        <v>232.00000000000017</v>
      </c>
      <c r="FF73" s="18">
        <f>FE73*VLOOKUP('Données projet'!$B$16,Paramètres!$A$1:$I$89,3,0)*VLOOKUP('Données projet'!$B$16,Paramètres!$A$1:$I$89,5,0)</f>
        <v>188.19840000000013</v>
      </c>
      <c r="FG73" s="14">
        <f t="shared" si="101"/>
        <v>47.141424081428056</v>
      </c>
      <c r="FH73" s="22">
        <f t="shared" si="76"/>
        <v>409.88352694182072</v>
      </c>
      <c r="FI73" s="60">
        <f t="shared" si="77"/>
        <v>676.28907107883015</v>
      </c>
      <c r="FJ73" s="60">
        <f ca="1">AVERAGE(OFFSET($FI$3,0,0,'Données projet'!$E$16+1,1))-AVERAGE(OFFSET($H$3,0,0,'Données projet'!$E$16+1,1))</f>
        <v>308.58270639204238</v>
      </c>
      <c r="FK73" s="60">
        <f t="shared" si="102"/>
        <v>258.90832875500325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28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6.5</v>
      </c>
      <c r="FZ73" s="13">
        <f>IF('Données projet'!$A$244&gt;35,FZ72+FY73-GH72,IF(A73&lt;'Données projet'!$A$244,$FW$205^A73,IF(A73='Données projet'!$A$244,'Données projet'!$B$244,FZ72+FY73-GH72)))</f>
        <v>240.50000000000006</v>
      </c>
      <c r="GA73" s="18">
        <f>FZ73*VLOOKUP('Données projet'!$B$17,Paramètres!$A$1:$I$89,3,0)*VLOOKUP('Données projet'!$B$17,Paramètres!$A$1:$I$89,5,0)</f>
        <v>232.61160000000007</v>
      </c>
      <c r="GB73" s="14">
        <f t="shared" si="103"/>
        <v>56.846998904016843</v>
      </c>
      <c r="GC73" s="22">
        <f t="shared" si="79"/>
        <v>504.14039309116282</v>
      </c>
      <c r="GD73" s="60">
        <f t="shared" si="80"/>
        <v>770.54593722817231</v>
      </c>
      <c r="GE73" s="60">
        <f ca="1">AVERAGE(OFFSET($GD$3,0,0,'Données projet'!$E$17+1,1))-AVERAGE(OFFSET($H$3,0,0,'Données projet'!$E$17+1,1))</f>
        <v>495.77880062178235</v>
      </c>
      <c r="GF73" s="60">
        <f t="shared" si="104"/>
        <v>263.55891737750301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9.6999999999999993</v>
      </c>
      <c r="N74" s="14">
        <f>IF('Données projet'!$A$36&gt;35,N73+M74-V73,IF(A74&lt;'Données projet'!$A$36,$K$205^A74,IF(A74='Données projet'!$A$36,'Données projet'!$B$36,N73+M74-V73)))</f>
        <v>324.2000000000001</v>
      </c>
      <c r="O74" s="14">
        <f>N74*VLOOKUP('Données projet'!$B$9,Paramètres!$A$1:$I$89,3,0)*VLOOKUP('Données projet'!$B$9,Paramètres!$A$1:$I$89,5,0)</f>
        <v>278.16360000000009</v>
      </c>
      <c r="P74" s="14">
        <f t="shared" si="87"/>
        <v>66.578776272906126</v>
      </c>
      <c r="Q74" s="22">
        <f t="shared" si="54"/>
        <v>600.42630534197826</v>
      </c>
      <c r="R74" s="60">
        <f t="shared" si="55"/>
        <v>867.29898642002627</v>
      </c>
      <c r="S74" s="60">
        <f ca="1">AVERAGE(OFFSET($R$3,0,0,'Données projet'!$E$9+1,1))-AVERAGE(OFFSET($H$3,0,0,'Données projet'!$E$9+1,1))</f>
        <v>598.73855311281966</v>
      </c>
      <c r="T74" s="60">
        <f t="shared" si="88"/>
        <v>275.88160405468193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6.5</v>
      </c>
      <c r="AI74" s="14">
        <f>IF('Données projet'!$A$62&gt;35,AI73+AH74-AQ73,IF(A74&lt;'Données projet'!$A$62,$AF$205^A74,IF(A74='Données projet'!$A$62,'Données projet'!$B$62,AI73+AH74-AQ73)))</f>
        <v>247.00000000000006</v>
      </c>
      <c r="AJ74" s="14">
        <f>AI74*VLOOKUP('Données projet'!$B$10,Paramètres!$A$1:$I$89,3,0)*VLOOKUP('Données projet'!$B$10,Paramètres!$A$1:$I$89,5,0)</f>
        <v>250.45800000000008</v>
      </c>
      <c r="AK74" s="14">
        <f t="shared" si="89"/>
        <v>60.684004209403788</v>
      </c>
      <c r="AL74" s="22">
        <f t="shared" si="58"/>
        <v>541.90565733137839</v>
      </c>
      <c r="AM74" s="60">
        <f t="shared" si="59"/>
        <v>808.7783384094264</v>
      </c>
      <c r="AN74" s="60">
        <f ca="1">AVERAGE(OFFSET($AM$3,0,0,'Données projet'!$E$10+1,1))-AVERAGE(OFFSET($H$3,0,0,'Données projet'!$E$10+1,1))</f>
        <v>515.72324585399997</v>
      </c>
      <c r="AO74" s="60">
        <f t="shared" si="90"/>
        <v>273.35778700650792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203.75316000000012</v>
      </c>
      <c r="BF74" s="14">
        <f t="shared" si="91"/>
        <v>50.568104070523368</v>
      </c>
      <c r="BG74" s="22">
        <f t="shared" si="61"/>
        <v>442.94286825616172</v>
      </c>
      <c r="BH74" s="60">
        <f t="shared" si="62"/>
        <v>709.81554933420966</v>
      </c>
      <c r="BI74" s="60">
        <f ca="1">AVERAGE(OFFSET($BH$3,0,0,'Données projet'!$E$11+1,1))-AVERAGE(OFFSET($H$3,0,0,'Données projet'!$E$11+1,1))</f>
        <v>336.25341821407534</v>
      </c>
      <c r="BJ74" s="60">
        <f t="shared" si="92"/>
        <v>360.3246221345039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1.6685269512329135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1.6685269512329135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4.4871794871794917</v>
      </c>
      <c r="BY74" s="13">
        <f>IF('Données projet'!$A$114&gt;35,BY73+BX74-CG73,IF(A74&lt;'Données projet'!$A$114,$BV$205^A74,IF(A74='Données projet'!$A$114,'Données projet'!$B$114,BY73+BX74-CG73)))</f>
        <v>212.82051282051279</v>
      </c>
      <c r="BZ74" s="14">
        <f>BY74*VLOOKUP('Données projet'!$B$12,Paramètres!$A$1:$I$89,3,0)*VLOOKUP('Données projet'!$B$12,Paramètres!$A$1:$I$89,5,0)</f>
        <v>202.51999999999995</v>
      </c>
      <c r="CA74" s="14">
        <f t="shared" si="93"/>
        <v>50.297583217172736</v>
      </c>
      <c r="CB74" s="22">
        <f t="shared" si="64"/>
        <v>440.32395743657571</v>
      </c>
      <c r="CC74" s="60">
        <f t="shared" si="65"/>
        <v>707.1966385146236</v>
      </c>
      <c r="CD74" s="60">
        <f ca="1">AVERAGE(OFFSET($CC$3,0,0,'Données projet'!$E$12+1,1))-AVERAGE(OFFSET($H$3,0,0,'Données projet'!$E$12+1,1))</f>
        <v>438.41611139377829</v>
      </c>
      <c r="CE74" s="60">
        <f t="shared" si="94"/>
        <v>345.17417065809605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4.1799999999999953</v>
      </c>
      <c r="CT74" s="13">
        <f>IF('Données projet'!$A$140&gt;35,CT73+CS74-DB73,IF(A74&lt;'Données projet'!$A$140,$CQ$205^A74,IF(A74='Données projet'!$A$140,'Données projet'!$B$140,CT73+CS74-DB73)))</f>
        <v>319.27999999999992</v>
      </c>
      <c r="CU74" s="18">
        <f>CT74*VLOOKUP('Données projet'!$B$13,Paramètres!$A$1:$I$89,3,0)*VLOOKUP('Données projet'!$B$13,Paramètres!$A$1:$I$89,5,0)</f>
        <v>254.01916799999995</v>
      </c>
      <c r="CV74" s="14">
        <f t="shared" si="95"/>
        <v>61.445784693082047</v>
      </c>
      <c r="CW74" s="22">
        <f t="shared" si="67"/>
        <v>549.43479260711786</v>
      </c>
      <c r="CX74" s="60">
        <f t="shared" si="68"/>
        <v>816.30747368516586</v>
      </c>
      <c r="CY74" s="60">
        <f ca="1">AVERAGE(OFFSET($CX$3,0,0,'Données projet'!$E$13+1,1))-AVERAGE(OFFSET($H$3,0,0,'Données projet'!$E$13+1,1))</f>
        <v>395.27840703467933</v>
      </c>
      <c r="CZ74" s="60">
        <f t="shared" si="96"/>
        <v>364.24192380053944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5.2</v>
      </c>
      <c r="DO74" s="13">
        <f>IF('Données projet'!$A$166&gt;35,DO73+DN74-DW73,IF(A74&lt;'Données projet'!$A$166,$DL$205^A74,IF(A74='Données projet'!$A$166,'Données projet'!$B$166,DO73+DN74-DW73)))</f>
        <v>265.19999999999976</v>
      </c>
      <c r="DP74" s="18">
        <f>DO74*VLOOKUP('Données projet'!$B$14,Paramètres!$A$1:$I$89,3,0)*VLOOKUP('Données projet'!$B$14,Paramètres!$A$1:$I$89,5,0)</f>
        <v>206.85599999999982</v>
      </c>
      <c r="DQ74" s="14">
        <f t="shared" si="97"/>
        <v>51.247940588293027</v>
      </c>
      <c r="DR74" s="22">
        <f t="shared" si="70"/>
        <v>449.53102985794334</v>
      </c>
      <c r="DS74" s="60">
        <f t="shared" si="71"/>
        <v>716.40371093599128</v>
      </c>
      <c r="DT74" s="60">
        <f ca="1">AVERAGE(OFFSET($DS$3,0,0,'Données projet'!$E$14+1,1))-AVERAGE(OFFSET($H$3,0,0,'Données projet'!$E$14+1,1))</f>
        <v>308.76306523144956</v>
      </c>
      <c r="DU74" s="60">
        <f t="shared" si="98"/>
        <v>283.28099819802776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4.8717948717948847</v>
      </c>
      <c r="EJ74" s="13">
        <f>IF('Données projet'!$A$192&gt;35,EJ73+EI74-ER73,IF(A74&lt;'Données projet'!$A$192,$EG$205^A74,IF(A74='Données projet'!$A$192,'Données projet'!$B$192,EJ73+EI74-ER73)))</f>
        <v>266.41025641025635</v>
      </c>
      <c r="EK74" s="18">
        <f>EJ74*VLOOKUP('Données projet'!$B$15,Paramètres!$A$1:$I$89,3,0)*VLOOKUP('Données projet'!$B$15,Paramètres!$A$1:$I$89,5,0)</f>
        <v>178.70799999999997</v>
      </c>
      <c r="EL74" s="14">
        <f t="shared" si="99"/>
        <v>45.034619568593946</v>
      </c>
      <c r="EM74" s="22">
        <f t="shared" si="73"/>
        <v>389.68506241530105</v>
      </c>
      <c r="EN74" s="60">
        <f t="shared" si="74"/>
        <v>656.55774349334899</v>
      </c>
      <c r="EO74" s="60">
        <f ca="1">AVERAGE(OFFSET($EN$3,0,0,'Données projet'!$E$15+1,1))-AVERAGE(OFFSET($H$3,0,0,'Données projet'!$E$15+1,1))</f>
        <v>375.49921531693559</v>
      </c>
      <c r="EP74" s="60">
        <f t="shared" si="100"/>
        <v>306.93934681565599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4.5999999999999996</v>
      </c>
      <c r="FE74" s="13">
        <f>IF('Données projet'!$A$218&gt;35,FE73+FD74-FM73,IF(A74&lt;'Données projet'!$A$218,$FB$205^A74,IF(A74='Données projet'!$A$218,'Données projet'!$B$218,FE73+FD74-FM73)))</f>
        <v>208.60000000000016</v>
      </c>
      <c r="FF74" s="18">
        <f>FE74*VLOOKUP('Données projet'!$B$16,Paramètres!$A$1:$I$89,3,0)*VLOOKUP('Données projet'!$B$16,Paramètres!$A$1:$I$89,5,0)</f>
        <v>169.21632000000014</v>
      </c>
      <c r="FG74" s="14">
        <f t="shared" si="101"/>
        <v>42.91445816325745</v>
      </c>
      <c r="FH74" s="22">
        <f t="shared" si="76"/>
        <v>369.46110530100697</v>
      </c>
      <c r="FI74" s="60">
        <f t="shared" si="77"/>
        <v>636.33378637905491</v>
      </c>
      <c r="FJ74" s="60">
        <f ca="1">AVERAGE(OFFSET($FI$3,0,0,'Données projet'!$E$16+1,1))-AVERAGE(OFFSET($H$3,0,0,'Données projet'!$E$16+1,1))</f>
        <v>308.58270639204238</v>
      </c>
      <c r="FK74" s="60">
        <f t="shared" si="102"/>
        <v>258.90832875500325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6.5</v>
      </c>
      <c r="FZ74" s="13">
        <f>IF('Données projet'!$A$244&gt;35,FZ73+FY74-GH73,IF(A74&lt;'Données projet'!$A$244,$FW$205^A74,IF(A74='Données projet'!$A$244,'Données projet'!$B$244,FZ73+FY74-GH73)))</f>
        <v>247.00000000000006</v>
      </c>
      <c r="GA74" s="18">
        <f>FZ74*VLOOKUP('Données projet'!$B$17,Paramètres!$A$1:$I$89,3,0)*VLOOKUP('Données projet'!$B$17,Paramètres!$A$1:$I$89,5,0)</f>
        <v>238.89840000000007</v>
      </c>
      <c r="GB74" s="14">
        <f t="shared" si="103"/>
        <v>58.202452451868908</v>
      </c>
      <c r="GC74" s="22">
        <f t="shared" si="79"/>
        <v>517.45065135367167</v>
      </c>
      <c r="GD74" s="60">
        <f t="shared" si="80"/>
        <v>784.32333243171956</v>
      </c>
      <c r="GE74" s="60">
        <f ca="1">AVERAGE(OFFSET($GD$3,0,0,'Données projet'!$E$17+1,1))-AVERAGE(OFFSET($H$3,0,0,'Données projet'!$E$17+1,1))</f>
        <v>495.77880062178235</v>
      </c>
      <c r="GF74" s="60">
        <f t="shared" si="104"/>
        <v>263.55891737750301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9.6999999999999993</v>
      </c>
      <c r="N75" s="14">
        <f>IF('Données projet'!$A$36&gt;35,N74+M75-V74,IF(A75&lt;'Données projet'!$A$36,$K$205^A75,IF(A75='Données projet'!$A$36,'Données projet'!$B$36,N74+M75-V74)))</f>
        <v>333.90000000000009</v>
      </c>
      <c r="O75" s="14">
        <f>N75*VLOOKUP('Données projet'!$B$9,Paramètres!$A$1:$I$89,3,0)*VLOOKUP('Données projet'!$B$9,Paramètres!$A$1:$I$89,5,0)</f>
        <v>286.48620000000011</v>
      </c>
      <c r="P75" s="14">
        <f t="shared" si="87"/>
        <v>68.33589712600461</v>
      </c>
      <c r="Q75" s="22">
        <f t="shared" si="54"/>
        <v>617.98181916112492</v>
      </c>
      <c r="R75" s="60">
        <f t="shared" si="55"/>
        <v>885.31353339864609</v>
      </c>
      <c r="S75" s="60">
        <f ca="1">AVERAGE(OFFSET($R$3,0,0,'Données projet'!$E$9+1,1))-AVERAGE(OFFSET($H$3,0,0,'Données projet'!$E$9+1,1))</f>
        <v>598.73855311281966</v>
      </c>
      <c r="T75" s="60">
        <f t="shared" si="88"/>
        <v>275.88160405468193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6.5</v>
      </c>
      <c r="AI75" s="14">
        <f>IF('Données projet'!$A$62&gt;35,AI74+AH75-AQ74,IF(A75&lt;'Données projet'!$A$62,$AF$205^A75,IF(A75='Données projet'!$A$62,'Données projet'!$B$62,AI74+AH75-AQ74)))</f>
        <v>253.50000000000006</v>
      </c>
      <c r="AJ75" s="14">
        <f>AI75*VLOOKUP('Données projet'!$B$10,Paramètres!$A$1:$I$89,3,0)*VLOOKUP('Données projet'!$B$10,Paramètres!$A$1:$I$89,5,0)</f>
        <v>257.04900000000004</v>
      </c>
      <c r="AK75" s="14">
        <f t="shared" si="89"/>
        <v>62.092926722162559</v>
      </c>
      <c r="AL75" s="22">
        <f t="shared" si="58"/>
        <v>555.83885570776647</v>
      </c>
      <c r="AM75" s="60">
        <f t="shared" si="59"/>
        <v>823.17056994528753</v>
      </c>
      <c r="AN75" s="60">
        <f ca="1">AVERAGE(OFFSET($AM$3,0,0,'Données projet'!$E$10+1,1))-AVERAGE(OFFSET($H$3,0,0,'Données projet'!$E$10+1,1))</f>
        <v>515.72324585399997</v>
      </c>
      <c r="AO75" s="60">
        <f t="shared" si="90"/>
        <v>273.35778700650792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206.45820000000015</v>
      </c>
      <c r="BF75" s="14">
        <f t="shared" si="91"/>
        <v>51.160848757309601</v>
      </c>
      <c r="BG75" s="22">
        <f t="shared" si="61"/>
        <v>448.68650991898113</v>
      </c>
      <c r="BH75" s="60">
        <f t="shared" si="62"/>
        <v>716.01822415650224</v>
      </c>
      <c r="BI75" s="60">
        <f ca="1">AVERAGE(OFFSET($BH$3,0,0,'Données projet'!$E$11+1,1))-AVERAGE(OFFSET($H$3,0,0,'Données projet'!$E$11+1,1))</f>
        <v>336.25341821407534</v>
      </c>
      <c r="BJ75" s="60">
        <f t="shared" si="92"/>
        <v>360.3246221345039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1.6229009940074306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1.6229009940074306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4.4871794871794917</v>
      </c>
      <c r="BY75" s="13">
        <f>IF('Données projet'!$A$114&gt;35,BY74+BX75-CG74,IF(A75&lt;'Données projet'!$A$114,$BV$205^A75,IF(A75='Données projet'!$A$114,'Données projet'!$B$114,BY74+BX75-CG74)))</f>
        <v>217.30769230769229</v>
      </c>
      <c r="BZ75" s="14">
        <f>BY75*VLOOKUP('Données projet'!$B$12,Paramètres!$A$1:$I$89,3,0)*VLOOKUP('Données projet'!$B$12,Paramètres!$A$1:$I$89,5,0)</f>
        <v>206.79</v>
      </c>
      <c r="CA75" s="14">
        <f t="shared" si="93"/>
        <v>51.233492313143536</v>
      </c>
      <c r="CB75" s="22">
        <f t="shared" si="64"/>
        <v>449.390915778725</v>
      </c>
      <c r="CC75" s="60">
        <f t="shared" si="65"/>
        <v>716.72263001624606</v>
      </c>
      <c r="CD75" s="60">
        <f ca="1">AVERAGE(OFFSET($CC$3,0,0,'Données projet'!$E$12+1,1))-AVERAGE(OFFSET($H$3,0,0,'Données projet'!$E$12+1,1))</f>
        <v>438.41611139377829</v>
      </c>
      <c r="CE75" s="60">
        <f t="shared" si="94"/>
        <v>345.17417065809605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4.1799999999999953</v>
      </c>
      <c r="CT75" s="13">
        <f>IF('Données projet'!$A$140&gt;35,CT74+CS75-DB74,IF(A75&lt;'Données projet'!$A$140,$CQ$205^A75,IF(A75='Données projet'!$A$140,'Données projet'!$B$140,CT74+CS75-DB74)))</f>
        <v>323.45999999999992</v>
      </c>
      <c r="CU75" s="18">
        <f>CT75*VLOOKUP('Données projet'!$B$13,Paramètres!$A$1:$I$89,3,0)*VLOOKUP('Données projet'!$B$13,Paramètres!$A$1:$I$89,5,0)</f>
        <v>257.34477599999997</v>
      </c>
      <c r="CV75" s="14">
        <f t="shared" si="95"/>
        <v>62.15605381333242</v>
      </c>
      <c r="CW75" s="22">
        <f t="shared" si="67"/>
        <v>556.46394525822063</v>
      </c>
      <c r="CX75" s="60">
        <f t="shared" si="68"/>
        <v>823.7956594957418</v>
      </c>
      <c r="CY75" s="60">
        <f ca="1">AVERAGE(OFFSET($CX$3,0,0,'Données projet'!$E$13+1,1))-AVERAGE(OFFSET($H$3,0,0,'Données projet'!$E$13+1,1))</f>
        <v>395.27840703467933</v>
      </c>
      <c r="CZ75" s="60">
        <f t="shared" si="96"/>
        <v>364.24192380053944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5.2</v>
      </c>
      <c r="DO75" s="13">
        <f>IF('Données projet'!$A$166&gt;35,DO74+DN75-DW74,IF(A75&lt;'Données projet'!$A$166,$DL$205^A75,IF(A75='Données projet'!$A$166,'Données projet'!$B$166,DO74+DN75-DW74)))</f>
        <v>270.39999999999975</v>
      </c>
      <c r="DP75" s="18">
        <f>DO75*VLOOKUP('Données projet'!$B$14,Paramètres!$A$1:$I$89,3,0)*VLOOKUP('Données projet'!$B$14,Paramètres!$A$1:$I$89,5,0)</f>
        <v>210.91199999999981</v>
      </c>
      <c r="DQ75" s="14">
        <f t="shared" si="97"/>
        <v>52.134830352456738</v>
      </c>
      <c r="DR75" s="22">
        <f t="shared" si="70"/>
        <v>458.13989619719513</v>
      </c>
      <c r="DS75" s="60">
        <f t="shared" si="71"/>
        <v>725.47161043471624</v>
      </c>
      <c r="DT75" s="60">
        <f ca="1">AVERAGE(OFFSET($DS$3,0,0,'Données projet'!$E$14+1,1))-AVERAGE(OFFSET($H$3,0,0,'Données projet'!$E$14+1,1))</f>
        <v>308.76306523144956</v>
      </c>
      <c r="DU75" s="60">
        <f t="shared" si="98"/>
        <v>283.28099819802776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4.8717948717948847</v>
      </c>
      <c r="EJ75" s="13">
        <f>IF('Données projet'!$A$192&gt;35,EJ74+EI75-ER74,IF(A75&lt;'Données projet'!$A$192,$EG$205^A75,IF(A75='Données projet'!$A$192,'Données projet'!$B$192,EJ74+EI75-ER74)))</f>
        <v>271.28205128205121</v>
      </c>
      <c r="EK75" s="18">
        <f>EJ75*VLOOKUP('Données projet'!$B$15,Paramètres!$A$1:$I$89,3,0)*VLOOKUP('Données projet'!$B$15,Paramètres!$A$1:$I$89,5,0)</f>
        <v>181.97599999999997</v>
      </c>
      <c r="EL75" s="14">
        <f t="shared" si="99"/>
        <v>45.761530023303237</v>
      </c>
      <c r="EM75" s="22">
        <f t="shared" si="73"/>
        <v>396.64286479058637</v>
      </c>
      <c r="EN75" s="60">
        <f t="shared" si="74"/>
        <v>663.97457902810743</v>
      </c>
      <c r="EO75" s="60">
        <f ca="1">AVERAGE(OFFSET($EN$3,0,0,'Données projet'!$E$15+1,1))-AVERAGE(OFFSET($H$3,0,0,'Données projet'!$E$15+1,1))</f>
        <v>375.49921531693559</v>
      </c>
      <c r="EP75" s="60">
        <f t="shared" si="100"/>
        <v>306.93934681565599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4.5999999999999996</v>
      </c>
      <c r="FE75" s="13">
        <f>IF('Données projet'!$A$218&gt;35,FE74+FD75-FM74,IF(A75&lt;'Données projet'!$A$218,$FB$205^A75,IF(A75='Données projet'!$A$218,'Données projet'!$B$218,FE74+FD75-FM74)))</f>
        <v>213.20000000000016</v>
      </c>
      <c r="FF75" s="18">
        <f>FE75*VLOOKUP('Données projet'!$B$16,Paramètres!$A$1:$I$89,3,0)*VLOOKUP('Données projet'!$B$16,Paramètres!$A$1:$I$89,5,0)</f>
        <v>172.94784000000016</v>
      </c>
      <c r="FG75" s="14">
        <f t="shared" si="101"/>
        <v>43.749579650768112</v>
      </c>
      <c r="FH75" s="22">
        <f t="shared" si="76"/>
        <v>377.41467255842139</v>
      </c>
      <c r="FI75" s="60">
        <f t="shared" si="77"/>
        <v>644.7463867959425</v>
      </c>
      <c r="FJ75" s="60">
        <f ca="1">AVERAGE(OFFSET($FI$3,0,0,'Données projet'!$E$16+1,1))-AVERAGE(OFFSET($H$3,0,0,'Données projet'!$E$16+1,1))</f>
        <v>308.58270639204238</v>
      </c>
      <c r="FK75" s="60">
        <f t="shared" si="102"/>
        <v>258.90832875500325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6.5</v>
      </c>
      <c r="FZ75" s="13">
        <f>IF('Données projet'!$A$244&gt;35,FZ74+FY75-GH74,IF(A75&lt;'Données projet'!$A$244,$FW$205^A75,IF(A75='Données projet'!$A$244,'Données projet'!$B$244,FZ74+FY75-GH74)))</f>
        <v>253.50000000000006</v>
      </c>
      <c r="GA75" s="18">
        <f>FZ75*VLOOKUP('Données projet'!$B$17,Paramètres!$A$1:$I$89,3,0)*VLOOKUP('Données projet'!$B$17,Paramètres!$A$1:$I$89,5,0)</f>
        <v>245.18520000000007</v>
      </c>
      <c r="GB75" s="14">
        <f t="shared" si="103"/>
        <v>59.553759878357127</v>
      </c>
      <c r="GC75" s="22">
        <f t="shared" si="79"/>
        <v>530.75368845480546</v>
      </c>
      <c r="GD75" s="60">
        <f t="shared" si="80"/>
        <v>798.08540269232662</v>
      </c>
      <c r="GE75" s="60">
        <f ca="1">AVERAGE(OFFSET($GD$3,0,0,'Données projet'!$E$17+1,1))-AVERAGE(OFFSET($H$3,0,0,'Données projet'!$E$17+1,1))</f>
        <v>495.77880062178235</v>
      </c>
      <c r="GF75" s="60">
        <f t="shared" si="104"/>
        <v>263.55891737750301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9.6999999999999993</v>
      </c>
      <c r="N76" s="14">
        <f>IF('Données projet'!$A$36&gt;35,N75+M76-V75,IF(A76&lt;'Données projet'!$A$36,$K$205^A76,IF(A76='Données projet'!$A$36,'Données projet'!$B$36,N75+M76-V75)))</f>
        <v>343.60000000000008</v>
      </c>
      <c r="O76" s="14">
        <f>N76*VLOOKUP('Données projet'!$B$9,Paramètres!$A$1:$I$89,3,0)*VLOOKUP('Données projet'!$B$9,Paramètres!$A$1:$I$89,5,0)</f>
        <v>294.80880000000008</v>
      </c>
      <c r="P76" s="14">
        <f t="shared" si="87"/>
        <v>70.087085442805787</v>
      </c>
      <c r="Q76" s="22">
        <f t="shared" si="54"/>
        <v>635.52700047955352</v>
      </c>
      <c r="R76" s="60">
        <f t="shared" si="55"/>
        <v>903.30978467747536</v>
      </c>
      <c r="S76" s="60">
        <f ca="1">AVERAGE(OFFSET($R$3,0,0,'Données projet'!$E$9+1,1))-AVERAGE(OFFSET($H$3,0,0,'Données projet'!$E$9+1,1))</f>
        <v>598.73855311281966</v>
      </c>
      <c r="T76" s="60">
        <f t="shared" si="88"/>
        <v>275.88160405468193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6.5</v>
      </c>
      <c r="AI76" s="14">
        <f>IF('Données projet'!$A$62&gt;35,AI75+AH76-AQ75,IF(A76&lt;'Données projet'!$A$62,$AF$205^A76,IF(A76='Données projet'!$A$62,'Données projet'!$B$62,AI75+AH76-AQ75)))</f>
        <v>260.00000000000006</v>
      </c>
      <c r="AJ76" s="14">
        <f>AI76*VLOOKUP('Données projet'!$B$10,Paramètres!$A$1:$I$89,3,0)*VLOOKUP('Données projet'!$B$10,Paramètres!$A$1:$I$89,5,0)</f>
        <v>263.6400000000001</v>
      </c>
      <c r="AK76" s="14">
        <f t="shared" si="89"/>
        <v>63.497649925886812</v>
      </c>
      <c r="AL76" s="22">
        <f t="shared" si="58"/>
        <v>569.76474028758639</v>
      </c>
      <c r="AM76" s="60">
        <f t="shared" si="59"/>
        <v>837.54752448550812</v>
      </c>
      <c r="AN76" s="60">
        <f ca="1">AVERAGE(OFFSET($AM$3,0,0,'Données projet'!$E$10+1,1))-AVERAGE(OFFSET($H$3,0,0,'Données projet'!$E$10+1,1))</f>
        <v>515.72324585399997</v>
      </c>
      <c r="AO76" s="60">
        <f t="shared" si="90"/>
        <v>273.35778700650792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209.16324000000014</v>
      </c>
      <c r="BF76" s="14">
        <f t="shared" si="91"/>
        <v>51.752690118703946</v>
      </c>
      <c r="BG76" s="22">
        <f t="shared" si="61"/>
        <v>454.42857829007625</v>
      </c>
      <c r="BH76" s="60">
        <f t="shared" si="62"/>
        <v>722.21136248799803</v>
      </c>
      <c r="BI76" s="60">
        <f ca="1">AVERAGE(OFFSET($BH$3,0,0,'Données projet'!$E$11+1,1))-AVERAGE(OFFSET($H$3,0,0,'Données projet'!$E$11+1,1))</f>
        <v>336.25341821407534</v>
      </c>
      <c r="BJ76" s="60">
        <f t="shared" si="92"/>
        <v>360.3246221345039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1.5785226809816433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1.5785226809816433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4.4871794871794917</v>
      </c>
      <c r="BY76" s="13">
        <f>IF('Données projet'!$A$114&gt;35,BY75+BX76-CG75,IF(A76&lt;'Données projet'!$A$114,$BV$205^A76,IF(A76='Données projet'!$A$114,'Données projet'!$B$114,BY75+BX76-CG75)))</f>
        <v>221.7948717948718</v>
      </c>
      <c r="BZ76" s="14">
        <f>BY76*VLOOKUP('Données projet'!$B$12,Paramètres!$A$1:$I$89,3,0)*VLOOKUP('Données projet'!$B$12,Paramètres!$A$1:$I$89,5,0)</f>
        <v>211.06</v>
      </c>
      <c r="CA76" s="14">
        <f t="shared" si="93"/>
        <v>52.167154446757792</v>
      </c>
      <c r="CB76" s="22">
        <f t="shared" si="64"/>
        <v>458.4539606614365</v>
      </c>
      <c r="CC76" s="60">
        <f t="shared" si="65"/>
        <v>726.23674485935828</v>
      </c>
      <c r="CD76" s="60">
        <f ca="1">AVERAGE(OFFSET($CC$3,0,0,'Données projet'!$E$12+1,1))-AVERAGE(OFFSET($H$3,0,0,'Données projet'!$E$12+1,1))</f>
        <v>438.41611139377829</v>
      </c>
      <c r="CE76" s="60">
        <f t="shared" si="94"/>
        <v>345.17417065809605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4.1799999999999953</v>
      </c>
      <c r="CT76" s="13">
        <f>IF('Données projet'!$A$140&gt;35,CT75+CS76-DB75,IF(A76&lt;'Données projet'!$A$140,$CQ$205^A76,IF(A76='Données projet'!$A$140,'Données projet'!$B$140,CT75+CS76-DB75)))</f>
        <v>327.63999999999993</v>
      </c>
      <c r="CU76" s="18">
        <f>CT76*VLOOKUP('Données projet'!$B$13,Paramètres!$A$1:$I$89,3,0)*VLOOKUP('Données projet'!$B$13,Paramètres!$A$1:$I$89,5,0)</f>
        <v>260.67038399999996</v>
      </c>
      <c r="CV76" s="14">
        <f t="shared" si="95"/>
        <v>62.865255310877103</v>
      </c>
      <c r="CW76" s="22">
        <f t="shared" si="67"/>
        <v>563.4912384664442</v>
      </c>
      <c r="CX76" s="60">
        <f t="shared" si="68"/>
        <v>831.27402266436593</v>
      </c>
      <c r="CY76" s="60">
        <f ca="1">AVERAGE(OFFSET($CX$3,0,0,'Données projet'!$E$13+1,1))-AVERAGE(OFFSET($H$3,0,0,'Données projet'!$E$13+1,1))</f>
        <v>395.27840703467933</v>
      </c>
      <c r="CZ76" s="60">
        <f t="shared" si="96"/>
        <v>364.24192380053944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5.2</v>
      </c>
      <c r="DO76" s="13">
        <f>IF('Données projet'!$A$166&gt;35,DO75+DN76-DW75,IF(A76&lt;'Données projet'!$A$166,$DL$205^A76,IF(A76='Données projet'!$A$166,'Données projet'!$B$166,DO75+DN76-DW75)))</f>
        <v>275.59999999999974</v>
      </c>
      <c r="DP76" s="18">
        <f>DO76*VLOOKUP('Données projet'!$B$14,Paramètres!$A$1:$I$89,3,0)*VLOOKUP('Données projet'!$B$14,Paramètres!$A$1:$I$89,5,0)</f>
        <v>214.96799999999979</v>
      </c>
      <c r="DQ76" s="14">
        <f t="shared" si="97"/>
        <v>53.019736939092944</v>
      </c>
      <c r="DR76" s="22">
        <f t="shared" si="70"/>
        <v>466.74530850225307</v>
      </c>
      <c r="DS76" s="60">
        <f t="shared" si="71"/>
        <v>734.52809270017485</v>
      </c>
      <c r="DT76" s="60">
        <f ca="1">AVERAGE(OFFSET($DS$3,0,0,'Données projet'!$E$14+1,1))-AVERAGE(OFFSET($H$3,0,0,'Données projet'!$E$14+1,1))</f>
        <v>308.76306523144956</v>
      </c>
      <c r="DU76" s="60">
        <f t="shared" si="98"/>
        <v>283.28099819802776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4.8717948717948847</v>
      </c>
      <c r="EJ76" s="13">
        <f>IF('Données projet'!$A$192&gt;35,EJ75+EI76-ER75,IF(A76&lt;'Données projet'!$A$192,$EG$205^A76,IF(A76='Données projet'!$A$192,'Données projet'!$B$192,EJ75+EI76-ER75)))</f>
        <v>276.15384615384608</v>
      </c>
      <c r="EK76" s="18">
        <f>EJ76*VLOOKUP('Données projet'!$B$15,Paramètres!$A$1:$I$89,3,0)*VLOOKUP('Données projet'!$B$15,Paramètres!$A$1:$I$89,5,0)</f>
        <v>185.24399999999997</v>
      </c>
      <c r="EL76" s="14">
        <f t="shared" si="99"/>
        <v>46.486922474868337</v>
      </c>
      <c r="EM76" s="22">
        <f t="shared" si="73"/>
        <v>403.59802331039555</v>
      </c>
      <c r="EN76" s="60">
        <f t="shared" si="74"/>
        <v>671.38080750831728</v>
      </c>
      <c r="EO76" s="60">
        <f ca="1">AVERAGE(OFFSET($EN$3,0,0,'Données projet'!$E$15+1,1))-AVERAGE(OFFSET($H$3,0,0,'Données projet'!$E$15+1,1))</f>
        <v>375.49921531693559</v>
      </c>
      <c r="EP76" s="60">
        <f t="shared" si="100"/>
        <v>306.93934681565599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4.5999999999999996</v>
      </c>
      <c r="FE76" s="13">
        <f>IF('Données projet'!$A$218&gt;35,FE75+FD76-FM75,IF(A76&lt;'Données projet'!$A$218,$FB$205^A76,IF(A76='Données projet'!$A$218,'Données projet'!$B$218,FE75+FD76-FM75)))</f>
        <v>217.80000000000015</v>
      </c>
      <c r="FF76" s="18">
        <f>FE76*VLOOKUP('Données projet'!$B$16,Paramètres!$A$1:$I$89,3,0)*VLOOKUP('Données projet'!$B$16,Paramètres!$A$1:$I$89,5,0)</f>
        <v>176.67936000000014</v>
      </c>
      <c r="FG76" s="14">
        <f t="shared" si="101"/>
        <v>44.5826062365838</v>
      </c>
      <c r="FH76" s="22">
        <f t="shared" si="76"/>
        <v>385.36459119538364</v>
      </c>
      <c r="FI76" s="60">
        <f t="shared" si="77"/>
        <v>653.14737539330542</v>
      </c>
      <c r="FJ76" s="60">
        <f ca="1">AVERAGE(OFFSET($FI$3,0,0,'Données projet'!$E$16+1,1))-AVERAGE(OFFSET($H$3,0,0,'Données projet'!$E$16+1,1))</f>
        <v>308.58270639204238</v>
      </c>
      <c r="FK76" s="60">
        <f t="shared" si="102"/>
        <v>258.90832875500325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6.5</v>
      </c>
      <c r="FZ76" s="13">
        <f>IF('Données projet'!$A$244&gt;35,FZ75+FY76-GH75,IF(A76&lt;'Données projet'!$A$244,$FW$205^A76,IF(A76='Données projet'!$A$244,'Données projet'!$B$244,FZ75+FY76-GH75)))</f>
        <v>260.00000000000006</v>
      </c>
      <c r="GA76" s="18">
        <f>FZ76*VLOOKUP('Données projet'!$B$17,Paramètres!$A$1:$I$89,3,0)*VLOOKUP('Données projet'!$B$17,Paramètres!$A$1:$I$89,5,0)</f>
        <v>251.47200000000009</v>
      </c>
      <c r="GB76" s="14">
        <f t="shared" si="103"/>
        <v>60.901039718208651</v>
      </c>
      <c r="GC76" s="22">
        <f t="shared" si="79"/>
        <v>544.04971084254692</v>
      </c>
      <c r="GD76" s="60">
        <f t="shared" si="80"/>
        <v>811.83249504046876</v>
      </c>
      <c r="GE76" s="60">
        <f ca="1">AVERAGE(OFFSET($GD$3,0,0,'Données projet'!$E$17+1,1))-AVERAGE(OFFSET($H$3,0,0,'Données projet'!$E$17+1,1))</f>
        <v>495.77880062178235</v>
      </c>
      <c r="GF76" s="60">
        <f t="shared" si="104"/>
        <v>263.55891737750301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9.6999999999999993</v>
      </c>
      <c r="N77" s="14">
        <f>IF('Données projet'!$A$36&gt;35,N76+M77-V76,IF(A77&lt;'Données projet'!$A$36,$K$205^A77,IF(A77='Données projet'!$A$36,'Données projet'!$B$36,N76+M77-V76)))</f>
        <v>353.30000000000007</v>
      </c>
      <c r="O77" s="14">
        <f>N77*VLOOKUP('Données projet'!$B$9,Paramètres!$A$1:$I$89,3,0)*VLOOKUP('Données projet'!$B$9,Paramètres!$A$1:$I$89,5,0)</f>
        <v>303.1314000000001</v>
      </c>
      <c r="P77" s="14">
        <f t="shared" si="87"/>
        <v>71.832527939660139</v>
      </c>
      <c r="Q77" s="22">
        <f t="shared" si="54"/>
        <v>653.06217449490828</v>
      </c>
      <c r="R77" s="60">
        <f t="shared" si="55"/>
        <v>921.28820359785914</v>
      </c>
      <c r="S77" s="60">
        <f ca="1">AVERAGE(OFFSET($R$3,0,0,'Données projet'!$E$9+1,1))-AVERAGE(OFFSET($H$3,0,0,'Données projet'!$E$9+1,1))</f>
        <v>598.73855311281966</v>
      </c>
      <c r="T77" s="60">
        <f t="shared" si="88"/>
        <v>275.88160405468193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6.5</v>
      </c>
      <c r="AI77" s="14">
        <f>IF('Données projet'!$A$62&gt;35,AI76+AH77-AQ76,IF(A77&lt;'Données projet'!$A$62,$AF$205^A77,IF(A77='Données projet'!$A$62,'Données projet'!$B$62,AI76+AH77-AQ76)))</f>
        <v>266.50000000000006</v>
      </c>
      <c r="AJ77" s="14">
        <f>AI77*VLOOKUP('Données projet'!$B$10,Paramètres!$A$1:$I$89,3,0)*VLOOKUP('Données projet'!$B$10,Paramètres!$A$1:$I$89,5,0)</f>
        <v>270.23100000000011</v>
      </c>
      <c r="AK77" s="14">
        <f t="shared" si="89"/>
        <v>64.898290877594462</v>
      </c>
      <c r="AL77" s="22">
        <f t="shared" si="58"/>
        <v>583.68351494514388</v>
      </c>
      <c r="AM77" s="60">
        <f t="shared" si="59"/>
        <v>851.90954404809474</v>
      </c>
      <c r="AN77" s="60">
        <f ca="1">AVERAGE(OFFSET($AM$3,0,0,'Données projet'!$E$10+1,1))-AVERAGE(OFFSET($H$3,0,0,'Données projet'!$E$10+1,1))</f>
        <v>515.72324585399997</v>
      </c>
      <c r="AO77" s="60">
        <f t="shared" si="90"/>
        <v>273.35778700650792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211.8682800000002</v>
      </c>
      <c r="BF77" s="14">
        <f t="shared" si="91"/>
        <v>52.343641187871285</v>
      </c>
      <c r="BG77" s="22">
        <f t="shared" si="61"/>
        <v>460.16909606887612</v>
      </c>
      <c r="BH77" s="60">
        <f t="shared" si="62"/>
        <v>728.39512517182698</v>
      </c>
      <c r="BI77" s="60">
        <f ca="1">AVERAGE(OFFSET($BH$3,0,0,'Données projet'!$E$11+1,1))-AVERAGE(OFFSET($H$3,0,0,'Données projet'!$E$11+1,1))</f>
        <v>336.25341821407534</v>
      </c>
      <c r="BJ77" s="60">
        <f t="shared" si="92"/>
        <v>360.3246221345039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1.5353578952593001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1.5353578952593001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4.4871794871794917</v>
      </c>
      <c r="BY77" s="13">
        <f>IF('Données projet'!$A$114&gt;35,BY76+BX77-CG76,IF(A77&lt;'Données projet'!$A$114,$BV$205^A77,IF(A77='Données projet'!$A$114,'Données projet'!$B$114,BY76+BX77-CG76)))</f>
        <v>226.2820512820513</v>
      </c>
      <c r="BZ77" s="14">
        <f>BY77*VLOOKUP('Données projet'!$B$12,Paramètres!$A$1:$I$89,3,0)*VLOOKUP('Données projet'!$B$12,Paramètres!$A$1:$I$89,5,0)</f>
        <v>215.33000000000004</v>
      </c>
      <c r="CA77" s="14">
        <f t="shared" si="93"/>
        <v>53.098620315464494</v>
      </c>
      <c r="CB77" s="22">
        <f t="shared" si="64"/>
        <v>467.51318038276736</v>
      </c>
      <c r="CC77" s="60">
        <f t="shared" si="65"/>
        <v>735.73920948571822</v>
      </c>
      <c r="CD77" s="60">
        <f ca="1">AVERAGE(OFFSET($CC$3,0,0,'Données projet'!$E$12+1,1))-AVERAGE(OFFSET($H$3,0,0,'Données projet'!$E$12+1,1))</f>
        <v>438.41611139377829</v>
      </c>
      <c r="CE77" s="60">
        <f t="shared" si="94"/>
        <v>345.17417065809605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4.1799999999999953</v>
      </c>
      <c r="CT77" s="13">
        <f>IF('Données projet'!$A$140&gt;35,CT76+CS77-DB76,IF(A77&lt;'Données projet'!$A$140,$CQ$205^A77,IF(A77='Données projet'!$A$140,'Données projet'!$B$140,CT76+CS77-DB76)))</f>
        <v>331.81999999999994</v>
      </c>
      <c r="CU77" s="18">
        <f>CT77*VLOOKUP('Données projet'!$B$13,Paramètres!$A$1:$I$89,3,0)*VLOOKUP('Données projet'!$B$13,Paramètres!$A$1:$I$89,5,0)</f>
        <v>263.99599199999994</v>
      </c>
      <c r="CV77" s="14">
        <f t="shared" si="95"/>
        <v>63.573404381330448</v>
      </c>
      <c r="CW77" s="22">
        <f t="shared" si="67"/>
        <v>570.51669869748378</v>
      </c>
      <c r="CX77" s="60">
        <f t="shared" si="68"/>
        <v>838.74272780043464</v>
      </c>
      <c r="CY77" s="60">
        <f ca="1">AVERAGE(OFFSET($CX$3,0,0,'Données projet'!$E$13+1,1))-AVERAGE(OFFSET($H$3,0,0,'Données projet'!$E$13+1,1))</f>
        <v>395.27840703467933</v>
      </c>
      <c r="CZ77" s="60">
        <f t="shared" si="96"/>
        <v>364.24192380053944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5.2</v>
      </c>
      <c r="DO77" s="13">
        <f>IF('Données projet'!$A$166&gt;35,DO76+DN77-DW76,IF(A77&lt;'Données projet'!$A$166,$DL$205^A77,IF(A77='Données projet'!$A$166,'Données projet'!$B$166,DO76+DN77-DW76)))</f>
        <v>280.79999999999973</v>
      </c>
      <c r="DP77" s="18">
        <f>DO77*VLOOKUP('Données projet'!$B$14,Paramètres!$A$1:$I$89,3,0)*VLOOKUP('Données projet'!$B$14,Paramètres!$A$1:$I$89,5,0)</f>
        <v>219.0239999999998</v>
      </c>
      <c r="DQ77" s="14">
        <f t="shared" si="97"/>
        <v>53.902702081308306</v>
      </c>
      <c r="DR77" s="22">
        <f t="shared" si="70"/>
        <v>475.34733945827821</v>
      </c>
      <c r="DS77" s="60">
        <f t="shared" si="71"/>
        <v>743.57336856122902</v>
      </c>
      <c r="DT77" s="60">
        <f ca="1">AVERAGE(OFFSET($DS$3,0,0,'Données projet'!$E$14+1,1))-AVERAGE(OFFSET($H$3,0,0,'Données projet'!$E$14+1,1))</f>
        <v>308.76306523144956</v>
      </c>
      <c r="DU77" s="60">
        <f t="shared" si="98"/>
        <v>283.28099819802776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4.8717948717948847</v>
      </c>
      <c r="EJ77" s="13">
        <f>IF('Données projet'!$A$192&gt;35,EJ76+EI77-ER76,IF(A77&lt;'Données projet'!$A$192,$EG$205^A77,IF(A77='Données projet'!$A$192,'Données projet'!$B$192,EJ76+EI77-ER76)))</f>
        <v>281.02564102564094</v>
      </c>
      <c r="EK77" s="18">
        <f>EJ77*VLOOKUP('Données projet'!$B$15,Paramètres!$A$1:$I$89,3,0)*VLOOKUP('Données projet'!$B$15,Paramètres!$A$1:$I$89,5,0)</f>
        <v>188.51199999999994</v>
      </c>
      <c r="EL77" s="14">
        <f t="shared" si="99"/>
        <v>47.210826792928934</v>
      </c>
      <c r="EM77" s="22">
        <f t="shared" si="73"/>
        <v>410.55058999768443</v>
      </c>
      <c r="EN77" s="60">
        <f t="shared" si="74"/>
        <v>678.77661910063534</v>
      </c>
      <c r="EO77" s="60">
        <f ca="1">AVERAGE(OFFSET($EN$3,0,0,'Données projet'!$E$15+1,1))-AVERAGE(OFFSET($H$3,0,0,'Données projet'!$E$15+1,1))</f>
        <v>375.49921531693559</v>
      </c>
      <c r="EP77" s="60">
        <f t="shared" si="100"/>
        <v>306.93934681565599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4.5999999999999996</v>
      </c>
      <c r="FE77" s="13">
        <f>IF('Données projet'!$A$218&gt;35,FE76+FD77-FM76,IF(A77&lt;'Données projet'!$A$218,$FB$205^A77,IF(A77='Données projet'!$A$218,'Données projet'!$B$218,FE76+FD77-FM76)))</f>
        <v>222.40000000000015</v>
      </c>
      <c r="FF77" s="18">
        <f>FE77*VLOOKUP('Données projet'!$B$16,Paramètres!$A$1:$I$89,3,0)*VLOOKUP('Données projet'!$B$16,Paramètres!$A$1:$I$89,5,0)</f>
        <v>180.41088000000013</v>
      </c>
      <c r="FG77" s="14">
        <f t="shared" si="101"/>
        <v>45.413587262495575</v>
      </c>
      <c r="FH77" s="22">
        <f t="shared" si="76"/>
        <v>393.31094714884671</v>
      </c>
      <c r="FI77" s="60">
        <f t="shared" si="77"/>
        <v>661.53697625179757</v>
      </c>
      <c r="FJ77" s="60">
        <f ca="1">AVERAGE(OFFSET($FI$3,0,0,'Données projet'!$E$16+1,1))-AVERAGE(OFFSET($H$3,0,0,'Données projet'!$E$16+1,1))</f>
        <v>308.58270639204238</v>
      </c>
      <c r="FK77" s="60">
        <f t="shared" si="102"/>
        <v>258.90832875500325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6.5</v>
      </c>
      <c r="FZ77" s="13">
        <f>IF('Données projet'!$A$244&gt;35,FZ76+FY77-GH76,IF(A77&lt;'Données projet'!$A$244,$FW$205^A77,IF(A77='Données projet'!$A$244,'Données projet'!$B$244,FZ76+FY77-GH76)))</f>
        <v>266.50000000000006</v>
      </c>
      <c r="GA77" s="18">
        <f>FZ77*VLOOKUP('Données projet'!$B$17,Paramètres!$A$1:$I$89,3,0)*VLOOKUP('Données projet'!$B$17,Paramètres!$A$1:$I$89,5,0)</f>
        <v>257.75880000000006</v>
      </c>
      <c r="GB77" s="14">
        <f t="shared" si="103"/>
        <v>62.244404241627464</v>
      </c>
      <c r="GC77" s="22">
        <f t="shared" si="79"/>
        <v>557.33891405416796</v>
      </c>
      <c r="GD77" s="60">
        <f t="shared" si="80"/>
        <v>825.56494315711882</v>
      </c>
      <c r="GE77" s="60">
        <f ca="1">AVERAGE(OFFSET($GD$3,0,0,'Données projet'!$E$17+1,1))-AVERAGE(OFFSET($H$3,0,0,'Données projet'!$E$17+1,1))</f>
        <v>495.77880062178235</v>
      </c>
      <c r="GF77" s="60">
        <f t="shared" si="104"/>
        <v>263.55891737750301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363</v>
      </c>
      <c r="L78" s="13">
        <f>VLOOKUP(A78,'Données projet'!$A$35:$I$55,9,0)</f>
        <v>9.6999999999999993</v>
      </c>
      <c r="M78" s="13">
        <f t="array" ref="M78">INDEX(L:L,MIN(IF(ISNUMBER(L78:L274),ROW(L78:L274),"")))</f>
        <v>9.6999999999999993</v>
      </c>
      <c r="N78" s="14">
        <f>IF('Données projet'!$A$36&gt;35,N77+M78-V77,IF(A78&lt;'Données projet'!$A$36,$K$205^A78,IF(A78='Données projet'!$A$36,'Données projet'!$B$36,N77+M78-V77)))</f>
        <v>363.00000000000006</v>
      </c>
      <c r="O78" s="14">
        <f>N78*VLOOKUP('Données projet'!$B$9,Paramètres!$A$1:$I$89,3,0)*VLOOKUP('Données projet'!$B$9,Paramètres!$A$1:$I$89,5,0)</f>
        <v>311.45400000000006</v>
      </c>
      <c r="P78" s="14">
        <f t="shared" si="87"/>
        <v>73.572400496659426</v>
      </c>
      <c r="Q78" s="22">
        <f t="shared" si="54"/>
        <v>670.58764753168191</v>
      </c>
      <c r="R78" s="60">
        <f t="shared" si="55"/>
        <v>939.24923223150677</v>
      </c>
      <c r="S78" s="60">
        <f ca="1">AVERAGE(OFFSET($R$3,0,0,'Données projet'!$E$9+1,1))-AVERAGE(OFFSET($H$3,0,0,'Données projet'!$E$9+1,1))</f>
        <v>598.73855311281966</v>
      </c>
      <c r="T78" s="60">
        <f t="shared" si="88"/>
        <v>275.88160405468193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6.5</v>
      </c>
      <c r="AH78" s="13">
        <f t="array" ref="AH78">INDEX(AG:AG,MIN(IF(ISNUMBER(AG78:AG274),ROW(AG78:AG274),"")))</f>
        <v>6.5</v>
      </c>
      <c r="AI78" s="14">
        <f>IF('Données projet'!$A$62&gt;35,AI77+AH78-AQ77,IF(A78&lt;'Données projet'!$A$62,$AF$205^A78,IF(A78='Données projet'!$A$62,'Données projet'!$B$62,AI77+AH78-AQ77)))</f>
        <v>273.00000000000006</v>
      </c>
      <c r="AJ78" s="14">
        <f>AI78*VLOOKUP('Données projet'!$B$10,Paramètres!$A$1:$I$89,3,0)*VLOOKUP('Données projet'!$B$10,Paramètres!$A$1:$I$89,5,0)</f>
        <v>276.82200000000006</v>
      </c>
      <c r="AK78" s="14">
        <f t="shared" si="89"/>
        <v>66.29496059864374</v>
      </c>
      <c r="AL78" s="22">
        <f t="shared" si="58"/>
        <v>597.5953730426379</v>
      </c>
      <c r="AM78" s="60">
        <f t="shared" si="59"/>
        <v>866.25695774246265</v>
      </c>
      <c r="AN78" s="60">
        <f ca="1">AVERAGE(OFFSET($AM$3,0,0,'Données projet'!$E$10+1,1))-AVERAGE(OFFSET($H$3,0,0,'Données projet'!$E$10+1,1))</f>
        <v>515.72324585399997</v>
      </c>
      <c r="AO78" s="60">
        <f t="shared" si="90"/>
        <v>273.35778700650792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214.57332000000022</v>
      </c>
      <c r="BF78" s="14">
        <f t="shared" si="91"/>
        <v>52.933714646037032</v>
      </c>
      <c r="BG78" s="22">
        <f t="shared" si="61"/>
        <v>465.90808534184816</v>
      </c>
      <c r="BH78" s="60">
        <f t="shared" si="62"/>
        <v>734.56967004167291</v>
      </c>
      <c r="BI78" s="60">
        <f ca="1">AVERAGE(OFFSET($BH$3,0,0,'Données projet'!$E$11+1,1))-AVERAGE(OFFSET($H$3,0,0,'Données projet'!$E$11+1,1))</f>
        <v>336.25341821407534</v>
      </c>
      <c r="BJ78" s="60">
        <f t="shared" si="92"/>
        <v>360.3246221345039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1.493373452872472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1.493373452872472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230.76923076923077</v>
      </c>
      <c r="BW78" s="13">
        <f>VLOOKUP(A78,'Données projet'!$A$113:$I$133,9,0)</f>
        <v>4.4871794871794917</v>
      </c>
      <c r="BX78" s="13">
        <f t="array" ref="BX78">INDEX(BW:BW,MIN(IF(ISNUMBER(BW78:BW274),ROW(BW78:BW274),"")))</f>
        <v>4.4871794871794917</v>
      </c>
      <c r="BY78" s="13">
        <f>IF('Données projet'!$A$114&gt;35,BY77+BX78-CG77,IF(A78&lt;'Données projet'!$A$114,$BV$205^A78,IF(A78='Données projet'!$A$114,'Données projet'!$B$114,BY77+BX78-CG77)))</f>
        <v>230.7692307692308</v>
      </c>
      <c r="BZ78" s="14">
        <f>BY78*VLOOKUP('Données projet'!$B$12,Paramètres!$A$1:$I$89,3,0)*VLOOKUP('Données projet'!$B$12,Paramètres!$A$1:$I$89,5,0)</f>
        <v>219.60000000000002</v>
      </c>
      <c r="CA78" s="14">
        <f t="shared" si="93"/>
        <v>54.027938491064226</v>
      </c>
      <c r="CB78" s="22">
        <f t="shared" si="64"/>
        <v>476.56865953860353</v>
      </c>
      <c r="CC78" s="60">
        <f t="shared" si="65"/>
        <v>745.23024423842833</v>
      </c>
      <c r="CD78" s="60">
        <f ca="1">AVERAGE(OFFSET($CC$3,0,0,'Données projet'!$E$12+1,1))-AVERAGE(OFFSET($H$3,0,0,'Données projet'!$E$12+1,1))</f>
        <v>438.41611139377829</v>
      </c>
      <c r="CE78" s="60">
        <f t="shared" si="94"/>
        <v>345.17417065809605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336</v>
      </c>
      <c r="CR78" s="13">
        <f>VLOOKUP(A78,'Données projet'!$A$139:$I$159,9,0)</f>
        <v>4.1799999999999953</v>
      </c>
      <c r="CS78" s="13">
        <f t="array" ref="CS78">INDEX(CR:CR,MIN(IF(ISNUMBER(CR78:CR274),ROW(CR78:CR274),"")))</f>
        <v>4.1799999999999953</v>
      </c>
      <c r="CT78" s="13">
        <f>IF('Données projet'!$A$140&gt;35,CT77+CS78-DB77,IF(A78&lt;'Données projet'!$A$140,$CQ$205^A78,IF(A78='Données projet'!$A$140,'Données projet'!$B$140,CT77+CS78-DB77)))</f>
        <v>335.99999999999994</v>
      </c>
      <c r="CU78" s="18">
        <f>CT78*VLOOKUP('Données projet'!$B$13,Paramètres!$A$1:$I$89,3,0)*VLOOKUP('Données projet'!$B$13,Paramètres!$A$1:$I$89,5,0)</f>
        <v>267.32159999999999</v>
      </c>
      <c r="CV78" s="14">
        <f t="shared" si="95"/>
        <v>64.280515815446378</v>
      </c>
      <c r="CW78" s="22">
        <f t="shared" si="67"/>
        <v>577.54035171190242</v>
      </c>
      <c r="CX78" s="60">
        <f t="shared" si="68"/>
        <v>846.20193641172727</v>
      </c>
      <c r="CY78" s="60">
        <f ca="1">AVERAGE(OFFSET($CX$3,0,0,'Données projet'!$E$13+1,1))-AVERAGE(OFFSET($H$3,0,0,'Données projet'!$E$13+1,1))</f>
        <v>395.27840703467933</v>
      </c>
      <c r="CZ78" s="60">
        <f t="shared" si="96"/>
        <v>364.24192380053944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286</v>
      </c>
      <c r="DM78" s="13">
        <f>VLOOKUP(A78,'Données projet'!$A$165:$I$185,9,0)</f>
        <v>5.2</v>
      </c>
      <c r="DN78" s="13">
        <f t="array" ref="DN78">INDEX(DM:DM,MIN(IF(ISNUMBER(DM78:DM274),ROW(DM78:DM274),"")))</f>
        <v>5.2</v>
      </c>
      <c r="DO78" s="13">
        <f>IF('Données projet'!$A$166&gt;35,DO77+DN78-DW77,IF(A78&lt;'Données projet'!$A$166,$DL$205^A78,IF(A78='Données projet'!$A$166,'Données projet'!$B$166,DO77+DN78-DW77)))</f>
        <v>285.99999999999972</v>
      </c>
      <c r="DP78" s="18">
        <f>DO78*VLOOKUP('Données projet'!$B$14,Paramètres!$A$1:$I$89,3,0)*VLOOKUP('Données projet'!$B$14,Paramètres!$A$1:$I$89,5,0)</f>
        <v>223.07999999999979</v>
      </c>
      <c r="DQ78" s="14">
        <f t="shared" si="97"/>
        <v>54.783765878062617</v>
      </c>
      <c r="DR78" s="22">
        <f t="shared" si="70"/>
        <v>483.94605890429199</v>
      </c>
      <c r="DS78" s="60">
        <f t="shared" si="71"/>
        <v>752.60764360411679</v>
      </c>
      <c r="DT78" s="60">
        <f ca="1">AVERAGE(OFFSET($DS$3,0,0,'Données projet'!$E$14+1,1))-AVERAGE(OFFSET($H$3,0,0,'Données projet'!$E$14+1,1))</f>
        <v>308.76306523144956</v>
      </c>
      <c r="DU78" s="60">
        <f t="shared" si="98"/>
        <v>283.28099819802776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286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285.89743589743591</v>
      </c>
      <c r="EH78" s="13">
        <f>VLOOKUP(A78,'Données projet'!$A$191:$I$211,9,0)</f>
        <v>4.8717948717948847</v>
      </c>
      <c r="EI78" s="13">
        <f t="array" ref="EI78">INDEX(EH:EH,MIN(IF(ISNUMBER(EH78:EH274),ROW(EH78:EH274),"")))</f>
        <v>4.8717948717948847</v>
      </c>
      <c r="EJ78" s="13">
        <f>IF('Données projet'!$A$192&gt;35,EJ77+EI78-ER77,IF(A78&lt;'Données projet'!$A$192,$EG$205^A78,IF(A78='Données projet'!$A$192,'Données projet'!$B$192,EJ77+EI78-ER77)))</f>
        <v>285.8974358974358</v>
      </c>
      <c r="EK78" s="18">
        <f>EJ78*VLOOKUP('Données projet'!$B$15,Paramètres!$A$1:$I$89,3,0)*VLOOKUP('Données projet'!$B$15,Paramètres!$A$1:$I$89,5,0)</f>
        <v>191.77999999999994</v>
      </c>
      <c r="EL78" s="14">
        <f t="shared" si="99"/>
        <v>47.93327175216595</v>
      </c>
      <c r="EM78" s="22">
        <f t="shared" si="73"/>
        <v>417.50061496835559</v>
      </c>
      <c r="EN78" s="60">
        <f t="shared" si="74"/>
        <v>686.16219966818039</v>
      </c>
      <c r="EO78" s="60">
        <f ca="1">AVERAGE(OFFSET($EN$3,0,0,'Données projet'!$E$15+1,1))-AVERAGE(OFFSET($H$3,0,0,'Données projet'!$E$15+1,1))</f>
        <v>375.49921531693559</v>
      </c>
      <c r="EP78" s="60">
        <f t="shared" si="100"/>
        <v>306.93934681565599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227</v>
      </c>
      <c r="FC78" s="13">
        <f>VLOOKUP(A78,'Données projet'!$A$217:$I$237,9,0)</f>
        <v>4.5999999999999996</v>
      </c>
      <c r="FD78" s="13">
        <f t="array" ref="FD78">INDEX(FC:FC,MIN(IF(ISNUMBER(FC78:FC274),ROW(FC78:FC274),"")))</f>
        <v>4.5999999999999996</v>
      </c>
      <c r="FE78" s="13">
        <f>IF('Données projet'!$A$218&gt;35,FE77+FD78-FM77,IF(A78&lt;'Données projet'!$A$218,$FB$205^A78,IF(A78='Données projet'!$A$218,'Données projet'!$B$218,FE77+FD78-FM77)))</f>
        <v>227.00000000000014</v>
      </c>
      <c r="FF78" s="18">
        <f>FE78*VLOOKUP('Données projet'!$B$16,Paramètres!$A$1:$I$89,3,0)*VLOOKUP('Données projet'!$B$16,Paramètres!$A$1:$I$89,5,0)</f>
        <v>184.14240000000012</v>
      </c>
      <c r="FG78" s="14">
        <f t="shared" si="101"/>
        <v>46.242569912520345</v>
      </c>
      <c r="FH78" s="22">
        <f t="shared" si="76"/>
        <v>401.25382259763978</v>
      </c>
      <c r="FI78" s="60">
        <f t="shared" si="77"/>
        <v>669.91540729746453</v>
      </c>
      <c r="FJ78" s="60">
        <f ca="1">AVERAGE(OFFSET($FI$3,0,0,'Données projet'!$E$16+1,1))-AVERAGE(OFFSET($H$3,0,0,'Données projet'!$E$16+1,1))</f>
        <v>308.58270639204238</v>
      </c>
      <c r="FK78" s="60">
        <f t="shared" si="102"/>
        <v>258.90832875500325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273</v>
      </c>
      <c r="FX78" s="13">
        <f>VLOOKUP(A78,'Données projet'!$A$243:$I$263,9,0)</f>
        <v>6.5</v>
      </c>
      <c r="FY78" s="13">
        <f t="array" ref="FY78">INDEX(FX:FX,MIN(IF(ISNUMBER(FX78:FX274),ROW(FX78:FX274),"")))</f>
        <v>6.5</v>
      </c>
      <c r="FZ78" s="13">
        <f>IF('Données projet'!$A$244&gt;35,FZ77+FY78-GH77,IF(A78&lt;'Données projet'!$A$244,$FW$205^A78,IF(A78='Données projet'!$A$244,'Données projet'!$B$244,FZ77+FY78-GH77)))</f>
        <v>273.00000000000006</v>
      </c>
      <c r="GA78" s="18">
        <f>FZ78*VLOOKUP('Données projet'!$B$17,Paramètres!$A$1:$I$89,3,0)*VLOOKUP('Données projet'!$B$17,Paramètres!$A$1:$I$89,5,0)</f>
        <v>264.04560000000009</v>
      </c>
      <c r="GB78" s="14">
        <f t="shared" si="103"/>
        <v>63.583959929973737</v>
      </c>
      <c r="GC78" s="22">
        <f t="shared" si="79"/>
        <v>570.62148354470435</v>
      </c>
      <c r="GD78" s="60">
        <f t="shared" si="80"/>
        <v>839.2830682445292</v>
      </c>
      <c r="GE78" s="60">
        <f ca="1">AVERAGE(OFFSET($GD$3,0,0,'Données projet'!$E$17+1,1))-AVERAGE(OFFSET($H$3,0,0,'Données projet'!$E$17+1,1))</f>
        <v>495.77880062178235</v>
      </c>
      <c r="GF78" s="60">
        <f t="shared" si="104"/>
        <v>263.55891737750301</v>
      </c>
      <c r="GG78" s="16">
        <f>IF(ISNA(VLOOKUP(A78,'Données projet'!$A$243:$I$263,3,0)),0,VLOOKUP(A78,'Données projet'!$A$243:$I$263,3,0))</f>
        <v>6</v>
      </c>
      <c r="GH78" s="16">
        <f>IF(ISNA(VLOOKUP(A78,'Données projet'!$A$243:$I$263,4,0)),0,VLOOKUP(A78,'Données projet'!$A$243:$I$263,4,0))</f>
        <v>42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8.6</v>
      </c>
      <c r="N79" s="14">
        <f>IF('Données projet'!$A$36&gt;35,N78+M79-V78,IF(A79&lt;'Données projet'!$A$36,$K$205^A79,IF(A79='Données projet'!$A$36,'Données projet'!$B$36,N78+M79-V78)))</f>
        <v>315.60000000000008</v>
      </c>
      <c r="O79" s="14">
        <f>N79*VLOOKUP('Données projet'!$B$9,Paramètres!$A$1:$I$89,3,0)*VLOOKUP('Données projet'!$B$9,Paramètres!$A$1:$I$89,5,0)</f>
        <v>270.78480000000013</v>
      </c>
      <c r="P79" s="14">
        <f t="shared" si="87"/>
        <v>65.015795509622393</v>
      </c>
      <c r="Q79" s="22">
        <f t="shared" si="54"/>
        <v>584.85270384592593</v>
      </c>
      <c r="R79" s="60">
        <f t="shared" si="55"/>
        <v>853.94228822677542</v>
      </c>
      <c r="S79" s="60">
        <f ca="1">AVERAGE(OFFSET($R$3,0,0,'Données projet'!$E$9+1,1))-AVERAGE(OFFSET($H$3,0,0,'Données projet'!$E$9+1,1))</f>
        <v>598.73855311281966</v>
      </c>
      <c r="T79" s="60">
        <f t="shared" si="88"/>
        <v>275.88160405468193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236.90000000000003</v>
      </c>
      <c r="AJ79" s="14">
        <f>AI79*VLOOKUP('Données projet'!$B$10,Paramètres!$A$1:$I$89,3,0)*VLOOKUP('Données projet'!$B$10,Paramètres!$A$1:$I$89,5,0)</f>
        <v>240.21660000000003</v>
      </c>
      <c r="AK79" s="14">
        <f t="shared" si="89"/>
        <v>58.486130580357795</v>
      </c>
      <c r="AL79" s="22">
        <f t="shared" si="58"/>
        <v>520.24058909412327</v>
      </c>
      <c r="AM79" s="60">
        <f t="shared" si="59"/>
        <v>789.33017347497275</v>
      </c>
      <c r="AN79" s="60">
        <f ca="1">AVERAGE(OFFSET($AM$3,0,0,'Données projet'!$E$10+1,1))-AVERAGE(OFFSET($H$3,0,0,'Données projet'!$E$10+1,1))</f>
        <v>515.72324585399997</v>
      </c>
      <c r="AO79" s="60">
        <f t="shared" si="90"/>
        <v>273.35778700650792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216.94420800000023</v>
      </c>
      <c r="BF79" s="14">
        <f t="shared" si="91"/>
        <v>53.450184726422172</v>
      </c>
      <c r="BG79" s="22">
        <f t="shared" si="61"/>
        <v>470.93690066518553</v>
      </c>
      <c r="BH79" s="60">
        <f t="shared" si="62"/>
        <v>740.02648504603496</v>
      </c>
      <c r="BI79" s="60">
        <f ca="1">AVERAGE(OFFSET($BH$3,0,0,'Données projet'!$E$11+1,1))-AVERAGE(OFFSET($H$3,0,0,'Données projet'!$E$11+1,1))</f>
        <v>336.25341821407534</v>
      </c>
      <c r="BJ79" s="60">
        <f t="shared" si="92"/>
        <v>360.3246221345039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1.4525370772705775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1.4525370772705775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4.3589743589743595</v>
      </c>
      <c r="BY79" s="13">
        <f>IF('Données projet'!$A$114&gt;35,BY78+BX79-CG78,IF(A79&lt;'Données projet'!$A$114,$BV$205^A79,IF(A79='Données projet'!$A$114,'Données projet'!$B$114,BY78+BX79-CG78)))</f>
        <v>235.12820512820517</v>
      </c>
      <c r="BZ79" s="14">
        <f>BY79*VLOOKUP('Données projet'!$B$12,Paramètres!$A$1:$I$89,3,0)*VLOOKUP('Données projet'!$B$12,Paramètres!$A$1:$I$89,5,0)</f>
        <v>223.74800000000005</v>
      </c>
      <c r="CA79" s="14">
        <f t="shared" si="93"/>
        <v>54.928692378995677</v>
      </c>
      <c r="CB79" s="22">
        <f t="shared" si="64"/>
        <v>485.36190589341754</v>
      </c>
      <c r="CC79" s="60">
        <f t="shared" si="65"/>
        <v>754.45149027426692</v>
      </c>
      <c r="CD79" s="60">
        <f ca="1">AVERAGE(OFFSET($CC$3,0,0,'Données projet'!$E$12+1,1))-AVERAGE(OFFSET($H$3,0,0,'Données projet'!$E$12+1,1))</f>
        <v>438.41611139377829</v>
      </c>
      <c r="CE79" s="60">
        <f t="shared" si="94"/>
        <v>345.17417065809605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3.5600000000000023</v>
      </c>
      <c r="CT79" s="13">
        <f>IF('Données projet'!$A$140&gt;35,CT78+CS79-DB78,IF(A79&lt;'Données projet'!$A$140,$CQ$205^A79,IF(A79='Données projet'!$A$140,'Données projet'!$B$140,CT78+CS79-DB78)))</f>
        <v>339.55999999999995</v>
      </c>
      <c r="CU79" s="18">
        <f>CT79*VLOOKUP('Données projet'!$B$13,Paramètres!$A$1:$I$89,3,0)*VLOOKUP('Données projet'!$B$13,Paramètres!$A$1:$I$89,5,0)</f>
        <v>270.15393599999999</v>
      </c>
      <c r="CV79" s="14">
        <f t="shared" si="95"/>
        <v>64.881937308334173</v>
      </c>
      <c r="CW79" s="22">
        <f t="shared" si="67"/>
        <v>583.52081267868198</v>
      </c>
      <c r="CX79" s="60">
        <f t="shared" si="68"/>
        <v>852.61039705953135</v>
      </c>
      <c r="CY79" s="60">
        <f ca="1">AVERAGE(OFFSET($CX$3,0,0,'Données projet'!$E$13+1,1))-AVERAGE(OFFSET($H$3,0,0,'Données projet'!$E$13+1,1))</f>
        <v>395.27840703467933</v>
      </c>
      <c r="CZ79" s="60">
        <f t="shared" si="96"/>
        <v>364.24192380053944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-2.8421709430404007E-13</v>
      </c>
      <c r="DP79" s="18">
        <f>DO79*VLOOKUP('Données projet'!$B$14,Paramètres!$A$1:$I$89,3,0)*VLOOKUP('Données projet'!$B$14,Paramètres!$A$1:$I$89,5,0)</f>
        <v>-2.2168933355715128E-13</v>
      </c>
      <c r="DQ79" s="14" t="e">
        <f t="shared" si="97"/>
        <v>#NUM!</v>
      </c>
      <c r="DR79" s="22" t="e">
        <f t="shared" si="70"/>
        <v>#NUM!</v>
      </c>
      <c r="DS79" s="60" t="e">
        <f t="shared" si="71"/>
        <v>#NUM!</v>
      </c>
      <c r="DT79" s="60">
        <f ca="1">AVERAGE(OFFSET($DS$3,0,0,'Données projet'!$E$14+1,1))-AVERAGE(OFFSET($H$3,0,0,'Données projet'!$E$14+1,1))</f>
        <v>308.76306523144956</v>
      </c>
      <c r="DU79" s="60">
        <f t="shared" si="98"/>
        <v>283.28099819802776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4.4871794871794801</v>
      </c>
      <c r="EJ79" s="13">
        <f>IF('Données projet'!$A$192&gt;35,EJ78+EI79-ER78,IF(A79&lt;'Données projet'!$A$192,$EG$205^A79,IF(A79='Données projet'!$A$192,'Données projet'!$B$192,EJ78+EI79-ER78)))</f>
        <v>290.3846153846153</v>
      </c>
      <c r="EK79" s="18">
        <f>EJ79*VLOOKUP('Données projet'!$B$15,Paramètres!$A$1:$I$89,3,0)*VLOOKUP('Données projet'!$B$15,Paramètres!$A$1:$I$89,5,0)</f>
        <v>194.78999999999996</v>
      </c>
      <c r="EL79" s="14">
        <f t="shared" si="99"/>
        <v>48.597414405805637</v>
      </c>
      <c r="EM79" s="22">
        <f t="shared" si="73"/>
        <v>423.89974675677809</v>
      </c>
      <c r="EN79" s="60">
        <f t="shared" si="74"/>
        <v>692.98933113762746</v>
      </c>
      <c r="EO79" s="60">
        <f ca="1">AVERAGE(OFFSET($EN$3,0,0,'Données projet'!$E$15+1,1))-AVERAGE(OFFSET($H$3,0,0,'Données projet'!$E$15+1,1))</f>
        <v>375.49921531693559</v>
      </c>
      <c r="EP79" s="60">
        <f t="shared" si="100"/>
        <v>306.93934681565599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4.2</v>
      </c>
      <c r="FE79" s="13">
        <f>IF('Données projet'!$A$218&gt;35,FE78+FD79-FM78,IF(A79&lt;'Données projet'!$A$218,$FB$205^A79,IF(A79='Données projet'!$A$218,'Données projet'!$B$218,FE78+FD79-FM78)))</f>
        <v>231.20000000000013</v>
      </c>
      <c r="FF79" s="18">
        <f>FE79*VLOOKUP('Données projet'!$B$16,Paramètres!$A$1:$I$89,3,0)*VLOOKUP('Données projet'!$B$16,Paramètres!$A$1:$I$89,5,0)</f>
        <v>187.54944000000012</v>
      </c>
      <c r="FG79" s="14">
        <f t="shared" si="101"/>
        <v>46.997760175826045</v>
      </c>
      <c r="FH79" s="22">
        <f t="shared" si="76"/>
        <v>408.50304030623056</v>
      </c>
      <c r="FI79" s="60">
        <f t="shared" si="77"/>
        <v>677.59262468707993</v>
      </c>
      <c r="FJ79" s="60">
        <f ca="1">AVERAGE(OFFSET($FI$3,0,0,'Données projet'!$E$16+1,1))-AVERAGE(OFFSET($H$3,0,0,'Données projet'!$E$16+1,1))</f>
        <v>308.58270639204238</v>
      </c>
      <c r="FK79" s="60">
        <f t="shared" si="102"/>
        <v>258.90832875500325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5.9</v>
      </c>
      <c r="FZ79" s="13">
        <f>IF('Données projet'!$A$244&gt;35,FZ78+FY79-GH78,IF(A79&lt;'Données projet'!$A$244,$FW$205^A79,IF(A79='Données projet'!$A$244,'Données projet'!$B$244,FZ78+FY79-GH78)))</f>
        <v>236.90000000000003</v>
      </c>
      <c r="GA79" s="18">
        <f>FZ79*VLOOKUP('Données projet'!$B$17,Paramètres!$A$1:$I$89,3,0)*VLOOKUP('Données projet'!$B$17,Paramètres!$A$1:$I$89,5,0)</f>
        <v>229.12968000000004</v>
      </c>
      <c r="GB79" s="14">
        <f t="shared" si="103"/>
        <v>56.094456497146687</v>
      </c>
      <c r="GC79" s="22">
        <f t="shared" si="79"/>
        <v>496.7653710658638</v>
      </c>
      <c r="GD79" s="60">
        <f t="shared" si="80"/>
        <v>765.85495544671323</v>
      </c>
      <c r="GE79" s="60">
        <f ca="1">AVERAGE(OFFSET($GD$3,0,0,'Données projet'!$E$17+1,1))-AVERAGE(OFFSET($H$3,0,0,'Données projet'!$E$17+1,1))</f>
        <v>495.77880062178235</v>
      </c>
      <c r="GF79" s="60">
        <f t="shared" si="104"/>
        <v>263.55891737750301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8.6</v>
      </c>
      <c r="N80" s="14">
        <f>IF('Données projet'!$A$36&gt;35,N79+M80-V79,IF(A80&lt;'Données projet'!$A$36,$K$205^A80,IF(A80='Données projet'!$A$36,'Données projet'!$B$36,N79+M80-V79)))</f>
        <v>324.2000000000001</v>
      </c>
      <c r="O80" s="14">
        <f>N80*VLOOKUP('Données projet'!$B$9,Paramètres!$A$1:$I$89,3,0)*VLOOKUP('Données projet'!$B$9,Paramètres!$A$1:$I$89,5,0)</f>
        <v>278.16360000000009</v>
      </c>
      <c r="P80" s="14">
        <f t="shared" si="87"/>
        <v>66.578776272906126</v>
      </c>
      <c r="Q80" s="22">
        <f t="shared" si="54"/>
        <v>600.42630534197826</v>
      </c>
      <c r="R80" s="60">
        <f t="shared" si="55"/>
        <v>869.93646456625061</v>
      </c>
      <c r="S80" s="60">
        <f ca="1">AVERAGE(OFFSET($R$3,0,0,'Données projet'!$E$9+1,1))-AVERAGE(OFFSET($H$3,0,0,'Données projet'!$E$9+1,1))</f>
        <v>598.73855311281966</v>
      </c>
      <c r="T80" s="60">
        <f t="shared" si="88"/>
        <v>275.88160405468193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242.80000000000004</v>
      </c>
      <c r="AJ80" s="14">
        <f>AI80*VLOOKUP('Données projet'!$B$10,Paramètres!$A$1:$I$89,3,0)*VLOOKUP('Données projet'!$B$10,Paramètres!$A$1:$I$89,5,0)</f>
        <v>246.19920000000005</v>
      </c>
      <c r="AK80" s="14">
        <f t="shared" si="89"/>
        <v>59.77133248344078</v>
      </c>
      <c r="AL80" s="22">
        <f t="shared" si="58"/>
        <v>532.89867740865941</v>
      </c>
      <c r="AM80" s="60">
        <f t="shared" si="59"/>
        <v>802.40883663293175</v>
      </c>
      <c r="AN80" s="60">
        <f ca="1">AVERAGE(OFFSET($AM$3,0,0,'Données projet'!$E$10+1,1))-AVERAGE(OFFSET($H$3,0,0,'Données projet'!$E$10+1,1))</f>
        <v>515.72324585399997</v>
      </c>
      <c r="AO80" s="60">
        <f t="shared" si="90"/>
        <v>273.35778700650792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219.31509600000024</v>
      </c>
      <c r="BF80" s="14">
        <f t="shared" si="91"/>
        <v>53.965998217102616</v>
      </c>
      <c r="BG80" s="22">
        <f t="shared" si="61"/>
        <v>475.96457242812079</v>
      </c>
      <c r="BH80" s="60">
        <f t="shared" si="62"/>
        <v>745.47473165239307</v>
      </c>
      <c r="BI80" s="60">
        <f ca="1">AVERAGE(OFFSET($BH$3,0,0,'Données projet'!$E$11+1,1))-AVERAGE(OFFSET($H$3,0,0,'Données projet'!$E$11+1,1))</f>
        <v>336.25341821407534</v>
      </c>
      <c r="BJ80" s="60">
        <f t="shared" si="92"/>
        <v>360.3246221345039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1.4128173745070085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1.4128173745070085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4.3589743589743595</v>
      </c>
      <c r="BY80" s="13">
        <f>IF('Données projet'!$A$114&gt;35,BY79+BX80-CG79,IF(A80&lt;'Données projet'!$A$114,$BV$205^A80,IF(A80='Données projet'!$A$114,'Données projet'!$B$114,BY79+BX80-CG79)))</f>
        <v>239.48717948717953</v>
      </c>
      <c r="BZ80" s="14">
        <f>BY80*VLOOKUP('Données projet'!$B$12,Paramètres!$A$1:$I$89,3,0)*VLOOKUP('Données projet'!$B$12,Paramètres!$A$1:$I$89,5,0)</f>
        <v>227.89600000000002</v>
      </c>
      <c r="CA80" s="14">
        <f t="shared" si="93"/>
        <v>55.827504502630809</v>
      </c>
      <c r="CB80" s="22">
        <f t="shared" si="64"/>
        <v>494.15177034208205</v>
      </c>
      <c r="CC80" s="60">
        <f t="shared" si="65"/>
        <v>763.66192956635427</v>
      </c>
      <c r="CD80" s="60">
        <f ca="1">AVERAGE(OFFSET($CC$3,0,0,'Données projet'!$E$12+1,1))-AVERAGE(OFFSET($H$3,0,0,'Données projet'!$E$12+1,1))</f>
        <v>438.41611139377829</v>
      </c>
      <c r="CE80" s="60">
        <f t="shared" si="94"/>
        <v>345.17417065809605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3.5600000000000023</v>
      </c>
      <c r="CT80" s="13">
        <f>IF('Données projet'!$A$140&gt;35,CT79+CS80-DB79,IF(A80&lt;'Données projet'!$A$140,$CQ$205^A80,IF(A80='Données projet'!$A$140,'Données projet'!$B$140,CT79+CS80-DB79)))</f>
        <v>343.11999999999995</v>
      </c>
      <c r="CU80" s="18">
        <f>CT80*VLOOKUP('Données projet'!$B$13,Paramètres!$A$1:$I$89,3,0)*VLOOKUP('Données projet'!$B$13,Paramètres!$A$1:$I$89,5,0)</f>
        <v>272.98627199999993</v>
      </c>
      <c r="CV80" s="14">
        <f t="shared" si="95"/>
        <v>65.482625286487632</v>
      </c>
      <c r="CW80" s="22">
        <f t="shared" si="67"/>
        <v>589.49999610729913</v>
      </c>
      <c r="CX80" s="60">
        <f t="shared" si="68"/>
        <v>859.01015533157147</v>
      </c>
      <c r="CY80" s="60">
        <f ca="1">AVERAGE(OFFSET($CX$3,0,0,'Données projet'!$E$13+1,1))-AVERAGE(OFFSET($H$3,0,0,'Données projet'!$E$13+1,1))</f>
        <v>395.27840703467933</v>
      </c>
      <c r="CZ80" s="60">
        <f t="shared" si="96"/>
        <v>364.24192380053944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-2.8421709430404007E-13</v>
      </c>
      <c r="DP80" s="18">
        <f>DO80*VLOOKUP('Données projet'!$B$14,Paramètres!$A$1:$I$89,3,0)*VLOOKUP('Données projet'!$B$14,Paramètres!$A$1:$I$89,5,0)</f>
        <v>-2.2168933355715128E-13</v>
      </c>
      <c r="DQ80" s="14" t="e">
        <f t="shared" si="97"/>
        <v>#NUM!</v>
      </c>
      <c r="DR80" s="22" t="e">
        <f t="shared" si="70"/>
        <v>#NUM!</v>
      </c>
      <c r="DS80" s="60" t="e">
        <f t="shared" si="71"/>
        <v>#NUM!</v>
      </c>
      <c r="DT80" s="60">
        <f ca="1">AVERAGE(OFFSET($DS$3,0,0,'Données projet'!$E$14+1,1))-AVERAGE(OFFSET($H$3,0,0,'Données projet'!$E$14+1,1))</f>
        <v>308.76306523144956</v>
      </c>
      <c r="DU80" s="60">
        <f t="shared" si="98"/>
        <v>283.28099819802776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4.4871794871794801</v>
      </c>
      <c r="EJ80" s="13">
        <f>IF('Données projet'!$A$192&gt;35,EJ79+EI80-ER79,IF(A80&lt;'Données projet'!$A$192,$EG$205^A80,IF(A80='Données projet'!$A$192,'Données projet'!$B$192,EJ79+EI80-ER79)))</f>
        <v>294.8717948717948</v>
      </c>
      <c r="EK80" s="18">
        <f>EJ80*VLOOKUP('Données projet'!$B$15,Paramètres!$A$1:$I$89,3,0)*VLOOKUP('Données projet'!$B$15,Paramètres!$A$1:$I$89,5,0)</f>
        <v>197.79999999999995</v>
      </c>
      <c r="EL80" s="14">
        <f t="shared" si="99"/>
        <v>49.260363505790501</v>
      </c>
      <c r="EM80" s="22">
        <f t="shared" si="73"/>
        <v>430.29679977258508</v>
      </c>
      <c r="EN80" s="60">
        <f t="shared" si="74"/>
        <v>699.80695899685736</v>
      </c>
      <c r="EO80" s="60">
        <f ca="1">AVERAGE(OFFSET($EN$3,0,0,'Données projet'!$E$15+1,1))-AVERAGE(OFFSET($H$3,0,0,'Données projet'!$E$15+1,1))</f>
        <v>375.49921531693559</v>
      </c>
      <c r="EP80" s="60">
        <f t="shared" si="100"/>
        <v>306.93934681565599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4.2</v>
      </c>
      <c r="FE80" s="13">
        <f>IF('Données projet'!$A$218&gt;35,FE79+FD80-FM79,IF(A80&lt;'Données projet'!$A$218,$FB$205^A80,IF(A80='Données projet'!$A$218,'Données projet'!$B$218,FE79+FD80-FM79)))</f>
        <v>235.40000000000012</v>
      </c>
      <c r="FF80" s="18">
        <f>FE80*VLOOKUP('Données projet'!$B$16,Paramètres!$A$1:$I$89,3,0)*VLOOKUP('Données projet'!$B$16,Paramètres!$A$1:$I$89,5,0)</f>
        <v>190.95648000000011</v>
      </c>
      <c r="FG80" s="14">
        <f t="shared" si="101"/>
        <v>47.751355158869849</v>
      </c>
      <c r="FH80" s="22">
        <f t="shared" si="76"/>
        <v>415.74947956836513</v>
      </c>
      <c r="FI80" s="60">
        <f t="shared" si="77"/>
        <v>685.25963879263736</v>
      </c>
      <c r="FJ80" s="60">
        <f ca="1">AVERAGE(OFFSET($FI$3,0,0,'Données projet'!$E$16+1,1))-AVERAGE(OFFSET($H$3,0,0,'Données projet'!$E$16+1,1))</f>
        <v>308.58270639204238</v>
      </c>
      <c r="FK80" s="60">
        <f t="shared" si="102"/>
        <v>258.90832875500325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5.9</v>
      </c>
      <c r="FZ80" s="13">
        <f>IF('Données projet'!$A$244&gt;35,FZ79+FY80-GH79,IF(A80&lt;'Données projet'!$A$244,$FW$205^A80,IF(A80='Données projet'!$A$244,'Données projet'!$B$244,FZ79+FY80-GH79)))</f>
        <v>242.80000000000004</v>
      </c>
      <c r="GA80" s="18">
        <f>FZ80*VLOOKUP('Données projet'!$B$17,Paramètres!$A$1:$I$89,3,0)*VLOOKUP('Données projet'!$B$17,Paramètres!$A$1:$I$89,5,0)</f>
        <v>234.83616000000006</v>
      </c>
      <c r="GB80" s="14">
        <f t="shared" si="103"/>
        <v>57.327102622427489</v>
      </c>
      <c r="GC80" s="22">
        <f t="shared" si="79"/>
        <v>508.85101573406132</v>
      </c>
      <c r="GD80" s="60">
        <f t="shared" si="80"/>
        <v>778.36117495833355</v>
      </c>
      <c r="GE80" s="60">
        <f ca="1">AVERAGE(OFFSET($GD$3,0,0,'Données projet'!$E$17+1,1))-AVERAGE(OFFSET($H$3,0,0,'Données projet'!$E$17+1,1))</f>
        <v>495.77880062178235</v>
      </c>
      <c r="GF80" s="60">
        <f t="shared" si="104"/>
        <v>263.55891737750301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8.6</v>
      </c>
      <c r="N81" s="14">
        <f>IF('Données projet'!$A$36&gt;35,N80+M81-V80,IF(A81&lt;'Données projet'!$A$36,$K$205^A81,IF(A81='Données projet'!$A$36,'Données projet'!$B$36,N80+M81-V80)))</f>
        <v>332.80000000000013</v>
      </c>
      <c r="O81" s="14">
        <f>N81*VLOOKUP('Données projet'!$B$9,Paramètres!$A$1:$I$89,3,0)*VLOOKUP('Données projet'!$B$9,Paramètres!$A$1:$I$89,5,0)</f>
        <v>285.54240000000016</v>
      </c>
      <c r="P81" s="14">
        <f t="shared" si="87"/>
        <v>68.136937829389524</v>
      </c>
      <c r="Q81" s="22">
        <f t="shared" si="54"/>
        <v>615.99151338618697</v>
      </c>
      <c r="R81" s="60">
        <f t="shared" si="55"/>
        <v>885.91495142061319</v>
      </c>
      <c r="S81" s="60">
        <f ca="1">AVERAGE(OFFSET($R$3,0,0,'Données projet'!$E$9+1,1))-AVERAGE(OFFSET($H$3,0,0,'Données projet'!$E$9+1,1))</f>
        <v>598.73855311281966</v>
      </c>
      <c r="T81" s="60">
        <f t="shared" si="88"/>
        <v>275.88160405468193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248.70000000000005</v>
      </c>
      <c r="AJ81" s="14">
        <f>AI81*VLOOKUP('Données projet'!$B$10,Paramètres!$A$1:$I$89,3,0)*VLOOKUP('Données projet'!$B$10,Paramètres!$A$1:$I$89,5,0)</f>
        <v>252.18180000000007</v>
      </c>
      <c r="AK81" s="14">
        <f t="shared" si="89"/>
        <v>61.052903950516018</v>
      </c>
      <c r="AL81" s="22">
        <f t="shared" si="58"/>
        <v>545.55044271381541</v>
      </c>
      <c r="AM81" s="60">
        <f t="shared" si="59"/>
        <v>815.47388074824164</v>
      </c>
      <c r="AN81" s="60">
        <f ca="1">AVERAGE(OFFSET($AM$3,0,0,'Données projet'!$E$10+1,1))-AVERAGE(OFFSET($H$3,0,0,'Données projet'!$E$10+1,1))</f>
        <v>515.72324585399997</v>
      </c>
      <c r="AO81" s="60">
        <f t="shared" si="90"/>
        <v>273.35778700650792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221.68598400000027</v>
      </c>
      <c r="BF81" s="14">
        <f t="shared" si="91"/>
        <v>54.481163037622622</v>
      </c>
      <c r="BG81" s="22">
        <f t="shared" si="61"/>
        <v>480.99111442385987</v>
      </c>
      <c r="BH81" s="60">
        <f t="shared" si="62"/>
        <v>750.91455245828615</v>
      </c>
      <c r="BI81" s="60">
        <f ca="1">AVERAGE(OFFSET($BH$3,0,0,'Données projet'!$E$11+1,1))-AVERAGE(OFFSET($H$3,0,0,'Données projet'!$E$11+1,1))</f>
        <v>336.25341821407534</v>
      </c>
      <c r="BJ81" s="60">
        <f t="shared" si="92"/>
        <v>360.3246221345039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1.3741838091042777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1.3741838091042777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4.3589743589743595</v>
      </c>
      <c r="BY81" s="13">
        <f>IF('Données projet'!$A$114&gt;35,BY80+BX81-CG80,IF(A81&lt;'Données projet'!$A$114,$BV$205^A81,IF(A81='Données projet'!$A$114,'Données projet'!$B$114,BY80+BX81-CG80)))</f>
        <v>243.8461538461539</v>
      </c>
      <c r="BZ81" s="14">
        <f>BY81*VLOOKUP('Données projet'!$B$12,Paramètres!$A$1:$I$89,3,0)*VLOOKUP('Données projet'!$B$12,Paramètres!$A$1:$I$89,5,0)</f>
        <v>232.04400000000004</v>
      </c>
      <c r="CA81" s="14">
        <f t="shared" si="93"/>
        <v>56.724414281075624</v>
      </c>
      <c r="CB81" s="22">
        <f t="shared" si="64"/>
        <v>502.93832153954008</v>
      </c>
      <c r="CC81" s="60">
        <f t="shared" si="65"/>
        <v>772.86175957396631</v>
      </c>
      <c r="CD81" s="60">
        <f ca="1">AVERAGE(OFFSET($CC$3,0,0,'Données projet'!$E$12+1,1))-AVERAGE(OFFSET($H$3,0,0,'Données projet'!$E$12+1,1))</f>
        <v>438.41611139377829</v>
      </c>
      <c r="CE81" s="60">
        <f t="shared" si="94"/>
        <v>345.17417065809605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3.5600000000000023</v>
      </c>
      <c r="CT81" s="13">
        <f>IF('Données projet'!$A$140&gt;35,CT80+CS81-DB80,IF(A81&lt;'Données projet'!$A$140,$CQ$205^A81,IF(A81='Données projet'!$A$140,'Données projet'!$B$140,CT80+CS81-DB80)))</f>
        <v>346.67999999999995</v>
      </c>
      <c r="CU81" s="18">
        <f>CT81*VLOOKUP('Données projet'!$B$13,Paramètres!$A$1:$I$89,3,0)*VLOOKUP('Données projet'!$B$13,Paramètres!$A$1:$I$89,5,0)</f>
        <v>275.81860799999998</v>
      </c>
      <c r="CV81" s="14">
        <f t="shared" si="95"/>
        <v>66.082588241439169</v>
      </c>
      <c r="CW81" s="22">
        <f t="shared" si="67"/>
        <v>595.47791678717317</v>
      </c>
      <c r="CX81" s="60">
        <f t="shared" si="68"/>
        <v>865.4013548215994</v>
      </c>
      <c r="CY81" s="60">
        <f ca="1">AVERAGE(OFFSET($CX$3,0,0,'Données projet'!$E$13+1,1))-AVERAGE(OFFSET($H$3,0,0,'Données projet'!$E$13+1,1))</f>
        <v>395.27840703467933</v>
      </c>
      <c r="CZ81" s="60">
        <f t="shared" si="96"/>
        <v>364.24192380053944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-2.8421709430404007E-13</v>
      </c>
      <c r="DP81" s="18">
        <f>DO81*VLOOKUP('Données projet'!$B$14,Paramètres!$A$1:$I$89,3,0)*VLOOKUP('Données projet'!$B$14,Paramètres!$A$1:$I$89,5,0)</f>
        <v>-2.2168933355715128E-13</v>
      </c>
      <c r="DQ81" s="14" t="e">
        <f t="shared" si="97"/>
        <v>#NUM!</v>
      </c>
      <c r="DR81" s="22" t="e">
        <f t="shared" si="70"/>
        <v>#NUM!</v>
      </c>
      <c r="DS81" s="60" t="e">
        <f t="shared" si="71"/>
        <v>#NUM!</v>
      </c>
      <c r="DT81" s="60">
        <f ca="1">AVERAGE(OFFSET($DS$3,0,0,'Données projet'!$E$14+1,1))-AVERAGE(OFFSET($H$3,0,0,'Données projet'!$E$14+1,1))</f>
        <v>308.76306523144956</v>
      </c>
      <c r="DU81" s="60">
        <f t="shared" si="98"/>
        <v>283.28099819802776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4.4871794871794801</v>
      </c>
      <c r="EJ81" s="13">
        <f>IF('Données projet'!$A$192&gt;35,EJ80+EI81-ER80,IF(A81&lt;'Données projet'!$A$192,$EG$205^A81,IF(A81='Données projet'!$A$192,'Données projet'!$B$192,EJ80+EI81-ER80)))</f>
        <v>299.35897435897431</v>
      </c>
      <c r="EK81" s="18">
        <f>EJ81*VLOOKUP('Données projet'!$B$15,Paramètres!$A$1:$I$89,3,0)*VLOOKUP('Données projet'!$B$15,Paramètres!$A$1:$I$89,5,0)</f>
        <v>200.80999999999997</v>
      </c>
      <c r="EL81" s="14">
        <f t="shared" si="99"/>
        <v>49.922139312667404</v>
      </c>
      <c r="EM81" s="22">
        <f t="shared" si="73"/>
        <v>436.69180930289571</v>
      </c>
      <c r="EN81" s="60">
        <f t="shared" si="74"/>
        <v>706.61524733732199</v>
      </c>
      <c r="EO81" s="60">
        <f ca="1">AVERAGE(OFFSET($EN$3,0,0,'Données projet'!$E$15+1,1))-AVERAGE(OFFSET($H$3,0,0,'Données projet'!$E$15+1,1))</f>
        <v>375.49921531693559</v>
      </c>
      <c r="EP81" s="60">
        <f t="shared" si="100"/>
        <v>306.93934681565599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4.2</v>
      </c>
      <c r="FE81" s="13">
        <f>IF('Données projet'!$A$218&gt;35,FE80+FD81-FM80,IF(A81&lt;'Données projet'!$A$218,$FB$205^A81,IF(A81='Données projet'!$A$218,'Données projet'!$B$218,FE80+FD81-FM80)))</f>
        <v>239.60000000000011</v>
      </c>
      <c r="FF81" s="18">
        <f>FE81*VLOOKUP('Données projet'!$B$16,Paramètres!$A$1:$I$89,3,0)*VLOOKUP('Données projet'!$B$16,Paramètres!$A$1:$I$89,5,0)</f>
        <v>194.36352000000008</v>
      </c>
      <c r="FG81" s="14">
        <f t="shared" si="101"/>
        <v>48.50338660810538</v>
      </c>
      <c r="FH81" s="22">
        <f t="shared" si="76"/>
        <v>422.99319567578368</v>
      </c>
      <c r="FI81" s="60">
        <f t="shared" si="77"/>
        <v>692.91663371020991</v>
      </c>
      <c r="FJ81" s="60">
        <f ca="1">AVERAGE(OFFSET($FI$3,0,0,'Données projet'!$E$16+1,1))-AVERAGE(OFFSET($H$3,0,0,'Données projet'!$E$16+1,1))</f>
        <v>308.58270639204238</v>
      </c>
      <c r="FK81" s="60">
        <f t="shared" si="102"/>
        <v>258.90832875500325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5.9</v>
      </c>
      <c r="FZ81" s="13">
        <f>IF('Données projet'!$A$244&gt;35,FZ80+FY81-GH80,IF(A81&lt;'Données projet'!$A$244,$FW$205^A81,IF(A81='Données projet'!$A$244,'Données projet'!$B$244,FZ80+FY81-GH80)))</f>
        <v>248.70000000000005</v>
      </c>
      <c r="GA81" s="18">
        <f>FZ81*VLOOKUP('Données projet'!$B$17,Paramètres!$A$1:$I$89,3,0)*VLOOKUP('Données projet'!$B$17,Paramètres!$A$1:$I$89,5,0)</f>
        <v>240.54264000000003</v>
      </c>
      <c r="GB81" s="14">
        <f t="shared" si="103"/>
        <v>58.556266771166314</v>
      </c>
      <c r="GC81" s="22">
        <f t="shared" si="79"/>
        <v>520.93059595978139</v>
      </c>
      <c r="GD81" s="60">
        <f t="shared" si="80"/>
        <v>790.85403399420761</v>
      </c>
      <c r="GE81" s="60">
        <f ca="1">AVERAGE(OFFSET($GD$3,0,0,'Données projet'!$E$17+1,1))-AVERAGE(OFFSET($H$3,0,0,'Données projet'!$E$17+1,1))</f>
        <v>495.77880062178235</v>
      </c>
      <c r="GF81" s="60">
        <f t="shared" si="104"/>
        <v>263.55891737750301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8.6</v>
      </c>
      <c r="N82" s="14">
        <f>IF('Données projet'!$A$36&gt;35,N81+M82-V81,IF(A82&lt;'Données projet'!$A$36,$K$205^A82,IF(A82='Données projet'!$A$36,'Données projet'!$B$36,N81+M82-V81)))</f>
        <v>341.40000000000015</v>
      </c>
      <c r="O82" s="14">
        <f>N82*VLOOKUP('Données projet'!$B$9,Paramètres!$A$1:$I$89,3,0)*VLOOKUP('Données projet'!$B$9,Paramètres!$A$1:$I$89,5,0)</f>
        <v>292.92120000000017</v>
      </c>
      <c r="P82" s="14">
        <f t="shared" si="87"/>
        <v>69.690419032101261</v>
      </c>
      <c r="Q82" s="22">
        <f t="shared" si="54"/>
        <v>631.54856981424325</v>
      </c>
      <c r="R82" s="60">
        <f t="shared" si="55"/>
        <v>901.87811719542015</v>
      </c>
      <c r="S82" s="60">
        <f ca="1">AVERAGE(OFFSET($R$3,0,0,'Données projet'!$E$9+1,1))-AVERAGE(OFFSET($H$3,0,0,'Données projet'!$E$9+1,1))</f>
        <v>598.73855311281966</v>
      </c>
      <c r="T82" s="60">
        <f t="shared" si="88"/>
        <v>275.88160405468193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254.60000000000005</v>
      </c>
      <c r="AJ82" s="14">
        <f>AI82*VLOOKUP('Données projet'!$B$10,Paramètres!$A$1:$I$89,3,0)*VLOOKUP('Données projet'!$B$10,Paramètres!$A$1:$I$89,5,0)</f>
        <v>258.16440000000006</v>
      </c>
      <c r="AK82" s="14">
        <f t="shared" si="89"/>
        <v>62.3309410183914</v>
      </c>
      <c r="AL82" s="22">
        <f t="shared" si="58"/>
        <v>558.19605227369846</v>
      </c>
      <c r="AM82" s="60">
        <f t="shared" si="59"/>
        <v>828.52559965487535</v>
      </c>
      <c r="AN82" s="60">
        <f ca="1">AVERAGE(OFFSET($AM$3,0,0,'Données projet'!$E$10+1,1))-AVERAGE(OFFSET($H$3,0,0,'Données projet'!$E$10+1,1))</f>
        <v>515.72324585399997</v>
      </c>
      <c r="AO82" s="60">
        <f t="shared" si="90"/>
        <v>273.35778700650792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224.05687200000028</v>
      </c>
      <c r="BF82" s="14">
        <f t="shared" si="91"/>
        <v>54.995686928373175</v>
      </c>
      <c r="BG82" s="22">
        <f t="shared" si="61"/>
        <v>486.01654013358376</v>
      </c>
      <c r="BH82" s="60">
        <f t="shared" si="62"/>
        <v>756.34608751476071</v>
      </c>
      <c r="BI82" s="60">
        <f ca="1">AVERAGE(OFFSET($BH$3,0,0,'Données projet'!$E$11+1,1))-AVERAGE(OFFSET($H$3,0,0,'Données projet'!$E$11+1,1))</f>
        <v>336.25341821407534</v>
      </c>
      <c r="BJ82" s="60">
        <f t="shared" si="92"/>
        <v>360.3246221345039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1.3366066805791355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1.3366066805791355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4.3589743589743595</v>
      </c>
      <c r="BY82" s="13">
        <f>IF('Données projet'!$A$114&gt;35,BY81+BX82-CG81,IF(A82&lt;'Données projet'!$A$114,$BV$205^A82,IF(A82='Données projet'!$A$114,'Données projet'!$B$114,BY81+BX82-CG81)))</f>
        <v>248.20512820512826</v>
      </c>
      <c r="BZ82" s="14">
        <f>BY82*VLOOKUP('Données projet'!$B$12,Paramètres!$A$1:$I$89,3,0)*VLOOKUP('Données projet'!$B$12,Paramètres!$A$1:$I$89,5,0)</f>
        <v>236.19200000000006</v>
      </c>
      <c r="CA82" s="14">
        <f t="shared" si="93"/>
        <v>57.619459643421678</v>
      </c>
      <c r="CB82" s="22">
        <f t="shared" si="64"/>
        <v>511.72162554562624</v>
      </c>
      <c r="CC82" s="60">
        <f t="shared" si="65"/>
        <v>782.05117292680325</v>
      </c>
      <c r="CD82" s="60">
        <f ca="1">AVERAGE(OFFSET($CC$3,0,0,'Données projet'!$E$12+1,1))-AVERAGE(OFFSET($H$3,0,0,'Données projet'!$E$12+1,1))</f>
        <v>438.41611139377829</v>
      </c>
      <c r="CE82" s="60">
        <f t="shared" si="94"/>
        <v>345.17417065809605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3.5600000000000023</v>
      </c>
      <c r="CT82" s="13">
        <f>IF('Données projet'!$A$140&gt;35,CT81+CS82-DB81,IF(A82&lt;'Données projet'!$A$140,$CQ$205^A82,IF(A82='Données projet'!$A$140,'Données projet'!$B$140,CT81+CS82-DB81)))</f>
        <v>350.23999999999995</v>
      </c>
      <c r="CU82" s="18">
        <f>CT82*VLOOKUP('Données projet'!$B$13,Paramètres!$A$1:$I$89,3,0)*VLOOKUP('Données projet'!$B$13,Paramètres!$A$1:$I$89,5,0)</f>
        <v>278.65094399999998</v>
      </c>
      <c r="CV82" s="14">
        <f t="shared" si="95"/>
        <v>66.681834480275469</v>
      </c>
      <c r="CW82" s="22">
        <f t="shared" si="67"/>
        <v>601.45458918647978</v>
      </c>
      <c r="CX82" s="60">
        <f t="shared" si="68"/>
        <v>871.78413656765679</v>
      </c>
      <c r="CY82" s="60">
        <f ca="1">AVERAGE(OFFSET($CX$3,0,0,'Données projet'!$E$13+1,1))-AVERAGE(OFFSET($H$3,0,0,'Données projet'!$E$13+1,1))</f>
        <v>395.27840703467933</v>
      </c>
      <c r="CZ82" s="60">
        <f t="shared" si="96"/>
        <v>364.24192380053944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-2.8421709430404007E-13</v>
      </c>
      <c r="DP82" s="18">
        <f>DO82*VLOOKUP('Données projet'!$B$14,Paramètres!$A$1:$I$89,3,0)*VLOOKUP('Données projet'!$B$14,Paramètres!$A$1:$I$89,5,0)</f>
        <v>-2.2168933355715128E-13</v>
      </c>
      <c r="DQ82" s="14" t="e">
        <f t="shared" si="97"/>
        <v>#NUM!</v>
      </c>
      <c r="DR82" s="22" t="e">
        <f t="shared" si="70"/>
        <v>#NUM!</v>
      </c>
      <c r="DS82" s="60" t="e">
        <f t="shared" si="71"/>
        <v>#NUM!</v>
      </c>
      <c r="DT82" s="60">
        <f ca="1">AVERAGE(OFFSET($DS$3,0,0,'Données projet'!$E$14+1,1))-AVERAGE(OFFSET($H$3,0,0,'Données projet'!$E$14+1,1))</f>
        <v>308.76306523144956</v>
      </c>
      <c r="DU82" s="60">
        <f t="shared" si="98"/>
        <v>283.28099819802776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4.4871794871794801</v>
      </c>
      <c r="EJ82" s="13">
        <f>IF('Données projet'!$A$192&gt;35,EJ81+EI82-ER81,IF(A82&lt;'Données projet'!$A$192,$EG$205^A82,IF(A82='Données projet'!$A$192,'Données projet'!$B$192,EJ81+EI82-ER81)))</f>
        <v>303.84615384615381</v>
      </c>
      <c r="EK82" s="18">
        <f>EJ82*VLOOKUP('Données projet'!$B$15,Paramètres!$A$1:$I$89,3,0)*VLOOKUP('Données projet'!$B$15,Paramètres!$A$1:$I$89,5,0)</f>
        <v>203.81999999999996</v>
      </c>
      <c r="EL82" s="14">
        <f t="shared" si="99"/>
        <v>50.58276144473934</v>
      </c>
      <c r="EM82" s="22">
        <f t="shared" si="73"/>
        <v>443.08480951625421</v>
      </c>
      <c r="EN82" s="60">
        <f t="shared" si="74"/>
        <v>713.41435689743116</v>
      </c>
      <c r="EO82" s="60">
        <f ca="1">AVERAGE(OFFSET($EN$3,0,0,'Données projet'!$E$15+1,1))-AVERAGE(OFFSET($H$3,0,0,'Données projet'!$E$15+1,1))</f>
        <v>375.49921531693559</v>
      </c>
      <c r="EP82" s="60">
        <f t="shared" si="100"/>
        <v>306.93934681565599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4.2</v>
      </c>
      <c r="FE82" s="13">
        <f>IF('Données projet'!$A$218&gt;35,FE81+FD82-FM81,IF(A82&lt;'Données projet'!$A$218,$FB$205^A82,IF(A82='Données projet'!$A$218,'Données projet'!$B$218,FE81+FD82-FM81)))</f>
        <v>243.8000000000001</v>
      </c>
      <c r="FF82" s="18">
        <f>FE82*VLOOKUP('Données projet'!$B$16,Paramètres!$A$1:$I$89,3,0)*VLOOKUP('Données projet'!$B$16,Paramètres!$A$1:$I$89,5,0)</f>
        <v>197.7705600000001</v>
      </c>
      <c r="FG82" s="14">
        <f t="shared" si="101"/>
        <v>49.253885093250254</v>
      </c>
      <c r="FH82" s="22">
        <f t="shared" si="76"/>
        <v>430.23424187074437</v>
      </c>
      <c r="FI82" s="60">
        <f t="shared" si="77"/>
        <v>700.56378925192132</v>
      </c>
      <c r="FJ82" s="60">
        <f ca="1">AVERAGE(OFFSET($FI$3,0,0,'Données projet'!$E$16+1,1))-AVERAGE(OFFSET($H$3,0,0,'Données projet'!$E$16+1,1))</f>
        <v>308.58270639204238</v>
      </c>
      <c r="FK82" s="60">
        <f t="shared" si="102"/>
        <v>258.90832875500325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5.9</v>
      </c>
      <c r="FZ82" s="13">
        <f>IF('Données projet'!$A$244&gt;35,FZ81+FY82-GH81,IF(A82&lt;'Données projet'!$A$244,$FW$205^A82,IF(A82='Données projet'!$A$244,'Données projet'!$B$244,FZ81+FY82-GH81)))</f>
        <v>254.60000000000005</v>
      </c>
      <c r="GA82" s="18">
        <f>FZ82*VLOOKUP('Données projet'!$B$17,Paramètres!$A$1:$I$89,3,0)*VLOOKUP('Données projet'!$B$17,Paramètres!$A$1:$I$89,5,0)</f>
        <v>246.24912000000006</v>
      </c>
      <c r="GB82" s="14">
        <f t="shared" si="103"/>
        <v>59.782041052936862</v>
      </c>
      <c r="GC82" s="22">
        <f t="shared" si="79"/>
        <v>533.00427216719845</v>
      </c>
      <c r="GD82" s="60">
        <f t="shared" si="80"/>
        <v>803.33381954837546</v>
      </c>
      <c r="GE82" s="60">
        <f ca="1">AVERAGE(OFFSET($GD$3,0,0,'Données projet'!$E$17+1,1))-AVERAGE(OFFSET($H$3,0,0,'Données projet'!$E$17+1,1))</f>
        <v>495.77880062178235</v>
      </c>
      <c r="GF82" s="60">
        <f t="shared" si="104"/>
        <v>263.55891737750301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8.6</v>
      </c>
      <c r="N83" s="14">
        <f>IF('Données projet'!$A$36&gt;35,N82+M83-V82,IF(A83&lt;'Données projet'!$A$36,$K$205^A83,IF(A83='Données projet'!$A$36,'Données projet'!$B$36,N82+M83-V82)))</f>
        <v>350.00000000000017</v>
      </c>
      <c r="O83" s="14">
        <f>N83*VLOOKUP('Données projet'!$B$9,Paramètres!$A$1:$I$89,3,0)*VLOOKUP('Données projet'!$B$9,Paramètres!$A$1:$I$89,5,0)</f>
        <v>300.30000000000018</v>
      </c>
      <c r="P83" s="14">
        <f t="shared" si="87"/>
        <v>71.23935133989022</v>
      </c>
      <c r="Q83" s="22">
        <f t="shared" si="54"/>
        <v>647.09770358364244</v>
      </c>
      <c r="R83" s="60">
        <f t="shared" si="55"/>
        <v>917.8263152223285</v>
      </c>
      <c r="S83" s="60">
        <f ca="1">AVERAGE(OFFSET($R$3,0,0,'Données projet'!$E$9+1,1))-AVERAGE(OFFSET($H$3,0,0,'Données projet'!$E$9+1,1))</f>
        <v>598.73855311281966</v>
      </c>
      <c r="T83" s="60">
        <f t="shared" si="88"/>
        <v>275.88160405468193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260.50000000000006</v>
      </c>
      <c r="AJ83" s="14">
        <f>AI83*VLOOKUP('Données projet'!$B$10,Paramètres!$A$1:$I$89,3,0)*VLOOKUP('Données projet'!$B$10,Paramètres!$A$1:$I$89,5,0)</f>
        <v>264.14700000000011</v>
      </c>
      <c r="AK83" s="14">
        <f t="shared" si="89"/>
        <v>63.605535018865943</v>
      </c>
      <c r="AL83" s="22">
        <f t="shared" si="58"/>
        <v>570.83566515785844</v>
      </c>
      <c r="AM83" s="60">
        <f t="shared" si="59"/>
        <v>841.56427679654462</v>
      </c>
      <c r="AN83" s="60">
        <f ca="1">AVERAGE(OFFSET($AM$3,0,0,'Données projet'!$E$10+1,1))-AVERAGE(OFFSET($H$3,0,0,'Données projet'!$E$10+1,1))</f>
        <v>515.72324585399997</v>
      </c>
      <c r="AO83" s="60">
        <f t="shared" si="90"/>
        <v>273.35778700650792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226.42776000000029</v>
      </c>
      <c r="BF83" s="14">
        <f t="shared" si="91"/>
        <v>55.50957745649643</v>
      </c>
      <c r="BG83" s="22">
        <f t="shared" si="61"/>
        <v>491.0408627367317</v>
      </c>
      <c r="BH83" s="60">
        <f t="shared" si="62"/>
        <v>761.76947437541776</v>
      </c>
      <c r="BI83" s="60">
        <f ca="1">AVERAGE(OFFSET($BH$3,0,0,'Données projet'!$E$11+1,1))-AVERAGE(OFFSET($H$3,0,0,'Données projet'!$E$11+1,1))</f>
        <v>336.25341821407534</v>
      </c>
      <c r="BJ83" s="60">
        <f t="shared" si="92"/>
        <v>360.3246221345039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1.3000571006096084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1.3000571006096084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252.56410256410257</v>
      </c>
      <c r="BW83" s="13">
        <f>VLOOKUP(A83,'Données projet'!$A$113:$I$133,9,0)</f>
        <v>4.3589743589743595</v>
      </c>
      <c r="BX83" s="13">
        <f t="array" ref="BX83">INDEX(BW:BW,MIN(IF(ISNUMBER(BW83:BW279),ROW(BW83:BW279),"")))</f>
        <v>4.3589743589743595</v>
      </c>
      <c r="BY83" s="13">
        <f>IF('Données projet'!$A$114&gt;35,BY82+BX83-CG82,IF(A83&lt;'Données projet'!$A$114,$BV$205^A83,IF(A83='Données projet'!$A$114,'Données projet'!$B$114,BY82+BX83-CG82)))</f>
        <v>252.56410256410263</v>
      </c>
      <c r="BZ83" s="14">
        <f>BY83*VLOOKUP('Données projet'!$B$12,Paramètres!$A$1:$I$89,3,0)*VLOOKUP('Données projet'!$B$12,Paramètres!$A$1:$I$89,5,0)</f>
        <v>240.34000000000006</v>
      </c>
      <c r="CA83" s="14">
        <f t="shared" si="93"/>
        <v>58.512677110228644</v>
      </c>
      <c r="CB83" s="22">
        <f t="shared" si="64"/>
        <v>520.5017459669815</v>
      </c>
      <c r="CC83" s="60">
        <f t="shared" si="65"/>
        <v>791.23035760566768</v>
      </c>
      <c r="CD83" s="60">
        <f ca="1">AVERAGE(OFFSET($CC$3,0,0,'Données projet'!$E$12+1,1))-AVERAGE(OFFSET($H$3,0,0,'Données projet'!$E$12+1,1))</f>
        <v>438.41611139377829</v>
      </c>
      <c r="CE83" s="60">
        <f t="shared" si="94"/>
        <v>345.17417065809605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30.128205128205128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353.8</v>
      </c>
      <c r="CR83" s="13">
        <f>VLOOKUP(A83,'Données projet'!$A$139:$I$159,9,0)</f>
        <v>3.5600000000000023</v>
      </c>
      <c r="CS83" s="13">
        <f t="array" ref="CS83">INDEX(CR:CR,MIN(IF(ISNUMBER(CR83:CR279),ROW(CR83:CR279),"")))</f>
        <v>3.5600000000000023</v>
      </c>
      <c r="CT83" s="13">
        <f>IF('Données projet'!$A$140&gt;35,CT82+CS83-DB82,IF(A83&lt;'Données projet'!$A$140,$CQ$205^A83,IF(A83='Données projet'!$A$140,'Données projet'!$B$140,CT82+CS83-DB82)))</f>
        <v>353.79999999999995</v>
      </c>
      <c r="CU83" s="18">
        <f>CT83*VLOOKUP('Données projet'!$B$13,Paramètres!$A$1:$I$89,3,0)*VLOOKUP('Données projet'!$B$13,Paramètres!$A$1:$I$89,5,0)</f>
        <v>281.48327999999998</v>
      </c>
      <c r="CV83" s="14">
        <f t="shared" si="95"/>
        <v>67.280372131477449</v>
      </c>
      <c r="CW83" s="22">
        <f t="shared" si="67"/>
        <v>607.43002746232321</v>
      </c>
      <c r="CX83" s="60">
        <f t="shared" si="68"/>
        <v>878.15863910100938</v>
      </c>
      <c r="CY83" s="60">
        <f ca="1">AVERAGE(OFFSET($CX$3,0,0,'Données projet'!$E$13+1,1))-AVERAGE(OFFSET($H$3,0,0,'Données projet'!$E$13+1,1))</f>
        <v>395.27840703467933</v>
      </c>
      <c r="CZ83" s="60">
        <f t="shared" si="96"/>
        <v>364.24192380053944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353.8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-2.8421709430404007E-13</v>
      </c>
      <c r="DP83" s="18">
        <f>DO83*VLOOKUP('Données projet'!$B$14,Paramètres!$A$1:$I$89,3,0)*VLOOKUP('Données projet'!$B$14,Paramètres!$A$1:$I$89,5,0)</f>
        <v>-2.2168933355715128E-13</v>
      </c>
      <c r="DQ83" s="14" t="e">
        <f t="shared" si="97"/>
        <v>#NUM!</v>
      </c>
      <c r="DR83" s="22" t="e">
        <f t="shared" si="70"/>
        <v>#NUM!</v>
      </c>
      <c r="DS83" s="60" t="e">
        <f t="shared" si="71"/>
        <v>#NUM!</v>
      </c>
      <c r="DT83" s="60">
        <f ca="1">AVERAGE(OFFSET($DS$3,0,0,'Données projet'!$E$14+1,1))-AVERAGE(OFFSET($H$3,0,0,'Données projet'!$E$14+1,1))</f>
        <v>308.76306523144956</v>
      </c>
      <c r="DU83" s="60">
        <f t="shared" si="98"/>
        <v>283.28099819802776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308.33333333333331</v>
      </c>
      <c r="EH83" s="13">
        <f>VLOOKUP(A83,'Données projet'!$A$191:$I$211,9,0)</f>
        <v>4.4871794871794801</v>
      </c>
      <c r="EI83" s="13">
        <f t="array" ref="EI83">INDEX(EH:EH,MIN(IF(ISNUMBER(EH83:EH279),ROW(EH83:EH279),"")))</f>
        <v>4.4871794871794801</v>
      </c>
      <c r="EJ83" s="13">
        <f>IF('Données projet'!$A$192&gt;35,EJ82+EI83-ER82,IF(A83&lt;'Données projet'!$A$192,$EG$205^A83,IF(A83='Données projet'!$A$192,'Données projet'!$B$192,EJ82+EI83-ER82)))</f>
        <v>308.33333333333331</v>
      </c>
      <c r="EK83" s="18">
        <f>EJ83*VLOOKUP('Données projet'!$B$15,Paramètres!$A$1:$I$89,3,0)*VLOOKUP('Données projet'!$B$15,Paramètres!$A$1:$I$89,5,0)</f>
        <v>206.82999999999998</v>
      </c>
      <c r="EL83" s="14">
        <f t="shared" si="99"/>
        <v>51.242248907602665</v>
      </c>
      <c r="EM83" s="22">
        <f t="shared" si="73"/>
        <v>449.47583351407462</v>
      </c>
      <c r="EN83" s="60">
        <f t="shared" si="74"/>
        <v>720.20444515276074</v>
      </c>
      <c r="EO83" s="60">
        <f ca="1">AVERAGE(OFFSET($EN$3,0,0,'Données projet'!$E$15+1,1))-AVERAGE(OFFSET($H$3,0,0,'Données projet'!$E$15+1,1))</f>
        <v>375.49921531693559</v>
      </c>
      <c r="EP83" s="60">
        <f t="shared" si="100"/>
        <v>306.93934681565599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28.205128205128204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248</v>
      </c>
      <c r="FC83" s="13">
        <f>VLOOKUP(A83,'Données projet'!$A$217:$I$237,9,0)</f>
        <v>4.2</v>
      </c>
      <c r="FD83" s="13">
        <f t="array" ref="FD83">INDEX(FC:FC,MIN(IF(ISNUMBER(FC83:FC279),ROW(FC83:FC279),"")))</f>
        <v>4.2</v>
      </c>
      <c r="FE83" s="13">
        <f>IF('Données projet'!$A$218&gt;35,FE82+FD83-FM82,IF(A83&lt;'Données projet'!$A$218,$FB$205^A83,IF(A83='Données projet'!$A$218,'Données projet'!$B$218,FE82+FD83-FM82)))</f>
        <v>248.00000000000009</v>
      </c>
      <c r="FF83" s="18">
        <f>FE83*VLOOKUP('Données projet'!$B$16,Paramètres!$A$1:$I$89,3,0)*VLOOKUP('Données projet'!$B$16,Paramètres!$A$1:$I$89,5,0)</f>
        <v>201.17760000000007</v>
      </c>
      <c r="FG83" s="14">
        <f t="shared" si="101"/>
        <v>50.002880070410733</v>
      </c>
      <c r="FH83" s="22">
        <f t="shared" si="76"/>
        <v>437.47266945596539</v>
      </c>
      <c r="FI83" s="60">
        <f t="shared" si="77"/>
        <v>708.20128109465145</v>
      </c>
      <c r="FJ83" s="60">
        <f ca="1">AVERAGE(OFFSET($FI$3,0,0,'Données projet'!$E$16+1,1))-AVERAGE(OFFSET($H$3,0,0,'Données projet'!$E$16+1,1))</f>
        <v>308.58270639204238</v>
      </c>
      <c r="FK83" s="60">
        <f t="shared" si="102"/>
        <v>258.90832875500325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27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5.9</v>
      </c>
      <c r="FZ83" s="13">
        <f>IF('Données projet'!$A$244&gt;35,FZ82+FY83-GH82,IF(A83&lt;'Données projet'!$A$244,$FW$205^A83,IF(A83='Données projet'!$A$244,'Données projet'!$B$244,FZ82+FY83-GH82)))</f>
        <v>260.50000000000006</v>
      </c>
      <c r="GA83" s="18">
        <f>FZ83*VLOOKUP('Données projet'!$B$17,Paramètres!$A$1:$I$89,3,0)*VLOOKUP('Données projet'!$B$17,Paramètres!$A$1:$I$89,5,0)</f>
        <v>251.95560000000009</v>
      </c>
      <c r="GB83" s="14">
        <f t="shared" si="103"/>
        <v>61.00451306470562</v>
      </c>
      <c r="GC83" s="22">
        <f t="shared" si="79"/>
        <v>545.07219692102899</v>
      </c>
      <c r="GD83" s="60">
        <f t="shared" si="80"/>
        <v>815.80080855971505</v>
      </c>
      <c r="GE83" s="60">
        <f ca="1">AVERAGE(OFFSET($GD$3,0,0,'Données projet'!$E$17+1,1))-AVERAGE(OFFSET($H$3,0,0,'Données projet'!$E$17+1,1))</f>
        <v>495.77880062178235</v>
      </c>
      <c r="GF83" s="60">
        <f t="shared" si="104"/>
        <v>263.55891737750301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8.6</v>
      </c>
      <c r="N84" s="14">
        <f>IF('Données projet'!$A$36&gt;35,N83+M84-V83,IF(A84&lt;'Données projet'!$A$36,$K$205^A84,IF(A84='Données projet'!$A$36,'Données projet'!$B$36,N83+M84-V83)))</f>
        <v>358.60000000000019</v>
      </c>
      <c r="O84" s="14">
        <f>N84*VLOOKUP('Données projet'!$B$9,Paramètres!$A$1:$I$89,3,0)*VLOOKUP('Données projet'!$B$9,Paramètres!$A$1:$I$89,5,0)</f>
        <v>307.67880000000019</v>
      </c>
      <c r="P84" s="14">
        <f t="shared" si="87"/>
        <v>72.783859383050824</v>
      </c>
      <c r="Q84" s="22">
        <f t="shared" si="54"/>
        <v>662.63913175881373</v>
      </c>
      <c r="R84" s="60">
        <f t="shared" si="55"/>
        <v>933.75988478231511</v>
      </c>
      <c r="S84" s="60">
        <f ca="1">AVERAGE(OFFSET($R$3,0,0,'Données projet'!$E$9+1,1))-AVERAGE(OFFSET($H$3,0,0,'Données projet'!$E$9+1,1))</f>
        <v>598.73855311281966</v>
      </c>
      <c r="T84" s="60">
        <f t="shared" si="88"/>
        <v>275.88160405468193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266.40000000000003</v>
      </c>
      <c r="AJ84" s="14">
        <f>AI84*VLOOKUP('Données projet'!$B$10,Paramètres!$A$1:$I$89,3,0)*VLOOKUP('Données projet'!$B$10,Paramètres!$A$1:$I$89,5,0)</f>
        <v>270.12960000000004</v>
      </c>
      <c r="AK84" s="14">
        <f t="shared" si="89"/>
        <v>64.876772910497735</v>
      </c>
      <c r="AL84" s="22">
        <f t="shared" si="58"/>
        <v>583.46943281911695</v>
      </c>
      <c r="AM84" s="60">
        <f t="shared" si="59"/>
        <v>854.59018584261844</v>
      </c>
      <c r="AN84" s="60">
        <f ca="1">AVERAGE(OFFSET($AM$3,0,0,'Données projet'!$E$10+1,1))-AVERAGE(OFFSET($H$3,0,0,'Données projet'!$E$10+1,1))</f>
        <v>515.72324585399997</v>
      </c>
      <c r="AO84" s="60">
        <f t="shared" si="90"/>
        <v>273.35778700650792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2.7134774427395314E-13</v>
      </c>
      <c r="BF84" s="14">
        <f t="shared" si="91"/>
        <v>3.6292411711343559E-12</v>
      </c>
      <c r="BG84" s="22">
        <f t="shared" si="61"/>
        <v>6.7935256943361388E-12</v>
      </c>
      <c r="BH84" s="60">
        <f t="shared" si="62"/>
        <v>271.12075302350826</v>
      </c>
      <c r="BI84" s="60">
        <f ca="1">AVERAGE(OFFSET($BH$3,0,0,'Données projet'!$E$11+1,1))-AVERAGE(OFFSET($H$3,0,0,'Données projet'!$E$11+1,1))</f>
        <v>336.25341821407534</v>
      </c>
      <c r="BJ84" s="60">
        <f t="shared" si="92"/>
        <v>360.3246221345039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1.2645069708264072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1.2645069708264072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4.2307692307692317</v>
      </c>
      <c r="BY84" s="13">
        <f>IF('Données projet'!$A$114&gt;35,BY83+BX84-CG83,IF(A84&lt;'Données projet'!$A$114,$BV$205^A84,IF(A84='Données projet'!$A$114,'Données projet'!$B$114,BY83+BX84-CG83)))</f>
        <v>226.66666666666674</v>
      </c>
      <c r="BZ84" s="14">
        <f>BY84*VLOOKUP('Données projet'!$B$12,Paramètres!$A$1:$I$89,3,0)*VLOOKUP('Données projet'!$B$12,Paramètres!$A$1:$I$89,5,0)</f>
        <v>215.69600000000008</v>
      </c>
      <c r="CA84" s="14">
        <f t="shared" si="93"/>
        <v>53.178359639922817</v>
      </c>
      <c r="CB84" s="22">
        <f t="shared" si="64"/>
        <v>468.289509706199</v>
      </c>
      <c r="CC84" s="60">
        <f t="shared" si="65"/>
        <v>739.41026272970043</v>
      </c>
      <c r="CD84" s="60">
        <f ca="1">AVERAGE(OFFSET($CC$3,0,0,'Données projet'!$E$12+1,1))-AVERAGE(OFFSET($H$3,0,0,'Données projet'!$E$12+1,1))</f>
        <v>438.41611139377829</v>
      </c>
      <c r="CE84" s="60">
        <f t="shared" si="94"/>
        <v>345.17417065809605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-4.5224624045658861E-14</v>
      </c>
      <c r="CV84" s="14" t="e">
        <f t="shared" si="95"/>
        <v>#NUM!</v>
      </c>
      <c r="CW84" s="22" t="e">
        <f t="shared" si="67"/>
        <v>#NUM!</v>
      </c>
      <c r="CX84" s="60" t="e">
        <f t="shared" si="68"/>
        <v>#NUM!</v>
      </c>
      <c r="CY84" s="60">
        <f ca="1">AVERAGE(OFFSET($CX$3,0,0,'Données projet'!$E$13+1,1))-AVERAGE(OFFSET($H$3,0,0,'Données projet'!$E$13+1,1))</f>
        <v>395.27840703467933</v>
      </c>
      <c r="CZ84" s="60">
        <f t="shared" si="96"/>
        <v>364.24192380053944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-2.8421709430404007E-13</v>
      </c>
      <c r="DP84" s="18">
        <f>DO84*VLOOKUP('Données projet'!$B$14,Paramètres!$A$1:$I$89,3,0)*VLOOKUP('Données projet'!$B$14,Paramètres!$A$1:$I$89,5,0)</f>
        <v>-2.2168933355715128E-13</v>
      </c>
      <c r="DQ84" s="14" t="e">
        <f t="shared" si="97"/>
        <v>#NUM!</v>
      </c>
      <c r="DR84" s="22" t="e">
        <f t="shared" si="70"/>
        <v>#NUM!</v>
      </c>
      <c r="DS84" s="60" t="e">
        <f t="shared" si="71"/>
        <v>#NUM!</v>
      </c>
      <c r="DT84" s="60">
        <f ca="1">AVERAGE(OFFSET($DS$3,0,0,'Données projet'!$E$14+1,1))-AVERAGE(OFFSET($H$3,0,0,'Données projet'!$E$14+1,1))</f>
        <v>308.76306523144956</v>
      </c>
      <c r="DU84" s="60">
        <f t="shared" si="98"/>
        <v>283.28099819802776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4.4871794871794917</v>
      </c>
      <c r="EJ84" s="13">
        <f>IF('Données projet'!$A$192&gt;35,EJ83+EI84-ER83,IF(A84&lt;'Données projet'!$A$192,$EG$205^A84,IF(A84='Données projet'!$A$192,'Données projet'!$B$192,EJ83+EI84-ER83)))</f>
        <v>284.61538461538464</v>
      </c>
      <c r="EK84" s="18">
        <f>EJ84*VLOOKUP('Données projet'!$B$15,Paramètres!$A$1:$I$89,3,0)*VLOOKUP('Données projet'!$B$15,Paramètres!$A$1:$I$89,5,0)</f>
        <v>190.92000000000004</v>
      </c>
      <c r="EL84" s="14">
        <f t="shared" si="99"/>
        <v>47.743294571931017</v>
      </c>
      <c r="EM84" s="22">
        <f t="shared" si="73"/>
        <v>415.67190471277991</v>
      </c>
      <c r="EN84" s="60">
        <f t="shared" si="74"/>
        <v>686.7926577362814</v>
      </c>
      <c r="EO84" s="60">
        <f ca="1">AVERAGE(OFFSET($EN$3,0,0,'Données projet'!$E$15+1,1))-AVERAGE(OFFSET($H$3,0,0,'Données projet'!$E$15+1,1))</f>
        <v>375.49921531693559</v>
      </c>
      <c r="EP84" s="60">
        <f t="shared" si="100"/>
        <v>306.93934681565599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4</v>
      </c>
      <c r="FE84" s="13">
        <f>IF('Données projet'!$A$218&gt;35,FE83+FD84-FM83,IF(A84&lt;'Données projet'!$A$218,$FB$205^A84,IF(A84='Données projet'!$A$218,'Données projet'!$B$218,FE83+FD84-FM83)))</f>
        <v>225.00000000000009</v>
      </c>
      <c r="FF84" s="18">
        <f>FE84*VLOOKUP('Données projet'!$B$16,Paramètres!$A$1:$I$89,3,0)*VLOOKUP('Données projet'!$B$16,Paramètres!$A$1:$I$89,5,0)</f>
        <v>182.52000000000007</v>
      </c>
      <c r="FG84" s="14">
        <f t="shared" si="101"/>
        <v>45.882385280285632</v>
      </c>
      <c r="FH84" s="22">
        <f t="shared" si="76"/>
        <v>397.80082102983096</v>
      </c>
      <c r="FI84" s="60">
        <f t="shared" si="77"/>
        <v>668.92157405333239</v>
      </c>
      <c r="FJ84" s="60">
        <f ca="1">AVERAGE(OFFSET($FI$3,0,0,'Données projet'!$E$16+1,1))-AVERAGE(OFFSET($H$3,0,0,'Données projet'!$E$16+1,1))</f>
        <v>308.58270639204238</v>
      </c>
      <c r="FK84" s="60">
        <f t="shared" si="102"/>
        <v>258.90832875500325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5.9</v>
      </c>
      <c r="FZ84" s="13">
        <f>IF('Données projet'!$A$244&gt;35,FZ83+FY84-GH83,IF(A84&lt;'Données projet'!$A$244,$FW$205^A84,IF(A84='Données projet'!$A$244,'Données projet'!$B$244,FZ83+FY84-GH83)))</f>
        <v>266.40000000000003</v>
      </c>
      <c r="GA84" s="18">
        <f>FZ84*VLOOKUP('Données projet'!$B$17,Paramètres!$A$1:$I$89,3,0)*VLOOKUP('Données projet'!$B$17,Paramètres!$A$1:$I$89,5,0)</f>
        <v>257.66208</v>
      </c>
      <c r="GB84" s="14">
        <f t="shared" si="103"/>
        <v>62.223766209033478</v>
      </c>
      <c r="GC84" s="22">
        <f t="shared" si="79"/>
        <v>557.13451548073328</v>
      </c>
      <c r="GD84" s="60">
        <f t="shared" si="80"/>
        <v>828.25526850423466</v>
      </c>
      <c r="GE84" s="60">
        <f ca="1">AVERAGE(OFFSET($GD$3,0,0,'Données projet'!$E$17+1,1))-AVERAGE(OFFSET($H$3,0,0,'Données projet'!$E$17+1,1))</f>
        <v>495.77880062178235</v>
      </c>
      <c r="GF84" s="60">
        <f t="shared" si="104"/>
        <v>263.55891737750301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8.6</v>
      </c>
      <c r="N85" s="14">
        <f>IF('Données projet'!$A$36&gt;35,N84+M85-V84,IF(A85&lt;'Données projet'!$A$36,$K$205^A85,IF(A85='Données projet'!$A$36,'Données projet'!$B$36,N84+M85-V84)))</f>
        <v>367.20000000000022</v>
      </c>
      <c r="O85" s="14">
        <f>N85*VLOOKUP('Données projet'!$B$9,Paramètres!$A$1:$I$89,3,0)*VLOOKUP('Données projet'!$B$9,Paramètres!$A$1:$I$89,5,0)</f>
        <v>315.05760000000021</v>
      </c>
      <c r="P85" s="14">
        <f t="shared" si="87"/>
        <v>74.324061473160654</v>
      </c>
      <c r="Q85" s="22">
        <f t="shared" si="54"/>
        <v>678.17306039908851</v>
      </c>
      <c r="R85" s="60">
        <f t="shared" si="55"/>
        <v>949.67915203107555</v>
      </c>
      <c r="S85" s="60">
        <f ca="1">AVERAGE(OFFSET($R$3,0,0,'Données projet'!$E$9+1,1))-AVERAGE(OFFSET($H$3,0,0,'Données projet'!$E$9+1,1))</f>
        <v>598.73855311281966</v>
      </c>
      <c r="T85" s="60">
        <f t="shared" si="88"/>
        <v>275.88160405468193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272.3</v>
      </c>
      <c r="AJ85" s="14">
        <f>AI85*VLOOKUP('Données projet'!$B$10,Paramètres!$A$1:$I$89,3,0)*VLOOKUP('Données projet'!$B$10,Paramètres!$A$1:$I$89,5,0)</f>
        <v>276.11220000000003</v>
      </c>
      <c r="AK85" s="14">
        <f t="shared" si="89"/>
        <v>66.14473758015302</v>
      </c>
      <c r="AL85" s="22">
        <f t="shared" si="58"/>
        <v>596.09749961876639</v>
      </c>
      <c r="AM85" s="60">
        <f t="shared" si="59"/>
        <v>867.60359125075342</v>
      </c>
      <c r="AN85" s="60">
        <f ca="1">AVERAGE(OFFSET($AM$3,0,0,'Données projet'!$E$10+1,1))-AVERAGE(OFFSET($H$3,0,0,'Données projet'!$E$10+1,1))</f>
        <v>515.72324585399997</v>
      </c>
      <c r="AO85" s="60">
        <f t="shared" si="90"/>
        <v>273.35778700650792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2.7134774427395314E-13</v>
      </c>
      <c r="BF85" s="14">
        <f t="shared" si="91"/>
        <v>3.6292411711343559E-12</v>
      </c>
      <c r="BG85" s="22">
        <f t="shared" si="61"/>
        <v>6.7935256943361388E-12</v>
      </c>
      <c r="BH85" s="60">
        <f t="shared" si="62"/>
        <v>271.50609163199385</v>
      </c>
      <c r="BI85" s="60">
        <f ca="1">AVERAGE(OFFSET($BH$3,0,0,'Données projet'!$E$11+1,1))-AVERAGE(OFFSET($H$3,0,0,'Données projet'!$E$11+1,1))</f>
        <v>336.25341821407534</v>
      </c>
      <c r="BJ85" s="60">
        <f t="shared" si="92"/>
        <v>360.3246221345039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1.2299289612116275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1.2299289612116275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4.2307692307692317</v>
      </c>
      <c r="BY85" s="13">
        <f>IF('Données projet'!$A$114&gt;35,BY84+BX85-CG84,IF(A85&lt;'Données projet'!$A$114,$BV$205^A85,IF(A85='Données projet'!$A$114,'Données projet'!$B$114,BY84+BX85-CG84)))</f>
        <v>230.89743589743597</v>
      </c>
      <c r="BZ85" s="14">
        <f>BY85*VLOOKUP('Données projet'!$B$12,Paramètres!$A$1:$I$89,3,0)*VLOOKUP('Données projet'!$B$12,Paramètres!$A$1:$I$89,5,0)</f>
        <v>219.72200000000007</v>
      </c>
      <c r="CA85" s="14">
        <f t="shared" si="93"/>
        <v>54.05445934840089</v>
      </c>
      <c r="CB85" s="22">
        <f t="shared" si="64"/>
        <v>476.82733336513166</v>
      </c>
      <c r="CC85" s="60">
        <f t="shared" si="65"/>
        <v>748.33342499711875</v>
      </c>
      <c r="CD85" s="60">
        <f ca="1">AVERAGE(OFFSET($CC$3,0,0,'Données projet'!$E$12+1,1))-AVERAGE(OFFSET($H$3,0,0,'Données projet'!$E$12+1,1))</f>
        <v>438.41611139377829</v>
      </c>
      <c r="CE85" s="60">
        <f t="shared" si="94"/>
        <v>345.17417065809605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-4.5224624045658861E-14</v>
      </c>
      <c r="CV85" s="14" t="e">
        <f t="shared" si="95"/>
        <v>#NUM!</v>
      </c>
      <c r="CW85" s="22" t="e">
        <f t="shared" si="67"/>
        <v>#NUM!</v>
      </c>
      <c r="CX85" s="60" t="e">
        <f t="shared" si="68"/>
        <v>#NUM!</v>
      </c>
      <c r="CY85" s="60">
        <f ca="1">AVERAGE(OFFSET($CX$3,0,0,'Données projet'!$E$13+1,1))-AVERAGE(OFFSET($H$3,0,0,'Données projet'!$E$13+1,1))</f>
        <v>395.27840703467933</v>
      </c>
      <c r="CZ85" s="60">
        <f t="shared" si="96"/>
        <v>364.24192380053944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-2.8421709430404007E-13</v>
      </c>
      <c r="DP85" s="18">
        <f>DO85*VLOOKUP('Données projet'!$B$14,Paramètres!$A$1:$I$89,3,0)*VLOOKUP('Données projet'!$B$14,Paramètres!$A$1:$I$89,5,0)</f>
        <v>-2.2168933355715128E-13</v>
      </c>
      <c r="DQ85" s="14" t="e">
        <f t="shared" si="97"/>
        <v>#NUM!</v>
      </c>
      <c r="DR85" s="22" t="e">
        <f t="shared" si="70"/>
        <v>#NUM!</v>
      </c>
      <c r="DS85" s="60" t="e">
        <f t="shared" si="71"/>
        <v>#NUM!</v>
      </c>
      <c r="DT85" s="60">
        <f ca="1">AVERAGE(OFFSET($DS$3,0,0,'Données projet'!$E$14+1,1))-AVERAGE(OFFSET($H$3,0,0,'Données projet'!$E$14+1,1))</f>
        <v>308.76306523144956</v>
      </c>
      <c r="DU85" s="60">
        <f t="shared" si="98"/>
        <v>283.28099819802776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4.4871794871794917</v>
      </c>
      <c r="EJ85" s="13">
        <f>IF('Données projet'!$A$192&gt;35,EJ84+EI85-ER84,IF(A85&lt;'Données projet'!$A$192,$EG$205^A85,IF(A85='Données projet'!$A$192,'Données projet'!$B$192,EJ84+EI85-ER84)))</f>
        <v>289.10256410256414</v>
      </c>
      <c r="EK85" s="18">
        <f>EJ85*VLOOKUP('Données projet'!$B$15,Paramètres!$A$1:$I$89,3,0)*VLOOKUP('Données projet'!$B$15,Paramètres!$A$1:$I$89,5,0)</f>
        <v>193.93000000000004</v>
      </c>
      <c r="EL85" s="14">
        <f t="shared" si="99"/>
        <v>48.407782055683981</v>
      </c>
      <c r="EM85" s="22">
        <f t="shared" si="73"/>
        <v>422.07163708031635</v>
      </c>
      <c r="EN85" s="60">
        <f t="shared" si="74"/>
        <v>693.57772871230338</v>
      </c>
      <c r="EO85" s="60">
        <f ca="1">AVERAGE(OFFSET($EN$3,0,0,'Données projet'!$E$15+1,1))-AVERAGE(OFFSET($H$3,0,0,'Données projet'!$E$15+1,1))</f>
        <v>375.49921531693559</v>
      </c>
      <c r="EP85" s="60">
        <f t="shared" si="100"/>
        <v>306.93934681565599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4</v>
      </c>
      <c r="FE85" s="13">
        <f>IF('Données projet'!$A$218&gt;35,FE84+FD85-FM84,IF(A85&lt;'Données projet'!$A$218,$FB$205^A85,IF(A85='Données projet'!$A$218,'Données projet'!$B$218,FE84+FD85-FM84)))</f>
        <v>229.00000000000009</v>
      </c>
      <c r="FF85" s="18">
        <f>FE85*VLOOKUP('Données projet'!$B$16,Paramètres!$A$1:$I$89,3,0)*VLOOKUP('Données projet'!$B$16,Paramètres!$A$1:$I$89,5,0)</f>
        <v>185.76480000000009</v>
      </c>
      <c r="FG85" s="14">
        <f t="shared" si="101"/>
        <v>46.602385341463361</v>
      </c>
      <c r="FH85" s="22">
        <f t="shared" si="76"/>
        <v>404.70618113638216</v>
      </c>
      <c r="FI85" s="60">
        <f t="shared" si="77"/>
        <v>676.21227276836919</v>
      </c>
      <c r="FJ85" s="60">
        <f ca="1">AVERAGE(OFFSET($FI$3,0,0,'Données projet'!$E$16+1,1))-AVERAGE(OFFSET($H$3,0,0,'Données projet'!$E$16+1,1))</f>
        <v>308.58270639204238</v>
      </c>
      <c r="FK85" s="60">
        <f t="shared" si="102"/>
        <v>258.90832875500325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5.9</v>
      </c>
      <c r="FZ85" s="13">
        <f>IF('Données projet'!$A$244&gt;35,FZ84+FY85-GH84,IF(A85&lt;'Données projet'!$A$244,$FW$205^A85,IF(A85='Données projet'!$A$244,'Données projet'!$B$244,FZ84+FY85-GH84)))</f>
        <v>272.3</v>
      </c>
      <c r="GA85" s="18">
        <f>FZ85*VLOOKUP('Données projet'!$B$17,Paramètres!$A$1:$I$89,3,0)*VLOOKUP('Données projet'!$B$17,Paramètres!$A$1:$I$89,5,0)</f>
        <v>263.36856</v>
      </c>
      <c r="GB85" s="14">
        <f t="shared" si="103"/>
        <v>63.439879983292599</v>
      </c>
      <c r="GC85" s="22">
        <f t="shared" si="79"/>
        <v>569.19136630423463</v>
      </c>
      <c r="GD85" s="60">
        <f t="shared" si="80"/>
        <v>840.69745793622167</v>
      </c>
      <c r="GE85" s="60">
        <f ca="1">AVERAGE(OFFSET($GD$3,0,0,'Données projet'!$E$17+1,1))-AVERAGE(OFFSET($H$3,0,0,'Données projet'!$E$17+1,1))</f>
        <v>495.77880062178235</v>
      </c>
      <c r="GF85" s="60">
        <f t="shared" si="104"/>
        <v>263.55891737750301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8.6</v>
      </c>
      <c r="N86" s="14">
        <f>IF('Données projet'!$A$36&gt;35,N85+M86-V85,IF(A86&lt;'Données projet'!$A$36,$K$205^A86,IF(A86='Données projet'!$A$36,'Données projet'!$B$36,N85+M86-V85)))</f>
        <v>375.80000000000024</v>
      </c>
      <c r="O86" s="14">
        <f>N86*VLOOKUP('Données projet'!$B$9,Paramètres!$A$1:$I$89,3,0)*VLOOKUP('Données projet'!$B$9,Paramètres!$A$1:$I$89,5,0)</f>
        <v>322.43640000000022</v>
      </c>
      <c r="P86" s="14">
        <f t="shared" si="87"/>
        <v>75.860070063809587</v>
      </c>
      <c r="Q86" s="22">
        <f t="shared" si="54"/>
        <v>693.69968536113538</v>
      </c>
      <c r="R86" s="60">
        <f t="shared" si="55"/>
        <v>965.58443083823886</v>
      </c>
      <c r="S86" s="60">
        <f ca="1">AVERAGE(OFFSET($R$3,0,0,'Données projet'!$E$9+1,1))-AVERAGE(OFFSET($H$3,0,0,'Données projet'!$E$9+1,1))</f>
        <v>598.73855311281966</v>
      </c>
      <c r="T86" s="60">
        <f t="shared" si="88"/>
        <v>275.88160405468193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278.2</v>
      </c>
      <c r="AJ86" s="14">
        <f>AI86*VLOOKUP('Données projet'!$B$10,Paramètres!$A$1:$I$89,3,0)*VLOOKUP('Données projet'!$B$10,Paramètres!$A$1:$I$89,5,0)</f>
        <v>282.09480000000002</v>
      </c>
      <c r="AK86" s="14">
        <f t="shared" si="89"/>
        <v>67.409508117681739</v>
      </c>
      <c r="AL86" s="22">
        <f t="shared" si="58"/>
        <v>608.72000330496235</v>
      </c>
      <c r="AM86" s="60">
        <f t="shared" si="59"/>
        <v>880.60474878206583</v>
      </c>
      <c r="AN86" s="60">
        <f ca="1">AVERAGE(OFFSET($AM$3,0,0,'Données projet'!$E$10+1,1))-AVERAGE(OFFSET($H$3,0,0,'Données projet'!$E$10+1,1))</f>
        <v>515.72324585399997</v>
      </c>
      <c r="AO86" s="60">
        <f t="shared" si="90"/>
        <v>273.35778700650792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2.7134774427395314E-13</v>
      </c>
      <c r="BF86" s="14">
        <f t="shared" si="91"/>
        <v>3.6292411711343559E-12</v>
      </c>
      <c r="BG86" s="22">
        <f t="shared" si="61"/>
        <v>6.7935256943361388E-12</v>
      </c>
      <c r="BH86" s="60">
        <f t="shared" si="62"/>
        <v>271.8847454771103</v>
      </c>
      <c r="BI86" s="60">
        <f ca="1">AVERAGE(OFFSET($BH$3,0,0,'Données projet'!$E$11+1,1))-AVERAGE(OFFSET($H$3,0,0,'Données projet'!$E$11+1,1))</f>
        <v>336.25341821407534</v>
      </c>
      <c r="BJ86" s="60">
        <f t="shared" si="92"/>
        <v>360.3246221345039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1.1962964890881425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1.1962964890881425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4.2307692307692317</v>
      </c>
      <c r="BY86" s="13">
        <f>IF('Données projet'!$A$114&gt;35,BY85+BX86-CG85,IF(A86&lt;'Données projet'!$A$114,$BV$205^A86,IF(A86='Données projet'!$A$114,'Données projet'!$B$114,BY85+BX86-CG85)))</f>
        <v>235.1282051282052</v>
      </c>
      <c r="BZ86" s="14">
        <f>BY86*VLOOKUP('Données projet'!$B$12,Paramètres!$A$1:$I$89,3,0)*VLOOKUP('Données projet'!$B$12,Paramètres!$A$1:$I$89,5,0)</f>
        <v>223.74800000000008</v>
      </c>
      <c r="CA86" s="14">
        <f t="shared" si="93"/>
        <v>54.928692378995677</v>
      </c>
      <c r="CB86" s="22">
        <f t="shared" si="64"/>
        <v>485.3619058934176</v>
      </c>
      <c r="CC86" s="60">
        <f t="shared" si="65"/>
        <v>757.24665137052102</v>
      </c>
      <c r="CD86" s="60">
        <f ca="1">AVERAGE(OFFSET($CC$3,0,0,'Données projet'!$E$12+1,1))-AVERAGE(OFFSET($H$3,0,0,'Données projet'!$E$12+1,1))</f>
        <v>438.41611139377829</v>
      </c>
      <c r="CE86" s="60">
        <f t="shared" si="94"/>
        <v>345.17417065809605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-4.5224624045658861E-14</v>
      </c>
      <c r="CV86" s="14" t="e">
        <f t="shared" si="95"/>
        <v>#NUM!</v>
      </c>
      <c r="CW86" s="22" t="e">
        <f t="shared" si="67"/>
        <v>#NUM!</v>
      </c>
      <c r="CX86" s="60" t="e">
        <f t="shared" si="68"/>
        <v>#NUM!</v>
      </c>
      <c r="CY86" s="60">
        <f ca="1">AVERAGE(OFFSET($CX$3,0,0,'Données projet'!$E$13+1,1))-AVERAGE(OFFSET($H$3,0,0,'Données projet'!$E$13+1,1))</f>
        <v>395.27840703467933</v>
      </c>
      <c r="CZ86" s="60">
        <f t="shared" si="96"/>
        <v>364.24192380053944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-2.8421709430404007E-13</v>
      </c>
      <c r="DP86" s="18">
        <f>DO86*VLOOKUP('Données projet'!$B$14,Paramètres!$A$1:$I$89,3,0)*VLOOKUP('Données projet'!$B$14,Paramètres!$A$1:$I$89,5,0)</f>
        <v>-2.2168933355715128E-13</v>
      </c>
      <c r="DQ86" s="14" t="e">
        <f t="shared" si="97"/>
        <v>#NUM!</v>
      </c>
      <c r="DR86" s="22" t="e">
        <f t="shared" si="70"/>
        <v>#NUM!</v>
      </c>
      <c r="DS86" s="60" t="e">
        <f t="shared" si="71"/>
        <v>#NUM!</v>
      </c>
      <c r="DT86" s="60">
        <f ca="1">AVERAGE(OFFSET($DS$3,0,0,'Données projet'!$E$14+1,1))-AVERAGE(OFFSET($H$3,0,0,'Données projet'!$E$14+1,1))</f>
        <v>308.76306523144956</v>
      </c>
      <c r="DU86" s="60">
        <f t="shared" si="98"/>
        <v>283.28099819802776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4.4871794871794917</v>
      </c>
      <c r="EJ86" s="13">
        <f>IF('Données projet'!$A$192&gt;35,EJ85+EI86-ER85,IF(A86&lt;'Données projet'!$A$192,$EG$205^A86,IF(A86='Données projet'!$A$192,'Données projet'!$B$192,EJ85+EI86-ER85)))</f>
        <v>293.58974358974365</v>
      </c>
      <c r="EK86" s="18">
        <f>EJ86*VLOOKUP('Données projet'!$B$15,Paramètres!$A$1:$I$89,3,0)*VLOOKUP('Données projet'!$B$15,Paramètres!$A$1:$I$89,5,0)</f>
        <v>196.94000000000005</v>
      </c>
      <c r="EL86" s="14">
        <f t="shared" si="99"/>
        <v>49.071070074740874</v>
      </c>
      <c r="EM86" s="22">
        <f t="shared" si="73"/>
        <v>428.46928038017376</v>
      </c>
      <c r="EN86" s="60">
        <f t="shared" si="74"/>
        <v>700.35402585727729</v>
      </c>
      <c r="EO86" s="60">
        <f ca="1">AVERAGE(OFFSET($EN$3,0,0,'Données projet'!$E$15+1,1))-AVERAGE(OFFSET($H$3,0,0,'Données projet'!$E$15+1,1))</f>
        <v>375.49921531693559</v>
      </c>
      <c r="EP86" s="60">
        <f t="shared" si="100"/>
        <v>306.93934681565599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4</v>
      </c>
      <c r="FE86" s="13">
        <f>IF('Données projet'!$A$218&gt;35,FE85+FD86-FM85,IF(A86&lt;'Données projet'!$A$218,$FB$205^A86,IF(A86='Données projet'!$A$218,'Données projet'!$B$218,FE85+FD86-FM85)))</f>
        <v>233.00000000000009</v>
      </c>
      <c r="FF86" s="18">
        <f>FE86*VLOOKUP('Données projet'!$B$16,Paramètres!$A$1:$I$89,3,0)*VLOOKUP('Données projet'!$B$16,Paramètres!$A$1:$I$89,5,0)</f>
        <v>189.00960000000009</v>
      </c>
      <c r="FG86" s="14">
        <f t="shared" si="101"/>
        <v>47.320922915876508</v>
      </c>
      <c r="FH86" s="22">
        <f t="shared" si="76"/>
        <v>411.60899407848507</v>
      </c>
      <c r="FI86" s="60">
        <f t="shared" si="77"/>
        <v>683.49373955558849</v>
      </c>
      <c r="FJ86" s="60">
        <f ca="1">AVERAGE(OFFSET($FI$3,0,0,'Données projet'!$E$16+1,1))-AVERAGE(OFFSET($H$3,0,0,'Données projet'!$E$16+1,1))</f>
        <v>308.58270639204238</v>
      </c>
      <c r="FK86" s="60">
        <f t="shared" si="102"/>
        <v>258.90832875500325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5.9</v>
      </c>
      <c r="FZ86" s="13">
        <f>IF('Données projet'!$A$244&gt;35,FZ85+FY86-GH85,IF(A86&lt;'Données projet'!$A$244,$FW$205^A86,IF(A86='Données projet'!$A$244,'Données projet'!$B$244,FZ85+FY86-GH85)))</f>
        <v>278.2</v>
      </c>
      <c r="GA86" s="18">
        <f>FZ86*VLOOKUP('Données projet'!$B$17,Paramètres!$A$1:$I$89,3,0)*VLOOKUP('Données projet'!$B$17,Paramètres!$A$1:$I$89,5,0)</f>
        <v>269.07504</v>
      </c>
      <c r="GB86" s="14">
        <f t="shared" si="103"/>
        <v>64.652930243111143</v>
      </c>
      <c r="GC86" s="22">
        <f t="shared" si="79"/>
        <v>581.24288150675193</v>
      </c>
      <c r="GD86" s="60">
        <f t="shared" si="80"/>
        <v>853.12762698385541</v>
      </c>
      <c r="GE86" s="60">
        <f ca="1">AVERAGE(OFFSET($GD$3,0,0,'Données projet'!$E$17+1,1))-AVERAGE(OFFSET($H$3,0,0,'Données projet'!$E$17+1,1))</f>
        <v>495.77880062178235</v>
      </c>
      <c r="GF86" s="60">
        <f t="shared" si="104"/>
        <v>263.55891737750301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8.6</v>
      </c>
      <c r="N87" s="14">
        <f>IF('Données projet'!$A$36&gt;35,N86+M87-V86,IF(A87&lt;'Données projet'!$A$36,$K$205^A87,IF(A87='Données projet'!$A$36,'Données projet'!$B$36,N86+M87-V86)))</f>
        <v>384.40000000000026</v>
      </c>
      <c r="O87" s="14">
        <f>N87*VLOOKUP('Données projet'!$B$9,Paramètres!$A$1:$I$89,3,0)*VLOOKUP('Données projet'!$B$9,Paramètres!$A$1:$I$89,5,0)</f>
        <v>329.81520000000023</v>
      </c>
      <c r="P87" s="14">
        <f t="shared" si="87"/>
        <v>77.391992167966137</v>
      </c>
      <c r="Q87" s="22">
        <f t="shared" si="54"/>
        <v>709.21919302587469</v>
      </c>
      <c r="R87" s="60">
        <f t="shared" si="55"/>
        <v>981.476023550425</v>
      </c>
      <c r="S87" s="60">
        <f ca="1">AVERAGE(OFFSET($R$3,0,0,'Données projet'!$E$9+1,1))-AVERAGE(OFFSET($H$3,0,0,'Données projet'!$E$9+1,1))</f>
        <v>598.73855311281966</v>
      </c>
      <c r="T87" s="60">
        <f t="shared" si="88"/>
        <v>275.88160405468193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284.09999999999997</v>
      </c>
      <c r="AJ87" s="14">
        <f>AI87*VLOOKUP('Données projet'!$B$10,Paramètres!$A$1:$I$89,3,0)*VLOOKUP('Données projet'!$B$10,Paramètres!$A$1:$I$89,5,0)</f>
        <v>288.07740000000001</v>
      </c>
      <c r="AK87" s="14">
        <f t="shared" si="89"/>
        <v>68.671160066636261</v>
      </c>
      <c r="AL87" s="22">
        <f t="shared" si="58"/>
        <v>621.33707544939159</v>
      </c>
      <c r="AM87" s="60">
        <f t="shared" si="59"/>
        <v>893.5939059739419</v>
      </c>
      <c r="AN87" s="60">
        <f ca="1">AVERAGE(OFFSET($AM$3,0,0,'Données projet'!$E$10+1,1))-AVERAGE(OFFSET($H$3,0,0,'Données projet'!$E$10+1,1))</f>
        <v>515.72324585399997</v>
      </c>
      <c r="AO87" s="60">
        <f t="shared" si="90"/>
        <v>273.35778700650792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2.7134774427395314E-13</v>
      </c>
      <c r="BF87" s="14">
        <f t="shared" si="91"/>
        <v>3.6292411711343559E-12</v>
      </c>
      <c r="BG87" s="22">
        <f t="shared" si="61"/>
        <v>6.7935256943361388E-12</v>
      </c>
      <c r="BH87" s="60">
        <f t="shared" si="62"/>
        <v>272.25683052455713</v>
      </c>
      <c r="BI87" s="60">
        <f ca="1">AVERAGE(OFFSET($BH$3,0,0,'Données projet'!$E$11+1,1))-AVERAGE(OFFSET($H$3,0,0,'Données projet'!$E$11+1,1))</f>
        <v>336.25341821407534</v>
      </c>
      <c r="BJ87" s="60">
        <f t="shared" si="92"/>
        <v>360.3246221345039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1.1635836986835291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1.1635836986835291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4.2307692307692317</v>
      </c>
      <c r="BY87" s="13">
        <f>IF('Données projet'!$A$114&gt;35,BY86+BX87-CG86,IF(A87&lt;'Données projet'!$A$114,$BV$205^A87,IF(A87='Données projet'!$A$114,'Données projet'!$B$114,BY86+BX87-CG86)))</f>
        <v>239.35897435897442</v>
      </c>
      <c r="BZ87" s="14">
        <f>BY87*VLOOKUP('Données projet'!$B$12,Paramètres!$A$1:$I$89,3,0)*VLOOKUP('Données projet'!$B$12,Paramètres!$A$1:$I$89,5,0)</f>
        <v>227.77400000000006</v>
      </c>
      <c r="CA87" s="14">
        <f t="shared" si="93"/>
        <v>55.801096194172317</v>
      </c>
      <c r="CB87" s="22">
        <f t="shared" si="64"/>
        <v>493.89329253818352</v>
      </c>
      <c r="CC87" s="60">
        <f t="shared" si="65"/>
        <v>766.15012306273388</v>
      </c>
      <c r="CD87" s="60">
        <f ca="1">AVERAGE(OFFSET($CC$3,0,0,'Données projet'!$E$12+1,1))-AVERAGE(OFFSET($H$3,0,0,'Données projet'!$E$12+1,1))</f>
        <v>438.41611139377829</v>
      </c>
      <c r="CE87" s="60">
        <f t="shared" si="94"/>
        <v>345.17417065809605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-4.5224624045658861E-14</v>
      </c>
      <c r="CV87" s="14" t="e">
        <f t="shared" si="95"/>
        <v>#NUM!</v>
      </c>
      <c r="CW87" s="22" t="e">
        <f t="shared" si="67"/>
        <v>#NUM!</v>
      </c>
      <c r="CX87" s="60" t="e">
        <f t="shared" si="68"/>
        <v>#NUM!</v>
      </c>
      <c r="CY87" s="60">
        <f ca="1">AVERAGE(OFFSET($CX$3,0,0,'Données projet'!$E$13+1,1))-AVERAGE(OFFSET($H$3,0,0,'Données projet'!$E$13+1,1))</f>
        <v>395.27840703467933</v>
      </c>
      <c r="CZ87" s="60">
        <f t="shared" si="96"/>
        <v>364.24192380053944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-2.8421709430404007E-13</v>
      </c>
      <c r="DP87" s="18">
        <f>DO87*VLOOKUP('Données projet'!$B$14,Paramètres!$A$1:$I$89,3,0)*VLOOKUP('Données projet'!$B$14,Paramètres!$A$1:$I$89,5,0)</f>
        <v>-2.2168933355715128E-13</v>
      </c>
      <c r="DQ87" s="14" t="e">
        <f t="shared" si="97"/>
        <v>#NUM!</v>
      </c>
      <c r="DR87" s="22" t="e">
        <f t="shared" si="70"/>
        <v>#NUM!</v>
      </c>
      <c r="DS87" s="60" t="e">
        <f t="shared" si="71"/>
        <v>#NUM!</v>
      </c>
      <c r="DT87" s="60">
        <f ca="1">AVERAGE(OFFSET($DS$3,0,0,'Données projet'!$E$14+1,1))-AVERAGE(OFFSET($H$3,0,0,'Données projet'!$E$14+1,1))</f>
        <v>308.76306523144956</v>
      </c>
      <c r="DU87" s="60">
        <f t="shared" si="98"/>
        <v>283.28099819802776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4.4871794871794917</v>
      </c>
      <c r="EJ87" s="13">
        <f>IF('Données projet'!$A$192&gt;35,EJ86+EI87-ER86,IF(A87&lt;'Données projet'!$A$192,$EG$205^A87,IF(A87='Données projet'!$A$192,'Données projet'!$B$192,EJ86+EI87-ER86)))</f>
        <v>298.07692307692315</v>
      </c>
      <c r="EK87" s="18">
        <f>EJ87*VLOOKUP('Données projet'!$B$15,Paramètres!$A$1:$I$89,3,0)*VLOOKUP('Données projet'!$B$15,Paramètres!$A$1:$I$89,5,0)</f>
        <v>199.95000000000007</v>
      </c>
      <c r="EL87" s="14">
        <f t="shared" si="99"/>
        <v>49.733179078835313</v>
      </c>
      <c r="EM87" s="22">
        <f t="shared" si="73"/>
        <v>434.8648702289716</v>
      </c>
      <c r="EN87" s="60">
        <f t="shared" si="74"/>
        <v>707.12170075352196</v>
      </c>
      <c r="EO87" s="60">
        <f ca="1">AVERAGE(OFFSET($EN$3,0,0,'Données projet'!$E$15+1,1))-AVERAGE(OFFSET($H$3,0,0,'Données projet'!$E$15+1,1))</f>
        <v>375.49921531693559</v>
      </c>
      <c r="EP87" s="60">
        <f t="shared" si="100"/>
        <v>306.93934681565599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4</v>
      </c>
      <c r="FE87" s="13">
        <f>IF('Données projet'!$A$218&gt;35,FE86+FD87-FM86,IF(A87&lt;'Données projet'!$A$218,$FB$205^A87,IF(A87='Données projet'!$A$218,'Données projet'!$B$218,FE86+FD87-FM86)))</f>
        <v>237.00000000000009</v>
      </c>
      <c r="FF87" s="18">
        <f>FE87*VLOOKUP('Données projet'!$B$16,Paramètres!$A$1:$I$89,3,0)*VLOOKUP('Données projet'!$B$16,Paramètres!$A$1:$I$89,5,0)</f>
        <v>192.25440000000009</v>
      </c>
      <c r="FG87" s="14">
        <f t="shared" si="101"/>
        <v>48.038026007842433</v>
      </c>
      <c r="FH87" s="22">
        <f t="shared" si="76"/>
        <v>418.50930863032568</v>
      </c>
      <c r="FI87" s="60">
        <f t="shared" si="77"/>
        <v>690.76613915487599</v>
      </c>
      <c r="FJ87" s="60">
        <f ca="1">AVERAGE(OFFSET($FI$3,0,0,'Données projet'!$E$16+1,1))-AVERAGE(OFFSET($H$3,0,0,'Données projet'!$E$16+1,1))</f>
        <v>308.58270639204238</v>
      </c>
      <c r="FK87" s="60">
        <f t="shared" si="102"/>
        <v>258.90832875500325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5.9</v>
      </c>
      <c r="FZ87" s="13">
        <f>IF('Données projet'!$A$244&gt;35,FZ86+FY87-GH86,IF(A87&lt;'Données projet'!$A$244,$FW$205^A87,IF(A87='Données projet'!$A$244,'Données projet'!$B$244,FZ86+FY87-GH86)))</f>
        <v>284.09999999999997</v>
      </c>
      <c r="GA87" s="18">
        <f>FZ87*VLOOKUP('Données projet'!$B$17,Paramètres!$A$1:$I$89,3,0)*VLOOKUP('Données projet'!$B$17,Paramètres!$A$1:$I$89,5,0)</f>
        <v>274.78151999999994</v>
      </c>
      <c r="GB87" s="14">
        <f t="shared" si="103"/>
        <v>65.862989442837574</v>
      </c>
      <c r="GC87" s="22">
        <f t="shared" si="79"/>
        <v>593.28918727960865</v>
      </c>
      <c r="GD87" s="60">
        <f t="shared" si="80"/>
        <v>865.54601780415896</v>
      </c>
      <c r="GE87" s="60">
        <f ca="1">AVERAGE(OFFSET($GD$3,0,0,'Données projet'!$E$17+1,1))-AVERAGE(OFFSET($H$3,0,0,'Données projet'!$E$17+1,1))</f>
        <v>495.77880062178235</v>
      </c>
      <c r="GF87" s="60">
        <f t="shared" si="104"/>
        <v>263.55891737750301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393</v>
      </c>
      <c r="L88" s="13">
        <f>VLOOKUP(A88,'Données projet'!$A$35:$I$55,9,0)</f>
        <v>8.6</v>
      </c>
      <c r="M88" s="13">
        <f t="array" ref="M88">INDEX(L:L,MIN(IF(ISNUMBER(L88:L284),ROW(L88:L284),"")))</f>
        <v>8.6</v>
      </c>
      <c r="N88" s="14">
        <f>IF('Données projet'!$A$36&gt;35,N87+M88-V87,IF(A88&lt;'Données projet'!$A$36,$K$205^A88,IF(A88='Données projet'!$A$36,'Données projet'!$B$36,N87+M88-V87)))</f>
        <v>393.00000000000028</v>
      </c>
      <c r="O88" s="14">
        <f>N88*VLOOKUP('Données projet'!$B$9,Paramètres!$A$1:$I$89,3,0)*VLOOKUP('Données projet'!$B$9,Paramètres!$A$1:$I$89,5,0)</f>
        <v>337.1940000000003</v>
      </c>
      <c r="P88" s="14">
        <f t="shared" si="87"/>
        <v>78.919929736940745</v>
      </c>
      <c r="Q88" s="22">
        <f t="shared" si="54"/>
        <v>724.73176095850556</v>
      </c>
      <c r="R88" s="60">
        <f t="shared" si="55"/>
        <v>997.35422168678701</v>
      </c>
      <c r="S88" s="60">
        <f ca="1">AVERAGE(OFFSET($R$3,0,0,'Données projet'!$E$9+1,1))-AVERAGE(OFFSET($H$3,0,0,'Données projet'!$E$9+1,1))</f>
        <v>598.73855311281966</v>
      </c>
      <c r="T88" s="60">
        <f t="shared" si="88"/>
        <v>275.88160405468193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55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289.99999999999994</v>
      </c>
      <c r="AJ88" s="14">
        <f>AI88*VLOOKUP('Données projet'!$B$10,Paramètres!$A$1:$I$89,3,0)*VLOOKUP('Données projet'!$B$10,Paramètres!$A$1:$I$89,5,0)</f>
        <v>294.05999999999995</v>
      </c>
      <c r="AK88" s="14">
        <f t="shared" si="89"/>
        <v>69.929765653573313</v>
      </c>
      <c r="AL88" s="22">
        <f t="shared" si="58"/>
        <v>633.94884184664011</v>
      </c>
      <c r="AM88" s="60">
        <f t="shared" si="59"/>
        <v>906.57130257492167</v>
      </c>
      <c r="AN88" s="60">
        <f ca="1">AVERAGE(OFFSET($AM$3,0,0,'Données projet'!$E$10+1,1))-AVERAGE(OFFSET($H$3,0,0,'Données projet'!$E$10+1,1))</f>
        <v>515.72324585399997</v>
      </c>
      <c r="AO88" s="60">
        <f t="shared" si="90"/>
        <v>273.35778700650792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2.7134774427395314E-13</v>
      </c>
      <c r="BF88" s="14">
        <f t="shared" si="91"/>
        <v>3.6292411711343559E-12</v>
      </c>
      <c r="BG88" s="22">
        <f t="shared" si="61"/>
        <v>6.7935256943361388E-12</v>
      </c>
      <c r="BH88" s="60">
        <f t="shared" si="62"/>
        <v>272.62246072828833</v>
      </c>
      <c r="BI88" s="60">
        <f ca="1">AVERAGE(OFFSET($BH$3,0,0,'Données projet'!$E$11+1,1))-AVERAGE(OFFSET($H$3,0,0,'Données projet'!$E$11+1,1))</f>
        <v>336.25341821407534</v>
      </c>
      <c r="BJ88" s="60">
        <f t="shared" si="92"/>
        <v>360.3246221345039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1.1317654412528206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1.1317654412528206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243.58974358974359</v>
      </c>
      <c r="BW88" s="13">
        <f>VLOOKUP(A88,'Données projet'!$A$113:$I$133,9,0)</f>
        <v>4.2307692307692317</v>
      </c>
      <c r="BX88" s="13">
        <f t="array" ref="BX88">INDEX(BW:BW,MIN(IF(ISNUMBER(BW88:BW284),ROW(BW88:BW284),"")))</f>
        <v>4.2307692307692317</v>
      </c>
      <c r="BY88" s="13">
        <f>IF('Données projet'!$A$114&gt;35,BY87+BX88-CG87,IF(A88&lt;'Données projet'!$A$114,$BV$205^A88,IF(A88='Données projet'!$A$114,'Données projet'!$B$114,BY87+BX88-CG87)))</f>
        <v>243.58974358974365</v>
      </c>
      <c r="BZ88" s="14">
        <f>BY88*VLOOKUP('Données projet'!$B$12,Paramètres!$A$1:$I$89,3,0)*VLOOKUP('Données projet'!$B$12,Paramètres!$A$1:$I$89,5,0)</f>
        <v>231.80000000000007</v>
      </c>
      <c r="CA88" s="14">
        <f t="shared" si="93"/>
        <v>56.671706856213298</v>
      </c>
      <c r="CB88" s="22">
        <f t="shared" si="64"/>
        <v>502.42155610790496</v>
      </c>
      <c r="CC88" s="60">
        <f t="shared" si="65"/>
        <v>775.04401683618653</v>
      </c>
      <c r="CD88" s="60">
        <f ca="1">AVERAGE(OFFSET($CC$3,0,0,'Données projet'!$E$12+1,1))-AVERAGE(OFFSET($H$3,0,0,'Données projet'!$E$12+1,1))</f>
        <v>438.41611139377829</v>
      </c>
      <c r="CE88" s="60">
        <f t="shared" si="94"/>
        <v>345.17417065809605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-4.5224624045658861E-14</v>
      </c>
      <c r="CV88" s="14" t="e">
        <f t="shared" si="95"/>
        <v>#NUM!</v>
      </c>
      <c r="CW88" s="22" t="e">
        <f t="shared" si="67"/>
        <v>#NUM!</v>
      </c>
      <c r="CX88" s="60" t="e">
        <f t="shared" si="68"/>
        <v>#NUM!</v>
      </c>
      <c r="CY88" s="60">
        <f ca="1">AVERAGE(OFFSET($CX$3,0,0,'Données projet'!$E$13+1,1))-AVERAGE(OFFSET($H$3,0,0,'Données projet'!$E$13+1,1))</f>
        <v>395.27840703467933</v>
      </c>
      <c r="CZ88" s="60">
        <f t="shared" si="96"/>
        <v>364.24192380053944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-2.8421709430404007E-13</v>
      </c>
      <c r="DP88" s="18">
        <f>DO88*VLOOKUP('Données projet'!$B$14,Paramètres!$A$1:$I$89,3,0)*VLOOKUP('Données projet'!$B$14,Paramètres!$A$1:$I$89,5,0)</f>
        <v>-2.2168933355715128E-13</v>
      </c>
      <c r="DQ88" s="14" t="e">
        <f t="shared" si="97"/>
        <v>#NUM!</v>
      </c>
      <c r="DR88" s="22" t="e">
        <f t="shared" si="70"/>
        <v>#NUM!</v>
      </c>
      <c r="DS88" s="60" t="e">
        <f t="shared" si="71"/>
        <v>#NUM!</v>
      </c>
      <c r="DT88" s="60">
        <f ca="1">AVERAGE(OFFSET($DS$3,0,0,'Données projet'!$E$14+1,1))-AVERAGE(OFFSET($H$3,0,0,'Données projet'!$E$14+1,1))</f>
        <v>308.76306523144956</v>
      </c>
      <c r="DU88" s="60">
        <f t="shared" si="98"/>
        <v>283.28099819802776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302.56410256410254</v>
      </c>
      <c r="EH88" s="13">
        <f>VLOOKUP(A88,'Données projet'!$A$191:$I$211,9,0)</f>
        <v>4.4871794871794917</v>
      </c>
      <c r="EI88" s="13">
        <f t="array" ref="EI88">INDEX(EH:EH,MIN(IF(ISNUMBER(EH88:EH284),ROW(EH88:EH284),"")))</f>
        <v>4.4871794871794917</v>
      </c>
      <c r="EJ88" s="13">
        <f>IF('Données projet'!$A$192&gt;35,EJ87+EI88-ER87,IF(A88&lt;'Données projet'!$A$192,$EG$205^A88,IF(A88='Données projet'!$A$192,'Données projet'!$B$192,EJ87+EI88-ER87)))</f>
        <v>302.56410256410265</v>
      </c>
      <c r="EK88" s="18">
        <f>EJ88*VLOOKUP('Données projet'!$B$15,Paramètres!$A$1:$I$89,3,0)*VLOOKUP('Données projet'!$B$15,Paramètres!$A$1:$I$89,5,0)</f>
        <v>202.96000000000006</v>
      </c>
      <c r="EL88" s="14">
        <f t="shared" si="99"/>
        <v>50.394128866673839</v>
      </c>
      <c r="EM88" s="22">
        <f t="shared" si="73"/>
        <v>441.25844110945701</v>
      </c>
      <c r="EN88" s="60">
        <f t="shared" si="74"/>
        <v>713.88090183773852</v>
      </c>
      <c r="EO88" s="60">
        <f ca="1">AVERAGE(OFFSET($EN$3,0,0,'Données projet'!$E$15+1,1))-AVERAGE(OFFSET($H$3,0,0,'Données projet'!$E$15+1,1))</f>
        <v>375.49921531693559</v>
      </c>
      <c r="EP88" s="60">
        <f t="shared" si="100"/>
        <v>306.93934681565599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241</v>
      </c>
      <c r="FC88" s="13">
        <f>VLOOKUP(A88,'Données projet'!$A$217:$I$237,9,0)</f>
        <v>4</v>
      </c>
      <c r="FD88" s="13">
        <f t="array" ref="FD88">INDEX(FC:FC,MIN(IF(ISNUMBER(FC88:FC284),ROW(FC88:FC284),"")))</f>
        <v>4</v>
      </c>
      <c r="FE88" s="13">
        <f>IF('Données projet'!$A$218&gt;35,FE87+FD88-FM87,IF(A88&lt;'Données projet'!$A$218,$FB$205^A88,IF(A88='Données projet'!$A$218,'Données projet'!$B$218,FE87+FD88-FM87)))</f>
        <v>241.00000000000009</v>
      </c>
      <c r="FF88" s="18">
        <f>FE88*VLOOKUP('Données projet'!$B$16,Paramètres!$A$1:$I$89,3,0)*VLOOKUP('Données projet'!$B$16,Paramètres!$A$1:$I$89,5,0)</f>
        <v>195.49920000000009</v>
      </c>
      <c r="FG88" s="14">
        <f t="shared" si="101"/>
        <v>48.753721622209305</v>
      </c>
      <c r="FH88" s="22">
        <f t="shared" si="76"/>
        <v>425.40717182534803</v>
      </c>
      <c r="FI88" s="60">
        <f t="shared" si="77"/>
        <v>698.02963255362954</v>
      </c>
      <c r="FJ88" s="60">
        <f ca="1">AVERAGE(OFFSET($FI$3,0,0,'Données projet'!$E$16+1,1))-AVERAGE(OFFSET($H$3,0,0,'Données projet'!$E$16+1,1))</f>
        <v>308.58270639204238</v>
      </c>
      <c r="FK88" s="60">
        <f t="shared" si="102"/>
        <v>258.90832875500325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290</v>
      </c>
      <c r="FX88" s="13">
        <f>VLOOKUP(A88,'Données projet'!$A$243:$I$263,9,0)</f>
        <v>5.9</v>
      </c>
      <c r="FY88" s="13">
        <f t="array" ref="FY88">INDEX(FX:FX,MIN(IF(ISNUMBER(FX88:FX284),ROW(FX88:FX284),"")))</f>
        <v>5.9</v>
      </c>
      <c r="FZ88" s="13">
        <f>IF('Données projet'!$A$244&gt;35,FZ87+FY88-GH87,IF(A88&lt;'Données projet'!$A$244,$FW$205^A88,IF(A88='Données projet'!$A$244,'Données projet'!$B$244,FZ87+FY88-GH87)))</f>
        <v>289.99999999999994</v>
      </c>
      <c r="GA88" s="18">
        <f>FZ88*VLOOKUP('Données projet'!$B$17,Paramètres!$A$1:$I$89,3,0)*VLOOKUP('Données projet'!$B$17,Paramètres!$A$1:$I$89,5,0)</f>
        <v>280.48799999999994</v>
      </c>
      <c r="GB88" s="14">
        <f t="shared" si="103"/>
        <v>67.070126855467564</v>
      </c>
      <c r="GC88" s="22">
        <f t="shared" si="79"/>
        <v>605.33040427327262</v>
      </c>
      <c r="GD88" s="60">
        <f t="shared" si="80"/>
        <v>877.95286500155407</v>
      </c>
      <c r="GE88" s="60">
        <f ca="1">AVERAGE(OFFSET($GD$3,0,0,'Données projet'!$E$17+1,1))-AVERAGE(OFFSET($H$3,0,0,'Données projet'!$E$17+1,1))</f>
        <v>495.77880062178235</v>
      </c>
      <c r="GF88" s="60">
        <f t="shared" si="104"/>
        <v>263.55891737750301</v>
      </c>
      <c r="GG88" s="16">
        <f>IF(ISNA(VLOOKUP(A88,'Données projet'!$A$243:$I$263,3,0)),0,VLOOKUP(A88,'Données projet'!$A$243:$I$263,3,0))</f>
        <v>7</v>
      </c>
      <c r="GH88" s="16">
        <f>IF(ISNA(VLOOKUP(A88,'Données projet'!$A$243:$I$263,4,0)),0,VLOOKUP(A88,'Données projet'!$A$243:$I$263,4,0))</f>
        <v>42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7.7</v>
      </c>
      <c r="N89" s="14">
        <f>IF('Données projet'!$A$36&gt;35,N88+M89-V88,IF(A89&lt;'Données projet'!$A$36,$K$205^A89,IF(A89='Données projet'!$A$36,'Données projet'!$B$36,N88+M89-V88)))</f>
        <v>345.70000000000027</v>
      </c>
      <c r="O89" s="14">
        <f>N89*VLOOKUP('Données projet'!$B$9,Paramètres!$A$1:$I$89,3,0)*VLOOKUP('Données projet'!$B$9,Paramètres!$A$1:$I$89,5,0)</f>
        <v>296.61060000000026</v>
      </c>
      <c r="P89" s="14">
        <f t="shared" si="87"/>
        <v>70.465445854653098</v>
      </c>
      <c r="Q89" s="22">
        <f t="shared" si="54"/>
        <v>639.32411319685457</v>
      </c>
      <c r="R89" s="60">
        <f t="shared" si="55"/>
        <v>912.30586126225921</v>
      </c>
      <c r="S89" s="60">
        <f ca="1">AVERAGE(OFFSET($R$3,0,0,'Données projet'!$E$9+1,1))-AVERAGE(OFFSET($H$3,0,0,'Données projet'!$E$9+1,1))</f>
        <v>598.73855311281966</v>
      </c>
      <c r="T89" s="60">
        <f t="shared" si="88"/>
        <v>275.88160405468193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253.19999999999993</v>
      </c>
      <c r="AJ89" s="14">
        <f>AI89*VLOOKUP('Données projet'!$B$10,Paramètres!$A$1:$I$89,3,0)*VLOOKUP('Données projet'!$B$10,Paramètres!$A$1:$I$89,5,0)</f>
        <v>256.74479999999994</v>
      </c>
      <c r="AK89" s="14">
        <f t="shared" si="89"/>
        <v>62.02799288712616</v>
      </c>
      <c r="AL89" s="22">
        <f t="shared" si="58"/>
        <v>555.1959476117446</v>
      </c>
      <c r="AM89" s="60">
        <f t="shared" si="59"/>
        <v>828.17769567714936</v>
      </c>
      <c r="AN89" s="60">
        <f ca="1">AVERAGE(OFFSET($AM$3,0,0,'Données projet'!$E$10+1,1))-AVERAGE(OFFSET($H$3,0,0,'Données projet'!$E$10+1,1))</f>
        <v>515.72324585399997</v>
      </c>
      <c r="AO89" s="60">
        <f t="shared" si="90"/>
        <v>273.35778700650792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2.7134774427395314E-13</v>
      </c>
      <c r="BF89" s="14">
        <f t="shared" si="91"/>
        <v>3.6292411711343559E-12</v>
      </c>
      <c r="BG89" s="22">
        <f t="shared" si="61"/>
        <v>6.7935256943361388E-12</v>
      </c>
      <c r="BH89" s="60">
        <f t="shared" si="62"/>
        <v>272.98174806541152</v>
      </c>
      <c r="BI89" s="60">
        <f ca="1">AVERAGE(OFFSET($BH$3,0,0,'Données projet'!$E$11+1,1))-AVERAGE(OFFSET($H$3,0,0,'Données projet'!$E$11+1,1))</f>
        <v>336.25341821407534</v>
      </c>
      <c r="BJ89" s="60">
        <f t="shared" si="92"/>
        <v>360.3246221345039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1.1008172557448044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1.1008172557448044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3.8461538461538454</v>
      </c>
      <c r="BY89" s="13">
        <f>IF('Données projet'!$A$114&gt;35,BY88+BX89-CG88,IF(A89&lt;'Données projet'!$A$114,$BV$205^A89,IF(A89='Données projet'!$A$114,'Données projet'!$B$114,BY88+BX89-CG88)))</f>
        <v>247.43589743589749</v>
      </c>
      <c r="BZ89" s="14">
        <f>BY89*VLOOKUP('Données projet'!$B$12,Paramètres!$A$1:$I$89,3,0)*VLOOKUP('Données projet'!$B$12,Paramètres!$A$1:$I$89,5,0)</f>
        <v>235.46000000000004</v>
      </c>
      <c r="CA89" s="14">
        <f t="shared" si="93"/>
        <v>57.46164430764604</v>
      </c>
      <c r="CB89" s="22">
        <f t="shared" si="64"/>
        <v>510.17186383581696</v>
      </c>
      <c r="CC89" s="60">
        <f t="shared" si="65"/>
        <v>783.15361190122167</v>
      </c>
      <c r="CD89" s="60">
        <f ca="1">AVERAGE(OFFSET($CC$3,0,0,'Données projet'!$E$12+1,1))-AVERAGE(OFFSET($H$3,0,0,'Données projet'!$E$12+1,1))</f>
        <v>438.41611139377829</v>
      </c>
      <c r="CE89" s="60">
        <f t="shared" si="94"/>
        <v>345.17417065809605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-4.5224624045658861E-14</v>
      </c>
      <c r="CV89" s="14" t="e">
        <f t="shared" si="95"/>
        <v>#NUM!</v>
      </c>
      <c r="CW89" s="22" t="e">
        <f t="shared" si="67"/>
        <v>#NUM!</v>
      </c>
      <c r="CX89" s="60" t="e">
        <f t="shared" si="68"/>
        <v>#NUM!</v>
      </c>
      <c r="CY89" s="60">
        <f ca="1">AVERAGE(OFFSET($CX$3,0,0,'Données projet'!$E$13+1,1))-AVERAGE(OFFSET($H$3,0,0,'Données projet'!$E$13+1,1))</f>
        <v>395.27840703467933</v>
      </c>
      <c r="CZ89" s="60">
        <f t="shared" si="96"/>
        <v>364.24192380053944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-2.8421709430404007E-13</v>
      </c>
      <c r="DP89" s="18">
        <f>DO89*VLOOKUP('Données projet'!$B$14,Paramètres!$A$1:$I$89,3,0)*VLOOKUP('Données projet'!$B$14,Paramètres!$A$1:$I$89,5,0)</f>
        <v>-2.2168933355715128E-13</v>
      </c>
      <c r="DQ89" s="14" t="e">
        <f t="shared" si="97"/>
        <v>#NUM!</v>
      </c>
      <c r="DR89" s="22" t="e">
        <f t="shared" si="70"/>
        <v>#NUM!</v>
      </c>
      <c r="DS89" s="60" t="e">
        <f t="shared" si="71"/>
        <v>#NUM!</v>
      </c>
      <c r="DT89" s="60">
        <f ca="1">AVERAGE(OFFSET($DS$3,0,0,'Données projet'!$E$14+1,1))-AVERAGE(OFFSET($H$3,0,0,'Données projet'!$E$14+1,1))</f>
        <v>308.76306523144956</v>
      </c>
      <c r="DU89" s="60">
        <f t="shared" si="98"/>
        <v>283.28099819802776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4.1025641025640995</v>
      </c>
      <c r="EJ89" s="13">
        <f>IF('Données projet'!$A$192&gt;35,EJ88+EI89-ER88,IF(A89&lt;'Données projet'!$A$192,$EG$205^A89,IF(A89='Données projet'!$A$192,'Données projet'!$B$192,EJ88+EI89-ER88)))</f>
        <v>306.66666666666674</v>
      </c>
      <c r="EK89" s="18">
        <f>EJ89*VLOOKUP('Données projet'!$B$15,Paramètres!$A$1:$I$89,3,0)*VLOOKUP('Données projet'!$B$15,Paramètres!$A$1:$I$89,5,0)</f>
        <v>205.71200000000007</v>
      </c>
      <c r="EL89" s="14">
        <f t="shared" si="99"/>
        <v>50.997427696933762</v>
      </c>
      <c r="EM89" s="22">
        <f t="shared" si="73"/>
        <v>447.10225323882645</v>
      </c>
      <c r="EN89" s="60">
        <f t="shared" si="74"/>
        <v>720.08400130423115</v>
      </c>
      <c r="EO89" s="60">
        <f ca="1">AVERAGE(OFFSET($EN$3,0,0,'Données projet'!$E$15+1,1))-AVERAGE(OFFSET($H$3,0,0,'Données projet'!$E$15+1,1))</f>
        <v>375.49921531693559</v>
      </c>
      <c r="EP89" s="60">
        <f t="shared" si="100"/>
        <v>306.93934681565599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3.6</v>
      </c>
      <c r="FE89" s="13">
        <f>IF('Données projet'!$A$218&gt;35,FE88+FD89-FM88,IF(A89&lt;'Données projet'!$A$218,$FB$205^A89,IF(A89='Données projet'!$A$218,'Données projet'!$B$218,FE88+FD89-FM88)))</f>
        <v>244.60000000000008</v>
      </c>
      <c r="FF89" s="18">
        <f>FE89*VLOOKUP('Données projet'!$B$16,Paramètres!$A$1:$I$89,3,0)*VLOOKUP('Données projet'!$B$16,Paramètres!$A$1:$I$89,5,0)</f>
        <v>198.41952000000009</v>
      </c>
      <c r="FG89" s="14">
        <f t="shared" si="101"/>
        <v>49.396665836729724</v>
      </c>
      <c r="FH89" s="22">
        <f t="shared" si="76"/>
        <v>431.61319033230438</v>
      </c>
      <c r="FI89" s="60">
        <f t="shared" si="77"/>
        <v>704.59493839770903</v>
      </c>
      <c r="FJ89" s="60">
        <f ca="1">AVERAGE(OFFSET($FI$3,0,0,'Données projet'!$E$16+1,1))-AVERAGE(OFFSET($H$3,0,0,'Données projet'!$E$16+1,1))</f>
        <v>308.58270639204238</v>
      </c>
      <c r="FK89" s="60">
        <f t="shared" si="102"/>
        <v>258.90832875500325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5.2</v>
      </c>
      <c r="FZ89" s="13">
        <f>IF('Données projet'!$A$244&gt;35,FZ88+FY89-GH88,IF(A89&lt;'Données projet'!$A$244,$FW$205^A89,IF(A89='Données projet'!$A$244,'Données projet'!$B$244,FZ88+FY89-GH88)))</f>
        <v>253.19999999999993</v>
      </c>
      <c r="GA89" s="18">
        <f>FZ89*VLOOKUP('Données projet'!$B$17,Paramètres!$A$1:$I$89,3,0)*VLOOKUP('Données projet'!$B$17,Paramètres!$A$1:$I$89,5,0)</f>
        <v>244.89503999999994</v>
      </c>
      <c r="GB89" s="14">
        <f t="shared" si="103"/>
        <v>59.491481383464382</v>
      </c>
      <c r="GC89" s="22">
        <f t="shared" si="79"/>
        <v>530.13985807620031</v>
      </c>
      <c r="GD89" s="60">
        <f t="shared" si="80"/>
        <v>803.12160614160507</v>
      </c>
      <c r="GE89" s="60">
        <f ca="1">AVERAGE(OFFSET($GD$3,0,0,'Données projet'!$E$17+1,1))-AVERAGE(OFFSET($H$3,0,0,'Données projet'!$E$17+1,1))</f>
        <v>495.77880062178235</v>
      </c>
      <c r="GF89" s="60">
        <f t="shared" si="104"/>
        <v>263.55891737750301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7.7</v>
      </c>
      <c r="N90" s="14">
        <f>IF('Données projet'!$A$36&gt;35,N89+M90-V89,IF(A90&lt;'Données projet'!$A$36,$K$205^A90,IF(A90='Données projet'!$A$36,'Données projet'!$B$36,N89+M90-V89)))</f>
        <v>353.40000000000026</v>
      </c>
      <c r="O90" s="14">
        <f>N90*VLOOKUP('Données projet'!$B$9,Paramètres!$A$1:$I$89,3,0)*VLOOKUP('Données projet'!$B$9,Paramètres!$A$1:$I$89,5,0)</f>
        <v>303.21720000000022</v>
      </c>
      <c r="P90" s="14">
        <f t="shared" si="87"/>
        <v>71.850492891887797</v>
      </c>
      <c r="Q90" s="22">
        <f t="shared" si="54"/>
        <v>653.24289845337159</v>
      </c>
      <c r="R90" s="60">
        <f t="shared" si="55"/>
        <v>926.57770102384643</v>
      </c>
      <c r="S90" s="60">
        <f ca="1">AVERAGE(OFFSET($R$3,0,0,'Données projet'!$E$9+1,1))-AVERAGE(OFFSET($H$3,0,0,'Données projet'!$E$9+1,1))</f>
        <v>598.73855311281966</v>
      </c>
      <c r="T90" s="60">
        <f t="shared" si="88"/>
        <v>275.88160405468193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258.39999999999992</v>
      </c>
      <c r="AJ90" s="14">
        <f>AI90*VLOOKUP('Données projet'!$B$10,Paramètres!$A$1:$I$89,3,0)*VLOOKUP('Données projet'!$B$10,Paramètres!$A$1:$I$89,5,0)</f>
        <v>262.01759999999996</v>
      </c>
      <c r="AK90" s="14">
        <f t="shared" si="89"/>
        <v>63.15225506797816</v>
      </c>
      <c r="AL90" s="22">
        <f t="shared" si="58"/>
        <v>566.33749757672854</v>
      </c>
      <c r="AM90" s="60">
        <f t="shared" si="59"/>
        <v>839.67230014720337</v>
      </c>
      <c r="AN90" s="60">
        <f ca="1">AVERAGE(OFFSET($AM$3,0,0,'Données projet'!$E$10+1,1))-AVERAGE(OFFSET($H$3,0,0,'Données projet'!$E$10+1,1))</f>
        <v>515.72324585399997</v>
      </c>
      <c r="AO90" s="60">
        <f t="shared" si="90"/>
        <v>273.35778700650792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2.7134774427395314E-13</v>
      </c>
      <c r="BF90" s="14">
        <f t="shared" si="91"/>
        <v>3.6292411711343559E-12</v>
      </c>
      <c r="BG90" s="22">
        <f t="shared" si="61"/>
        <v>6.7935256943361388E-12</v>
      </c>
      <c r="BH90" s="60">
        <f t="shared" si="62"/>
        <v>273.33480257048166</v>
      </c>
      <c r="BI90" s="60">
        <f ca="1">AVERAGE(OFFSET($BH$3,0,0,'Données projet'!$E$11+1,1))-AVERAGE(OFFSET($H$3,0,0,'Données projet'!$E$11+1,1))</f>
        <v>336.25341821407534</v>
      </c>
      <c r="BJ90" s="60">
        <f t="shared" si="92"/>
        <v>360.3246221345039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1.0707153499969992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1.0707153499969992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3.8461538461538454</v>
      </c>
      <c r="BY90" s="13">
        <f>IF('Données projet'!$A$114&gt;35,BY89+BX90-CG89,IF(A90&lt;'Données projet'!$A$114,$BV$205^A90,IF(A90='Données projet'!$A$114,'Données projet'!$B$114,BY89+BX90-CG89)))</f>
        <v>251.28205128205133</v>
      </c>
      <c r="BZ90" s="14">
        <f>BY90*VLOOKUP('Données projet'!$B$12,Paramètres!$A$1:$I$89,3,0)*VLOOKUP('Données projet'!$B$12,Paramètres!$A$1:$I$89,5,0)</f>
        <v>239.12000000000003</v>
      </c>
      <c r="CA90" s="14">
        <f t="shared" si="93"/>
        <v>58.25015373578745</v>
      </c>
      <c r="CB90" s="22">
        <f t="shared" si="64"/>
        <v>517.91968442316318</v>
      </c>
      <c r="CC90" s="60">
        <f t="shared" si="65"/>
        <v>791.25448699363801</v>
      </c>
      <c r="CD90" s="60">
        <f ca="1">AVERAGE(OFFSET($CC$3,0,0,'Données projet'!$E$12+1,1))-AVERAGE(OFFSET($H$3,0,0,'Données projet'!$E$12+1,1))</f>
        <v>438.41611139377829</v>
      </c>
      <c r="CE90" s="60">
        <f t="shared" si="94"/>
        <v>345.17417065809605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-4.5224624045658861E-14</v>
      </c>
      <c r="CV90" s="14" t="e">
        <f t="shared" si="95"/>
        <v>#NUM!</v>
      </c>
      <c r="CW90" s="22" t="e">
        <f t="shared" si="67"/>
        <v>#NUM!</v>
      </c>
      <c r="CX90" s="60" t="e">
        <f t="shared" si="68"/>
        <v>#NUM!</v>
      </c>
      <c r="CY90" s="60">
        <f ca="1">AVERAGE(OFFSET($CX$3,0,0,'Données projet'!$E$13+1,1))-AVERAGE(OFFSET($H$3,0,0,'Données projet'!$E$13+1,1))</f>
        <v>395.27840703467933</v>
      </c>
      <c r="CZ90" s="60">
        <f t="shared" si="96"/>
        <v>364.24192380053944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-2.8421709430404007E-13</v>
      </c>
      <c r="DP90" s="18">
        <f>DO90*VLOOKUP('Données projet'!$B$14,Paramètres!$A$1:$I$89,3,0)*VLOOKUP('Données projet'!$B$14,Paramètres!$A$1:$I$89,5,0)</f>
        <v>-2.2168933355715128E-13</v>
      </c>
      <c r="DQ90" s="14" t="e">
        <f t="shared" si="97"/>
        <v>#NUM!</v>
      </c>
      <c r="DR90" s="22" t="e">
        <f t="shared" si="70"/>
        <v>#NUM!</v>
      </c>
      <c r="DS90" s="60" t="e">
        <f t="shared" si="71"/>
        <v>#NUM!</v>
      </c>
      <c r="DT90" s="60">
        <f ca="1">AVERAGE(OFFSET($DS$3,0,0,'Données projet'!$E$14+1,1))-AVERAGE(OFFSET($H$3,0,0,'Données projet'!$E$14+1,1))</f>
        <v>308.76306523144956</v>
      </c>
      <c r="DU90" s="60">
        <f t="shared" si="98"/>
        <v>283.28099819802776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4.1025641025640995</v>
      </c>
      <c r="EJ90" s="13">
        <f>IF('Données projet'!$A$192&gt;35,EJ89+EI90-ER89,IF(A90&lt;'Données projet'!$A$192,$EG$205^A90,IF(A90='Données projet'!$A$192,'Données projet'!$B$192,EJ89+EI90-ER89)))</f>
        <v>310.76923076923083</v>
      </c>
      <c r="EK90" s="18">
        <f>EJ90*VLOOKUP('Données projet'!$B$15,Paramètres!$A$1:$I$89,3,0)*VLOOKUP('Données projet'!$B$15,Paramètres!$A$1:$I$89,5,0)</f>
        <v>208.46400000000006</v>
      </c>
      <c r="EL90" s="14">
        <f t="shared" si="99"/>
        <v>51.599787777368611</v>
      </c>
      <c r="EM90" s="22">
        <f t="shared" si="73"/>
        <v>452.94443037891705</v>
      </c>
      <c r="EN90" s="60">
        <f t="shared" si="74"/>
        <v>726.27923294939183</v>
      </c>
      <c r="EO90" s="60">
        <f ca="1">AVERAGE(OFFSET($EN$3,0,0,'Données projet'!$E$15+1,1))-AVERAGE(OFFSET($H$3,0,0,'Données projet'!$E$15+1,1))</f>
        <v>375.49921531693559</v>
      </c>
      <c r="EP90" s="60">
        <f t="shared" si="100"/>
        <v>306.93934681565599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3.6</v>
      </c>
      <c r="FE90" s="13">
        <f>IF('Données projet'!$A$218&gt;35,FE89+FD90-FM89,IF(A90&lt;'Données projet'!$A$218,$FB$205^A90,IF(A90='Données projet'!$A$218,'Données projet'!$B$218,FE89+FD90-FM89)))</f>
        <v>248.20000000000007</v>
      </c>
      <c r="FF90" s="18">
        <f>FE90*VLOOKUP('Données projet'!$B$16,Paramètres!$A$1:$I$89,3,0)*VLOOKUP('Données projet'!$B$16,Paramètres!$A$1:$I$89,5,0)</f>
        <v>201.33984000000009</v>
      </c>
      <c r="FG90" s="14">
        <f t="shared" si="101"/>
        <v>50.038509483090742</v>
      </c>
      <c r="FH90" s="22">
        <f t="shared" si="76"/>
        <v>437.81729201638319</v>
      </c>
      <c r="FI90" s="60">
        <f t="shared" si="77"/>
        <v>711.15209458685808</v>
      </c>
      <c r="FJ90" s="60">
        <f ca="1">AVERAGE(OFFSET($FI$3,0,0,'Données projet'!$E$16+1,1))-AVERAGE(OFFSET($H$3,0,0,'Données projet'!$E$16+1,1))</f>
        <v>308.58270639204238</v>
      </c>
      <c r="FK90" s="60">
        <f t="shared" si="102"/>
        <v>258.90832875500325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5.2</v>
      </c>
      <c r="FZ90" s="13">
        <f>IF('Données projet'!$A$244&gt;35,FZ89+FY90-GH89,IF(A90&lt;'Données projet'!$A$244,$FW$205^A90,IF(A90='Données projet'!$A$244,'Données projet'!$B$244,FZ89+FY90-GH89)))</f>
        <v>258.39999999999992</v>
      </c>
      <c r="GA90" s="18">
        <f>FZ90*VLOOKUP('Données projet'!$B$17,Paramètres!$A$1:$I$89,3,0)*VLOOKUP('Données projet'!$B$17,Paramètres!$A$1:$I$89,5,0)</f>
        <v>249.92447999999993</v>
      </c>
      <c r="GB90" s="14">
        <f t="shared" si="103"/>
        <v>60.569769096626466</v>
      </c>
      <c r="GC90" s="22">
        <f t="shared" si="79"/>
        <v>540.77748384329095</v>
      </c>
      <c r="GD90" s="60">
        <f t="shared" si="80"/>
        <v>814.11228641376579</v>
      </c>
      <c r="GE90" s="60">
        <f ca="1">AVERAGE(OFFSET($GD$3,0,0,'Données projet'!$E$17+1,1))-AVERAGE(OFFSET($H$3,0,0,'Données projet'!$E$17+1,1))</f>
        <v>495.77880062178235</v>
      </c>
      <c r="GF90" s="60">
        <f t="shared" si="104"/>
        <v>263.55891737750301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7.7</v>
      </c>
      <c r="N91" s="14">
        <f>IF('Données projet'!$A$36&gt;35,N90+M91-V90,IF(A91&lt;'Données projet'!$A$36,$K$205^A91,IF(A91='Données projet'!$A$36,'Données projet'!$B$36,N90+M91-V90)))</f>
        <v>361.10000000000025</v>
      </c>
      <c r="O91" s="14">
        <f>N91*VLOOKUP('Données projet'!$B$9,Paramètres!$A$1:$I$89,3,0)*VLOOKUP('Données projet'!$B$9,Paramètres!$A$1:$I$89,5,0)</f>
        <v>309.82380000000023</v>
      </c>
      <c r="P91" s="14">
        <f t="shared" si="87"/>
        <v>73.232031381301695</v>
      </c>
      <c r="Q91" s="22">
        <f t="shared" si="54"/>
        <v>667.15557298910073</v>
      </c>
      <c r="R91" s="60">
        <f t="shared" si="55"/>
        <v>940.83730535829443</v>
      </c>
      <c r="S91" s="60">
        <f ca="1">AVERAGE(OFFSET($R$3,0,0,'Données projet'!$E$9+1,1))-AVERAGE(OFFSET($H$3,0,0,'Données projet'!$E$9+1,1))</f>
        <v>598.73855311281966</v>
      </c>
      <c r="T91" s="60">
        <f t="shared" si="88"/>
        <v>275.88160405468193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263.59999999999991</v>
      </c>
      <c r="AJ91" s="14">
        <f>AI91*VLOOKUP('Données projet'!$B$10,Paramètres!$A$1:$I$89,3,0)*VLOOKUP('Données projet'!$B$10,Paramètres!$A$1:$I$89,5,0)</f>
        <v>267.29039999999992</v>
      </c>
      <c r="AK91" s="14">
        <f t="shared" si="89"/>
        <v>64.273886654661325</v>
      </c>
      <c r="AL91" s="22">
        <f t="shared" si="58"/>
        <v>577.47446592353504</v>
      </c>
      <c r="AM91" s="60">
        <f t="shared" si="59"/>
        <v>851.15619829272873</v>
      </c>
      <c r="AN91" s="60">
        <f ca="1">AVERAGE(OFFSET($AM$3,0,0,'Données projet'!$E$10+1,1))-AVERAGE(OFFSET($H$3,0,0,'Données projet'!$E$10+1,1))</f>
        <v>515.72324585399997</v>
      </c>
      <c r="AO91" s="60">
        <f t="shared" si="90"/>
        <v>273.35778700650792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2.7134774427395314E-13</v>
      </c>
      <c r="BF91" s="14">
        <f t="shared" si="91"/>
        <v>3.6292411711343559E-12</v>
      </c>
      <c r="BG91" s="22">
        <f t="shared" si="61"/>
        <v>6.7935256943361388E-12</v>
      </c>
      <c r="BH91" s="60">
        <f t="shared" si="62"/>
        <v>273.68173236920052</v>
      </c>
      <c r="BI91" s="60">
        <f ca="1">AVERAGE(OFFSET($BH$3,0,0,'Données projet'!$E$11+1,1))-AVERAGE(OFFSET($H$3,0,0,'Données projet'!$E$11+1,1))</f>
        <v>336.25341821407534</v>
      </c>
      <c r="BJ91" s="60">
        <f t="shared" si="92"/>
        <v>360.3246221345039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1.0414365824448581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1.0414365824448581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3.8461538461538454</v>
      </c>
      <c r="BY91" s="13">
        <f>IF('Données projet'!$A$114&gt;35,BY90+BX91-CG90,IF(A91&lt;'Données projet'!$A$114,$BV$205^A91,IF(A91='Données projet'!$A$114,'Données projet'!$B$114,BY90+BX91-CG90)))</f>
        <v>255.12820512820517</v>
      </c>
      <c r="BZ91" s="14">
        <f>BY91*VLOOKUP('Données projet'!$B$12,Paramètres!$A$1:$I$89,3,0)*VLOOKUP('Données projet'!$B$12,Paramètres!$A$1:$I$89,5,0)</f>
        <v>242.78000000000003</v>
      </c>
      <c r="CA91" s="14">
        <f t="shared" si="93"/>
        <v>59.037259522542399</v>
      </c>
      <c r="CB91" s="22">
        <f t="shared" si="64"/>
        <v>525.66506033509472</v>
      </c>
      <c r="CC91" s="60">
        <f t="shared" si="65"/>
        <v>799.34679270428842</v>
      </c>
      <c r="CD91" s="60">
        <f ca="1">AVERAGE(OFFSET($CC$3,0,0,'Données projet'!$E$12+1,1))-AVERAGE(OFFSET($H$3,0,0,'Données projet'!$E$12+1,1))</f>
        <v>438.41611139377829</v>
      </c>
      <c r="CE91" s="60">
        <f t="shared" si="94"/>
        <v>345.17417065809605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-4.5224624045658861E-14</v>
      </c>
      <c r="CV91" s="14" t="e">
        <f t="shared" si="95"/>
        <v>#NUM!</v>
      </c>
      <c r="CW91" s="22" t="e">
        <f t="shared" si="67"/>
        <v>#NUM!</v>
      </c>
      <c r="CX91" s="60" t="e">
        <f t="shared" si="68"/>
        <v>#NUM!</v>
      </c>
      <c r="CY91" s="60">
        <f ca="1">AVERAGE(OFFSET($CX$3,0,0,'Données projet'!$E$13+1,1))-AVERAGE(OFFSET($H$3,0,0,'Données projet'!$E$13+1,1))</f>
        <v>395.27840703467933</v>
      </c>
      <c r="CZ91" s="60">
        <f t="shared" si="96"/>
        <v>364.24192380053944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-2.8421709430404007E-13</v>
      </c>
      <c r="DP91" s="18">
        <f>DO91*VLOOKUP('Données projet'!$B$14,Paramètres!$A$1:$I$89,3,0)*VLOOKUP('Données projet'!$B$14,Paramètres!$A$1:$I$89,5,0)</f>
        <v>-2.2168933355715128E-13</v>
      </c>
      <c r="DQ91" s="14" t="e">
        <f t="shared" si="97"/>
        <v>#NUM!</v>
      </c>
      <c r="DR91" s="22" t="e">
        <f t="shared" si="70"/>
        <v>#NUM!</v>
      </c>
      <c r="DS91" s="60" t="e">
        <f t="shared" si="71"/>
        <v>#NUM!</v>
      </c>
      <c r="DT91" s="60">
        <f ca="1">AVERAGE(OFFSET($DS$3,0,0,'Données projet'!$E$14+1,1))-AVERAGE(OFFSET($H$3,0,0,'Données projet'!$E$14+1,1))</f>
        <v>308.76306523144956</v>
      </c>
      <c r="DU91" s="60">
        <f t="shared" si="98"/>
        <v>283.28099819802776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4.1025641025640995</v>
      </c>
      <c r="EJ91" s="13">
        <f>IF('Données projet'!$A$192&gt;35,EJ90+EI91-ER90,IF(A91&lt;'Données projet'!$A$192,$EG$205^A91,IF(A91='Données projet'!$A$192,'Données projet'!$B$192,EJ90+EI91-ER90)))</f>
        <v>314.87179487179492</v>
      </c>
      <c r="EK91" s="18">
        <f>EJ91*VLOOKUP('Données projet'!$B$15,Paramètres!$A$1:$I$89,3,0)*VLOOKUP('Données projet'!$B$15,Paramètres!$A$1:$I$89,5,0)</f>
        <v>211.21600000000004</v>
      </c>
      <c r="EL91" s="14">
        <f t="shared" si="99"/>
        <v>52.201222933413362</v>
      </c>
      <c r="EM91" s="22">
        <f t="shared" si="73"/>
        <v>458.78499660902838</v>
      </c>
      <c r="EN91" s="60">
        <f t="shared" si="74"/>
        <v>732.46672897822214</v>
      </c>
      <c r="EO91" s="60">
        <f ca="1">AVERAGE(OFFSET($EN$3,0,0,'Données projet'!$E$15+1,1))-AVERAGE(OFFSET($H$3,0,0,'Données projet'!$E$15+1,1))</f>
        <v>375.49921531693559</v>
      </c>
      <c r="EP91" s="60">
        <f t="shared" si="100"/>
        <v>306.93934681565599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3.6</v>
      </c>
      <c r="FE91" s="13">
        <f>IF('Données projet'!$A$218&gt;35,FE90+FD91-FM90,IF(A91&lt;'Données projet'!$A$218,$FB$205^A91,IF(A91='Données projet'!$A$218,'Données projet'!$B$218,FE90+FD91-FM90)))</f>
        <v>251.80000000000007</v>
      </c>
      <c r="FF91" s="18">
        <f>FE91*VLOOKUP('Données projet'!$B$16,Paramètres!$A$1:$I$89,3,0)*VLOOKUP('Données projet'!$B$16,Paramètres!$A$1:$I$89,5,0)</f>
        <v>204.26016000000007</v>
      </c>
      <c r="FG91" s="14">
        <f t="shared" si="101"/>
        <v>50.679270368736539</v>
      </c>
      <c r="FH91" s="22">
        <f t="shared" si="76"/>
        <v>444.01950789221627</v>
      </c>
      <c r="FI91" s="60">
        <f t="shared" si="77"/>
        <v>717.70124026141002</v>
      </c>
      <c r="FJ91" s="60">
        <f ca="1">AVERAGE(OFFSET($FI$3,0,0,'Données projet'!$E$16+1,1))-AVERAGE(OFFSET($H$3,0,0,'Données projet'!$E$16+1,1))</f>
        <v>308.58270639204238</v>
      </c>
      <c r="FK91" s="60">
        <f t="shared" si="102"/>
        <v>258.90832875500325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5.2</v>
      </c>
      <c r="FZ91" s="13">
        <f>IF('Données projet'!$A$244&gt;35,FZ90+FY91-GH90,IF(A91&lt;'Données projet'!$A$244,$FW$205^A91,IF(A91='Données projet'!$A$244,'Données projet'!$B$244,FZ90+FY91-GH90)))</f>
        <v>263.59999999999991</v>
      </c>
      <c r="GA91" s="18">
        <f>FZ91*VLOOKUP('Données projet'!$B$17,Paramètres!$A$1:$I$89,3,0)*VLOOKUP('Données projet'!$B$17,Paramètres!$A$1:$I$89,5,0)</f>
        <v>254.9539199999999</v>
      </c>
      <c r="GB91" s="14">
        <f t="shared" si="103"/>
        <v>61.645533788540526</v>
      </c>
      <c r="GC91" s="22">
        <f t="shared" si="79"/>
        <v>551.41071534837454</v>
      </c>
      <c r="GD91" s="60">
        <f t="shared" si="80"/>
        <v>825.09244771756823</v>
      </c>
      <c r="GE91" s="60">
        <f ca="1">AVERAGE(OFFSET($GD$3,0,0,'Données projet'!$E$17+1,1))-AVERAGE(OFFSET($H$3,0,0,'Données projet'!$E$17+1,1))</f>
        <v>495.77880062178235</v>
      </c>
      <c r="GF91" s="60">
        <f t="shared" si="104"/>
        <v>263.55891737750301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7.7</v>
      </c>
      <c r="N92" s="14">
        <f>IF('Données projet'!$A$36&gt;35,N91+M92-V91,IF(A92&lt;'Données projet'!$A$36,$K$205^A92,IF(A92='Données projet'!$A$36,'Données projet'!$B$36,N91+M92-V91)))</f>
        <v>368.80000000000024</v>
      </c>
      <c r="O92" s="14">
        <f>N92*VLOOKUP('Données projet'!$B$9,Paramètres!$A$1:$I$89,3,0)*VLOOKUP('Données projet'!$B$9,Paramètres!$A$1:$I$89,5,0)</f>
        <v>316.43040000000025</v>
      </c>
      <c r="P92" s="14">
        <f t="shared" si="87"/>
        <v>74.61014475593521</v>
      </c>
      <c r="Q92" s="22">
        <f t="shared" si="54"/>
        <v>681.06228211658754</v>
      </c>
      <c r="R92" s="60">
        <f t="shared" si="55"/>
        <v>955.08492582811118</v>
      </c>
      <c r="S92" s="60">
        <f ca="1">AVERAGE(OFFSET($R$3,0,0,'Données projet'!$E$9+1,1))-AVERAGE(OFFSET($H$3,0,0,'Données projet'!$E$9+1,1))</f>
        <v>598.73855311281966</v>
      </c>
      <c r="T92" s="60">
        <f t="shared" si="88"/>
        <v>275.88160405468193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268.7999999999999</v>
      </c>
      <c r="AJ92" s="14">
        <f>AI92*VLOOKUP('Données projet'!$B$10,Paramètres!$A$1:$I$89,3,0)*VLOOKUP('Données projet'!$B$10,Paramètres!$A$1:$I$89,5,0)</f>
        <v>272.56319999999994</v>
      </c>
      <c r="AK92" s="14">
        <f t="shared" si="89"/>
        <v>65.392945522034609</v>
      </c>
      <c r="AL92" s="22">
        <f t="shared" si="58"/>
        <v>588.60695345087686</v>
      </c>
      <c r="AM92" s="60">
        <f t="shared" si="59"/>
        <v>862.62959716240039</v>
      </c>
      <c r="AN92" s="60">
        <f ca="1">AVERAGE(OFFSET($AM$3,0,0,'Données projet'!$E$10+1,1))-AVERAGE(OFFSET($H$3,0,0,'Données projet'!$E$10+1,1))</f>
        <v>515.72324585399997</v>
      </c>
      <c r="AO92" s="60">
        <f t="shared" si="90"/>
        <v>273.35778700650792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2.7134774427395314E-13</v>
      </c>
      <c r="BF92" s="14">
        <f t="shared" si="91"/>
        <v>3.6292411711343559E-12</v>
      </c>
      <c r="BG92" s="22">
        <f t="shared" si="61"/>
        <v>6.7935256943361388E-12</v>
      </c>
      <c r="BH92" s="60">
        <f t="shared" si="62"/>
        <v>274.02264371153041</v>
      </c>
      <c r="BI92" s="60">
        <f ca="1">AVERAGE(OFFSET($BH$3,0,0,'Données projet'!$E$11+1,1))-AVERAGE(OFFSET($H$3,0,0,'Données projet'!$E$11+1,1))</f>
        <v>336.25341821407534</v>
      </c>
      <c r="BJ92" s="60">
        <f t="shared" si="92"/>
        <v>360.3246221345039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1.0129584443311339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1.0129584443311339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3.8461538461538454</v>
      </c>
      <c r="BY92" s="13">
        <f>IF('Données projet'!$A$114&gt;35,BY91+BX92-CG91,IF(A92&lt;'Données projet'!$A$114,$BV$205^A92,IF(A92='Données projet'!$A$114,'Données projet'!$B$114,BY91+BX92-CG91)))</f>
        <v>258.97435897435901</v>
      </c>
      <c r="BZ92" s="14">
        <f>BY92*VLOOKUP('Données projet'!$B$12,Paramètres!$A$1:$I$89,3,0)*VLOOKUP('Données projet'!$B$12,Paramètres!$A$1:$I$89,5,0)</f>
        <v>246.44000000000003</v>
      </c>
      <c r="CA92" s="14">
        <f t="shared" si="93"/>
        <v>59.822985272492645</v>
      </c>
      <c r="CB92" s="22">
        <f t="shared" si="64"/>
        <v>533.40803268292461</v>
      </c>
      <c r="CC92" s="60">
        <f t="shared" si="65"/>
        <v>807.43067639444826</v>
      </c>
      <c r="CD92" s="60">
        <f ca="1">AVERAGE(OFFSET($CC$3,0,0,'Données projet'!$E$12+1,1))-AVERAGE(OFFSET($H$3,0,0,'Données projet'!$E$12+1,1))</f>
        <v>438.41611139377829</v>
      </c>
      <c r="CE92" s="60">
        <f t="shared" si="94"/>
        <v>345.17417065809605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-4.5224624045658861E-14</v>
      </c>
      <c r="CV92" s="14" t="e">
        <f t="shared" si="95"/>
        <v>#NUM!</v>
      </c>
      <c r="CW92" s="22" t="e">
        <f t="shared" si="67"/>
        <v>#NUM!</v>
      </c>
      <c r="CX92" s="60" t="e">
        <f t="shared" si="68"/>
        <v>#NUM!</v>
      </c>
      <c r="CY92" s="60">
        <f ca="1">AVERAGE(OFFSET($CX$3,0,0,'Données projet'!$E$13+1,1))-AVERAGE(OFFSET($H$3,0,0,'Données projet'!$E$13+1,1))</f>
        <v>395.27840703467933</v>
      </c>
      <c r="CZ92" s="60">
        <f t="shared" si="96"/>
        <v>364.24192380053944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-2.8421709430404007E-13</v>
      </c>
      <c r="DP92" s="18">
        <f>DO92*VLOOKUP('Données projet'!$B$14,Paramètres!$A$1:$I$89,3,0)*VLOOKUP('Données projet'!$B$14,Paramètres!$A$1:$I$89,5,0)</f>
        <v>-2.2168933355715128E-13</v>
      </c>
      <c r="DQ92" s="14" t="e">
        <f t="shared" si="97"/>
        <v>#NUM!</v>
      </c>
      <c r="DR92" s="22" t="e">
        <f t="shared" si="70"/>
        <v>#NUM!</v>
      </c>
      <c r="DS92" s="60" t="e">
        <f t="shared" si="71"/>
        <v>#NUM!</v>
      </c>
      <c r="DT92" s="60">
        <f ca="1">AVERAGE(OFFSET($DS$3,0,0,'Données projet'!$E$14+1,1))-AVERAGE(OFFSET($H$3,0,0,'Données projet'!$E$14+1,1))</f>
        <v>308.76306523144956</v>
      </c>
      <c r="DU92" s="60">
        <f t="shared" si="98"/>
        <v>283.28099819802776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4.1025641025640995</v>
      </c>
      <c r="EJ92" s="13">
        <f>IF('Données projet'!$A$192&gt;35,EJ91+EI92-ER91,IF(A92&lt;'Données projet'!$A$192,$EG$205^A92,IF(A92='Données projet'!$A$192,'Données projet'!$B$192,EJ91+EI92-ER91)))</f>
        <v>318.97435897435901</v>
      </c>
      <c r="EK92" s="18">
        <f>EJ92*VLOOKUP('Données projet'!$B$15,Paramètres!$A$1:$I$89,3,0)*VLOOKUP('Données projet'!$B$15,Paramètres!$A$1:$I$89,5,0)</f>
        <v>213.96800000000005</v>
      </c>
      <c r="EL92" s="14">
        <f t="shared" si="99"/>
        <v>52.801746609520308</v>
      </c>
      <c r="EM92" s="22">
        <f t="shared" si="73"/>
        <v>464.62397534491453</v>
      </c>
      <c r="EN92" s="60">
        <f t="shared" si="74"/>
        <v>738.64661905643811</v>
      </c>
      <c r="EO92" s="60">
        <f ca="1">AVERAGE(OFFSET($EN$3,0,0,'Données projet'!$E$15+1,1))-AVERAGE(OFFSET($H$3,0,0,'Données projet'!$E$15+1,1))</f>
        <v>375.49921531693559</v>
      </c>
      <c r="EP92" s="60">
        <f t="shared" si="100"/>
        <v>306.93934681565599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3.6</v>
      </c>
      <c r="FE92" s="13">
        <f>IF('Données projet'!$A$218&gt;35,FE91+FD92-FM91,IF(A92&lt;'Données projet'!$A$218,$FB$205^A92,IF(A92='Données projet'!$A$218,'Données projet'!$B$218,FE91+FD92-FM91)))</f>
        <v>255.40000000000006</v>
      </c>
      <c r="FF92" s="18">
        <f>FE92*VLOOKUP('Données projet'!$B$16,Paramètres!$A$1:$I$89,3,0)*VLOOKUP('Données projet'!$B$16,Paramètres!$A$1:$I$89,5,0)</f>
        <v>207.18048000000007</v>
      </c>
      <c r="FG92" s="14">
        <f t="shared" si="101"/>
        <v>51.318965762681557</v>
      </c>
      <c r="FH92" s="22">
        <f t="shared" si="76"/>
        <v>450.21986803667045</v>
      </c>
      <c r="FI92" s="60">
        <f t="shared" si="77"/>
        <v>724.24251174819403</v>
      </c>
      <c r="FJ92" s="60">
        <f ca="1">AVERAGE(OFFSET($FI$3,0,0,'Données projet'!$E$16+1,1))-AVERAGE(OFFSET($H$3,0,0,'Données projet'!$E$16+1,1))</f>
        <v>308.58270639204238</v>
      </c>
      <c r="FK92" s="60">
        <f t="shared" si="102"/>
        <v>258.90832875500325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5.2</v>
      </c>
      <c r="FZ92" s="13">
        <f>IF('Données projet'!$A$244&gt;35,FZ91+FY92-GH91,IF(A92&lt;'Données projet'!$A$244,$FW$205^A92,IF(A92='Données projet'!$A$244,'Données projet'!$B$244,FZ91+FY92-GH91)))</f>
        <v>268.7999999999999</v>
      </c>
      <c r="GA92" s="18">
        <f>FZ92*VLOOKUP('Données projet'!$B$17,Paramètres!$A$1:$I$89,3,0)*VLOOKUP('Données projet'!$B$17,Paramètres!$A$1:$I$89,5,0)</f>
        <v>259.98335999999995</v>
      </c>
      <c r="GB92" s="14">
        <f t="shared" si="103"/>
        <v>62.718830967388243</v>
      </c>
      <c r="GC92" s="22">
        <f t="shared" si="79"/>
        <v>562.03964926820106</v>
      </c>
      <c r="GD92" s="60">
        <f t="shared" si="80"/>
        <v>836.06229297972459</v>
      </c>
      <c r="GE92" s="60">
        <f ca="1">AVERAGE(OFFSET($GD$3,0,0,'Données projet'!$E$17+1,1))-AVERAGE(OFFSET($H$3,0,0,'Données projet'!$E$17+1,1))</f>
        <v>495.77880062178235</v>
      </c>
      <c r="GF92" s="60">
        <f t="shared" si="104"/>
        <v>263.55891737750301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7.7</v>
      </c>
      <c r="N93" s="14">
        <f>IF('Données projet'!$A$36&gt;35,N92+M93-V92,IF(A93&lt;'Données projet'!$A$36,$K$205^A93,IF(A93='Données projet'!$A$36,'Données projet'!$B$36,N92+M93-V92)))</f>
        <v>376.50000000000023</v>
      </c>
      <c r="O93" s="14">
        <f>N93*VLOOKUP('Données projet'!$B$9,Paramètres!$A$1:$I$89,3,0)*VLOOKUP('Données projet'!$B$9,Paramètres!$A$1:$I$89,5,0)</f>
        <v>323.03700000000021</v>
      </c>
      <c r="P93" s="14">
        <f t="shared" si="87"/>
        <v>75.984912765820184</v>
      </c>
      <c r="Q93" s="22">
        <f t="shared" si="54"/>
        <v>694.96316473380375</v>
      </c>
      <c r="R93" s="60">
        <f t="shared" si="55"/>
        <v>969.32080573803137</v>
      </c>
      <c r="S93" s="60">
        <f ca="1">AVERAGE(OFFSET($R$3,0,0,'Données projet'!$E$9+1,1))-AVERAGE(OFFSET($H$3,0,0,'Données projet'!$E$9+1,1))</f>
        <v>598.73855311281966</v>
      </c>
      <c r="T93" s="60">
        <f t="shared" si="88"/>
        <v>275.88160405468193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273.99999999999989</v>
      </c>
      <c r="AJ93" s="14">
        <f>AI93*VLOOKUP('Données projet'!$B$10,Paramètres!$A$1:$I$89,3,0)*VLOOKUP('Données projet'!$B$10,Paramètres!$A$1:$I$89,5,0)</f>
        <v>277.8359999999999</v>
      </c>
      <c r="AK93" s="14">
        <f t="shared" si="89"/>
        <v>66.509487177652318</v>
      </c>
      <c r="AL93" s="22">
        <f t="shared" si="58"/>
        <v>599.73505683441101</v>
      </c>
      <c r="AM93" s="60">
        <f t="shared" si="59"/>
        <v>874.09269783863874</v>
      </c>
      <c r="AN93" s="60">
        <f ca="1">AVERAGE(OFFSET($AM$3,0,0,'Données projet'!$E$10+1,1))-AVERAGE(OFFSET($H$3,0,0,'Données projet'!$E$10+1,1))</f>
        <v>515.72324585399997</v>
      </c>
      <c r="AO93" s="60">
        <f t="shared" si="90"/>
        <v>273.35778700650792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2.7134774427395314E-13</v>
      </c>
      <c r="BF93" s="14">
        <f t="shared" si="91"/>
        <v>3.6292411711343559E-12</v>
      </c>
      <c r="BG93" s="22">
        <f t="shared" si="61"/>
        <v>6.7935256943361388E-12</v>
      </c>
      <c r="BH93" s="60">
        <f t="shared" si="62"/>
        <v>274.35764100423449</v>
      </c>
      <c r="BI93" s="60">
        <f ca="1">AVERAGE(OFFSET($BH$3,0,0,'Données projet'!$E$11+1,1))-AVERAGE(OFFSET($H$3,0,0,'Données projet'!$E$11+1,1))</f>
        <v>336.25341821407534</v>
      </c>
      <c r="BJ93" s="60">
        <f t="shared" si="92"/>
        <v>360.3246221345039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0.98525904240172957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0.98525904240172957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262.82051282051282</v>
      </c>
      <c r="BW93" s="13">
        <f>VLOOKUP(A93,'Données projet'!$A$113:$I$133,9,0)</f>
        <v>3.8461538461538454</v>
      </c>
      <c r="BX93" s="13">
        <f t="array" ref="BX93">INDEX(BW:BW,MIN(IF(ISNUMBER(BW93:BW289),ROW(BW93:BW289),"")))</f>
        <v>3.8461538461538454</v>
      </c>
      <c r="BY93" s="13">
        <f>IF('Données projet'!$A$114&gt;35,BY92+BX93-CG92,IF(A93&lt;'Données projet'!$A$114,$BV$205^A93,IF(A93='Données projet'!$A$114,'Données projet'!$B$114,BY92+BX93-CG92)))</f>
        <v>262.82051282051287</v>
      </c>
      <c r="BZ93" s="14">
        <f>BY93*VLOOKUP('Données projet'!$B$12,Paramètres!$A$1:$I$89,3,0)*VLOOKUP('Données projet'!$B$12,Paramètres!$A$1:$I$89,5,0)</f>
        <v>250.10000000000005</v>
      </c>
      <c r="CA93" s="14">
        <f t="shared" si="93"/>
        <v>60.60735384884763</v>
      </c>
      <c r="CB93" s="22">
        <f t="shared" si="64"/>
        <v>541.1486412867431</v>
      </c>
      <c r="CC93" s="60">
        <f t="shared" si="65"/>
        <v>815.50628229097083</v>
      </c>
      <c r="CD93" s="60">
        <f ca="1">AVERAGE(OFFSET($CC$3,0,0,'Données projet'!$E$12+1,1))-AVERAGE(OFFSET($H$3,0,0,'Données projet'!$E$12+1,1))</f>
        <v>438.41611139377829</v>
      </c>
      <c r="CE93" s="60">
        <f t="shared" si="94"/>
        <v>345.17417065809605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28.205128205128204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-4.5224624045658861E-14</v>
      </c>
      <c r="CV93" s="14" t="e">
        <f t="shared" si="95"/>
        <v>#NUM!</v>
      </c>
      <c r="CW93" s="22" t="e">
        <f t="shared" si="67"/>
        <v>#NUM!</v>
      </c>
      <c r="CX93" s="60" t="e">
        <f t="shared" si="68"/>
        <v>#NUM!</v>
      </c>
      <c r="CY93" s="60">
        <f ca="1">AVERAGE(OFFSET($CX$3,0,0,'Données projet'!$E$13+1,1))-AVERAGE(OFFSET($H$3,0,0,'Données projet'!$E$13+1,1))</f>
        <v>395.27840703467933</v>
      </c>
      <c r="CZ93" s="60">
        <f t="shared" si="96"/>
        <v>364.24192380053944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-2.8421709430404007E-13</v>
      </c>
      <c r="DP93" s="18">
        <f>DO93*VLOOKUP('Données projet'!$B$14,Paramètres!$A$1:$I$89,3,0)*VLOOKUP('Données projet'!$B$14,Paramètres!$A$1:$I$89,5,0)</f>
        <v>-2.2168933355715128E-13</v>
      </c>
      <c r="DQ93" s="14" t="e">
        <f t="shared" si="97"/>
        <v>#NUM!</v>
      </c>
      <c r="DR93" s="22" t="e">
        <f t="shared" si="70"/>
        <v>#NUM!</v>
      </c>
      <c r="DS93" s="60" t="e">
        <f t="shared" si="71"/>
        <v>#NUM!</v>
      </c>
      <c r="DT93" s="60">
        <f ca="1">AVERAGE(OFFSET($DS$3,0,0,'Données projet'!$E$14+1,1))-AVERAGE(OFFSET($H$3,0,0,'Données projet'!$E$14+1,1))</f>
        <v>308.76306523144956</v>
      </c>
      <c r="DU93" s="60">
        <f t="shared" si="98"/>
        <v>283.28099819802776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323.07692307692304</v>
      </c>
      <c r="EH93" s="13">
        <f>VLOOKUP(A93,'Données projet'!$A$191:$I$211,9,0)</f>
        <v>4.1025641025640995</v>
      </c>
      <c r="EI93" s="13">
        <f t="array" ref="EI93">INDEX(EH:EH,MIN(IF(ISNUMBER(EH93:EH289),ROW(EH93:EH289),"")))</f>
        <v>4.1025641025640995</v>
      </c>
      <c r="EJ93" s="13">
        <f>IF('Données projet'!$A$192&gt;35,EJ92+EI93-ER92,IF(A93&lt;'Données projet'!$A$192,$EG$205^A93,IF(A93='Données projet'!$A$192,'Données projet'!$B$192,EJ92+EI93-ER92)))</f>
        <v>323.07692307692309</v>
      </c>
      <c r="EK93" s="18">
        <f>EJ93*VLOOKUP('Données projet'!$B$15,Paramètres!$A$1:$I$89,3,0)*VLOOKUP('Données projet'!$B$15,Paramètres!$A$1:$I$89,5,0)</f>
        <v>216.72000000000003</v>
      </c>
      <c r="EL93" s="14">
        <f t="shared" si="99"/>
        <v>53.401371884419554</v>
      </c>
      <c r="EM93" s="22">
        <f t="shared" si="73"/>
        <v>470.46138936536408</v>
      </c>
      <c r="EN93" s="60">
        <f t="shared" si="74"/>
        <v>744.8190303695917</v>
      </c>
      <c r="EO93" s="60">
        <f ca="1">AVERAGE(OFFSET($EN$3,0,0,'Données projet'!$E$15+1,1))-AVERAGE(OFFSET($H$3,0,0,'Données projet'!$E$15+1,1))</f>
        <v>375.49921531693559</v>
      </c>
      <c r="EP93" s="60">
        <f t="shared" si="100"/>
        <v>306.93934681565599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26.282051282051281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259</v>
      </c>
      <c r="FC93" s="13">
        <f>VLOOKUP(A93,'Données projet'!$A$217:$I$237,9,0)</f>
        <v>3.6</v>
      </c>
      <c r="FD93" s="13">
        <f t="array" ref="FD93">INDEX(FC:FC,MIN(IF(ISNUMBER(FC93:FC289),ROW(FC93:FC289),"")))</f>
        <v>3.6</v>
      </c>
      <c r="FE93" s="13">
        <f>IF('Données projet'!$A$218&gt;35,FE92+FD93-FM92,IF(A93&lt;'Données projet'!$A$218,$FB$205^A93,IF(A93='Données projet'!$A$218,'Données projet'!$B$218,FE92+FD93-FM92)))</f>
        <v>259.00000000000006</v>
      </c>
      <c r="FF93" s="18">
        <f>FE93*VLOOKUP('Données projet'!$B$16,Paramètres!$A$1:$I$89,3,0)*VLOOKUP('Données projet'!$B$16,Paramètres!$A$1:$I$89,5,0)</f>
        <v>210.10080000000005</v>
      </c>
      <c r="FG93" s="14">
        <f t="shared" si="101"/>
        <v>51.95761241914623</v>
      </c>
      <c r="FH93" s="22">
        <f t="shared" si="76"/>
        <v>456.41840163001308</v>
      </c>
      <c r="FI93" s="60">
        <f t="shared" si="77"/>
        <v>730.77604263424075</v>
      </c>
      <c r="FJ93" s="60">
        <f ca="1">AVERAGE(OFFSET($FI$3,0,0,'Données projet'!$E$16+1,1))-AVERAGE(OFFSET($H$3,0,0,'Données projet'!$E$16+1,1))</f>
        <v>308.58270639204238</v>
      </c>
      <c r="FK93" s="60">
        <f t="shared" si="102"/>
        <v>258.90832875500325</v>
      </c>
      <c r="FL93" s="16">
        <f>IF(ISNA(VLOOKUP(A93,'Données projet'!$A$217:$I$237,3,0)),0,VLOOKUP(A93,'Données projet'!$A$217:$I$237,3,0))</f>
        <v>8</v>
      </c>
      <c r="FM93" s="16">
        <f>IF(ISNA(VLOOKUP(A93,'Données projet'!$A$217:$I$237,4,0)),0,VLOOKUP(A93,'Données projet'!$A$217:$I$237,4,0))</f>
        <v>259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5.2</v>
      </c>
      <c r="FZ93" s="13">
        <f>IF('Données projet'!$A$244&gt;35,FZ92+FY93-GH92,IF(A93&lt;'Données projet'!$A$244,$FW$205^A93,IF(A93='Données projet'!$A$244,'Données projet'!$B$244,FZ92+FY93-GH92)))</f>
        <v>273.99999999999989</v>
      </c>
      <c r="GA93" s="18">
        <f>FZ93*VLOOKUP('Données projet'!$B$17,Paramètres!$A$1:$I$89,3,0)*VLOOKUP('Données projet'!$B$17,Paramètres!$A$1:$I$89,5,0)</f>
        <v>265.01279999999991</v>
      </c>
      <c r="GB93" s="14">
        <f t="shared" si="103"/>
        <v>63.789713870852729</v>
      </c>
      <c r="GC93" s="22">
        <f t="shared" si="79"/>
        <v>572.66437832506824</v>
      </c>
      <c r="GD93" s="60">
        <f t="shared" si="80"/>
        <v>847.02201932929597</v>
      </c>
      <c r="GE93" s="60">
        <f ca="1">AVERAGE(OFFSET($GD$3,0,0,'Données projet'!$E$17+1,1))-AVERAGE(OFFSET($H$3,0,0,'Données projet'!$E$17+1,1))</f>
        <v>495.77880062178235</v>
      </c>
      <c r="GF93" s="60">
        <f t="shared" si="104"/>
        <v>263.55891737750301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7.7</v>
      </c>
      <c r="N94" s="14">
        <f>IF('Données projet'!$A$36&gt;35,N93+M94-V93,IF(A94&lt;'Données projet'!$A$36,$K$205^A94,IF(A94='Données projet'!$A$36,'Données projet'!$B$36,N93+M94-V93)))</f>
        <v>384.20000000000022</v>
      </c>
      <c r="O94" s="14">
        <f>N94*VLOOKUP('Données projet'!$B$9,Paramètres!$A$1:$I$89,3,0)*VLOOKUP('Données projet'!$B$9,Paramètres!$A$1:$I$89,5,0)</f>
        <v>329.64360000000022</v>
      </c>
      <c r="P94" s="14">
        <f t="shared" si="87"/>
        <v>77.356411712502904</v>
      </c>
      <c r="Q94" s="22">
        <f t="shared" si="54"/>
        <v>708.85835373260954</v>
      </c>
      <c r="R94" s="60">
        <f t="shared" si="55"/>
        <v>983.54518057545465</v>
      </c>
      <c r="S94" s="60">
        <f ca="1">AVERAGE(OFFSET($R$3,0,0,'Données projet'!$E$9+1,1))-AVERAGE(OFFSET($H$3,0,0,'Données projet'!$E$9+1,1))</f>
        <v>598.73855311281966</v>
      </c>
      <c r="T94" s="60">
        <f t="shared" si="88"/>
        <v>275.88160405468193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279.19999999999987</v>
      </c>
      <c r="AJ94" s="14">
        <f>AI94*VLOOKUP('Données projet'!$B$10,Paramètres!$A$1:$I$89,3,0)*VLOOKUP('Données projet'!$B$10,Paramètres!$A$1:$I$89,5,0)</f>
        <v>283.10879999999992</v>
      </c>
      <c r="AK94" s="14">
        <f t="shared" si="89"/>
        <v>67.623564901653808</v>
      </c>
      <c r="AL94" s="22">
        <f t="shared" si="58"/>
        <v>610.85886887038021</v>
      </c>
      <c r="AM94" s="60">
        <f t="shared" si="59"/>
        <v>885.54569571322531</v>
      </c>
      <c r="AN94" s="60">
        <f ca="1">AVERAGE(OFFSET($AM$3,0,0,'Données projet'!$E$10+1,1))-AVERAGE(OFFSET($H$3,0,0,'Données projet'!$E$10+1,1))</f>
        <v>515.72324585399997</v>
      </c>
      <c r="AO94" s="60">
        <f t="shared" si="90"/>
        <v>273.35778700650792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2.7134774427395314E-13</v>
      </c>
      <c r="BF94" s="14">
        <f t="shared" si="91"/>
        <v>3.6292411711343559E-12</v>
      </c>
      <c r="BG94" s="22">
        <f t="shared" si="61"/>
        <v>6.7935256943361388E-12</v>
      </c>
      <c r="BH94" s="60">
        <f t="shared" si="62"/>
        <v>274.68682684285187</v>
      </c>
      <c r="BI94" s="60">
        <f ca="1">AVERAGE(OFFSET($BH$3,0,0,'Données projet'!$E$11+1,1))-AVERAGE(OFFSET($H$3,0,0,'Données projet'!$E$11+1,1))</f>
        <v>336.25341821407534</v>
      </c>
      <c r="BJ94" s="60">
        <f t="shared" si="92"/>
        <v>360.3246221345039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0.9583170820747331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0.9583170820747331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3.8461538461538454</v>
      </c>
      <c r="BY94" s="13">
        <f>IF('Données projet'!$A$114&gt;35,BY93+BX94-CG93,IF(A94&lt;'Données projet'!$A$114,$BV$205^A94,IF(A94='Données projet'!$A$114,'Données projet'!$B$114,BY93+BX94-CG93)))</f>
        <v>238.46153846153854</v>
      </c>
      <c r="BZ94" s="14">
        <f>BY94*VLOOKUP('Données projet'!$B$12,Paramètres!$A$1:$I$89,3,0)*VLOOKUP('Données projet'!$B$12,Paramètres!$A$1:$I$89,5,0)</f>
        <v>226.92000000000007</v>
      </c>
      <c r="CA94" s="14">
        <f t="shared" si="93"/>
        <v>55.616191877604692</v>
      </c>
      <c r="CB94" s="22">
        <f t="shared" si="64"/>
        <v>492.08386752016168</v>
      </c>
      <c r="CC94" s="60">
        <f t="shared" si="65"/>
        <v>766.77069436300667</v>
      </c>
      <c r="CD94" s="60">
        <f ca="1">AVERAGE(OFFSET($CC$3,0,0,'Données projet'!$E$12+1,1))-AVERAGE(OFFSET($H$3,0,0,'Données projet'!$E$12+1,1))</f>
        <v>438.41611139377829</v>
      </c>
      <c r="CE94" s="60">
        <f t="shared" si="94"/>
        <v>345.17417065809605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-4.5224624045658861E-14</v>
      </c>
      <c r="CV94" s="14" t="e">
        <f t="shared" si="95"/>
        <v>#NUM!</v>
      </c>
      <c r="CW94" s="22" t="e">
        <f t="shared" si="67"/>
        <v>#NUM!</v>
      </c>
      <c r="CX94" s="60" t="e">
        <f t="shared" si="68"/>
        <v>#NUM!</v>
      </c>
      <c r="CY94" s="60">
        <f ca="1">AVERAGE(OFFSET($CX$3,0,0,'Données projet'!$E$13+1,1))-AVERAGE(OFFSET($H$3,0,0,'Données projet'!$E$13+1,1))</f>
        <v>395.27840703467933</v>
      </c>
      <c r="CZ94" s="60">
        <f t="shared" si="96"/>
        <v>364.24192380053944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-2.8421709430404007E-13</v>
      </c>
      <c r="DP94" s="18">
        <f>DO94*VLOOKUP('Données projet'!$B$14,Paramètres!$A$1:$I$89,3,0)*VLOOKUP('Données projet'!$B$14,Paramètres!$A$1:$I$89,5,0)</f>
        <v>-2.2168933355715128E-13</v>
      </c>
      <c r="DQ94" s="14" t="e">
        <f t="shared" si="97"/>
        <v>#NUM!</v>
      </c>
      <c r="DR94" s="22" t="e">
        <f t="shared" si="70"/>
        <v>#NUM!</v>
      </c>
      <c r="DS94" s="60" t="e">
        <f t="shared" si="71"/>
        <v>#NUM!</v>
      </c>
      <c r="DT94" s="60">
        <f ca="1">AVERAGE(OFFSET($DS$3,0,0,'Données projet'!$E$14+1,1))-AVERAGE(OFFSET($H$3,0,0,'Données projet'!$E$14+1,1))</f>
        <v>308.76306523144956</v>
      </c>
      <c r="DU94" s="60">
        <f t="shared" si="98"/>
        <v>283.28099819802776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3.9743589743589722</v>
      </c>
      <c r="EJ94" s="13">
        <f>IF('Données projet'!$A$192&gt;35,EJ93+EI94-ER93,IF(A94&lt;'Données projet'!$A$192,$EG$205^A94,IF(A94='Données projet'!$A$192,'Données projet'!$B$192,EJ93+EI94-ER93)))</f>
        <v>300.76923076923077</v>
      </c>
      <c r="EK94" s="18">
        <f>EJ94*VLOOKUP('Données projet'!$B$15,Paramètres!$A$1:$I$89,3,0)*VLOOKUP('Données projet'!$B$15,Paramètres!$A$1:$I$89,5,0)</f>
        <v>201.756</v>
      </c>
      <c r="EL94" s="14">
        <f t="shared" si="99"/>
        <v>50.129886816541074</v>
      </c>
      <c r="EM94" s="22">
        <f t="shared" si="73"/>
        <v>438.70125287214233</v>
      </c>
      <c r="EN94" s="60">
        <f t="shared" si="74"/>
        <v>713.38807971498738</v>
      </c>
      <c r="EO94" s="60">
        <f ca="1">AVERAGE(OFFSET($EN$3,0,0,'Données projet'!$E$15+1,1))-AVERAGE(OFFSET($H$3,0,0,'Données projet'!$E$15+1,1))</f>
        <v>375.49921531693559</v>
      </c>
      <c r="EP94" s="60">
        <f t="shared" si="100"/>
        <v>306.93934681565599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5.6843418860808015E-14</v>
      </c>
      <c r="FF94" s="18">
        <f>FE94*VLOOKUP('Données projet'!$B$16,Paramètres!$A$1:$I$89,3,0)*VLOOKUP('Données projet'!$B$16,Paramètres!$A$1:$I$89,5,0)</f>
        <v>4.6111381379887463E-14</v>
      </c>
      <c r="FG94" s="14">
        <f t="shared" si="101"/>
        <v>7.5804141040779151E-13</v>
      </c>
      <c r="FH94" s="22">
        <f t="shared" si="76"/>
        <v>1.4005661123635408E-12</v>
      </c>
      <c r="FI94" s="60">
        <f t="shared" si="77"/>
        <v>274.68682684284647</v>
      </c>
      <c r="FJ94" s="60">
        <f ca="1">AVERAGE(OFFSET($FI$3,0,0,'Données projet'!$E$16+1,1))-AVERAGE(OFFSET($H$3,0,0,'Données projet'!$E$16+1,1))</f>
        <v>308.58270639204238</v>
      </c>
      <c r="FK94" s="60">
        <f t="shared" si="102"/>
        <v>258.90832875500325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5.2</v>
      </c>
      <c r="FZ94" s="13">
        <f>IF('Données projet'!$A$244&gt;35,FZ93+FY94-GH93,IF(A94&lt;'Données projet'!$A$244,$FW$205^A94,IF(A94='Données projet'!$A$244,'Données projet'!$B$244,FZ93+FY94-GH93)))</f>
        <v>279.19999999999987</v>
      </c>
      <c r="GA94" s="18">
        <f>FZ94*VLOOKUP('Données projet'!$B$17,Paramètres!$A$1:$I$89,3,0)*VLOOKUP('Données projet'!$B$17,Paramètres!$A$1:$I$89,5,0)</f>
        <v>270.04223999999988</v>
      </c>
      <c r="GB94" s="14">
        <f t="shared" si="103"/>
        <v>64.858233600288088</v>
      </c>
      <c r="GC94" s="22">
        <f t="shared" si="79"/>
        <v>583.28499152050153</v>
      </c>
      <c r="GD94" s="60">
        <f t="shared" si="80"/>
        <v>857.97181836334653</v>
      </c>
      <c r="GE94" s="60">
        <f ca="1">AVERAGE(OFFSET($GD$3,0,0,'Données projet'!$E$17+1,1))-AVERAGE(OFFSET($H$3,0,0,'Données projet'!$E$17+1,1))</f>
        <v>495.77880062178235</v>
      </c>
      <c r="GF94" s="60">
        <f t="shared" si="104"/>
        <v>263.55891737750301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7.7</v>
      </c>
      <c r="N95" s="14">
        <f>IF('Données projet'!$A$36&gt;35,N94+M95-V94,IF(A95&lt;'Données projet'!$A$36,$K$205^A95,IF(A95='Données projet'!$A$36,'Données projet'!$B$36,N94+M95-V94)))</f>
        <v>391.9000000000002</v>
      </c>
      <c r="O95" s="14">
        <f>N95*VLOOKUP('Données projet'!$B$9,Paramètres!$A$1:$I$89,3,0)*VLOOKUP('Données projet'!$B$9,Paramètres!$A$1:$I$89,5,0)</f>
        <v>336.25020000000023</v>
      </c>
      <c r="P95" s="14">
        <f t="shared" si="87"/>
        <v>78.724714664235663</v>
      </c>
      <c r="Q95" s="22">
        <f t="shared" si="54"/>
        <v>722.74797637354413</v>
      </c>
      <c r="R95" s="60">
        <f t="shared" si="55"/>
        <v>997.75827841665591</v>
      </c>
      <c r="S95" s="60">
        <f ca="1">AVERAGE(OFFSET($R$3,0,0,'Données projet'!$E$9+1,1))-AVERAGE(OFFSET($H$3,0,0,'Données projet'!$E$9+1,1))</f>
        <v>598.73855311281966</v>
      </c>
      <c r="T95" s="60">
        <f t="shared" si="88"/>
        <v>275.88160405468193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284.39999999999986</v>
      </c>
      <c r="AJ95" s="14">
        <f>AI95*VLOOKUP('Données projet'!$B$10,Paramètres!$A$1:$I$89,3,0)*VLOOKUP('Données projet'!$B$10,Paramètres!$A$1:$I$89,5,0)</f>
        <v>288.38159999999988</v>
      </c>
      <c r="AK95" s="14">
        <f t="shared" si="89"/>
        <v>68.735229875936611</v>
      </c>
      <c r="AL95" s="22">
        <f t="shared" si="58"/>
        <v>621.97847870058933</v>
      </c>
      <c r="AM95" s="60">
        <f t="shared" si="59"/>
        <v>896.988780743701</v>
      </c>
      <c r="AN95" s="60">
        <f ca="1">AVERAGE(OFFSET($AM$3,0,0,'Données projet'!$E$10+1,1))-AVERAGE(OFFSET($H$3,0,0,'Données projet'!$E$10+1,1))</f>
        <v>515.72324585399997</v>
      </c>
      <c r="AO95" s="60">
        <f t="shared" si="90"/>
        <v>273.35778700650792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2.7134774427395314E-13</v>
      </c>
      <c r="BF95" s="14">
        <f t="shared" si="91"/>
        <v>3.6292411711343559E-12</v>
      </c>
      <c r="BG95" s="22">
        <f t="shared" si="61"/>
        <v>6.7935256943361388E-12</v>
      </c>
      <c r="BH95" s="60">
        <f t="shared" si="62"/>
        <v>275.01030204311854</v>
      </c>
      <c r="BI95" s="60">
        <f ca="1">AVERAGE(OFFSET($BH$3,0,0,'Données projet'!$E$11+1,1))-AVERAGE(OFFSET($H$3,0,0,'Données projet'!$E$11+1,1))</f>
        <v>336.25341821407534</v>
      </c>
      <c r="BJ95" s="60">
        <f t="shared" si="92"/>
        <v>360.3246221345039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0.93211185106969441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0.93211185106969441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3.8461538461538454</v>
      </c>
      <c r="BY95" s="13">
        <f>IF('Données projet'!$A$114&gt;35,BY94+BX95-CG94,IF(A95&lt;'Données projet'!$A$114,$BV$205^A95,IF(A95='Données projet'!$A$114,'Données projet'!$B$114,BY94+BX95-CG94)))</f>
        <v>242.30769230769238</v>
      </c>
      <c r="BZ95" s="14">
        <f>BY95*VLOOKUP('Données projet'!$B$12,Paramètres!$A$1:$I$89,3,0)*VLOOKUP('Données projet'!$B$12,Paramètres!$A$1:$I$89,5,0)</f>
        <v>230.58000000000007</v>
      </c>
      <c r="CA95" s="14">
        <f t="shared" si="93"/>
        <v>56.408072703031301</v>
      </c>
      <c r="CB95" s="22">
        <f t="shared" si="64"/>
        <v>499.8375599577796</v>
      </c>
      <c r="CC95" s="60">
        <f t="shared" si="65"/>
        <v>774.84786200089138</v>
      </c>
      <c r="CD95" s="60">
        <f ca="1">AVERAGE(OFFSET($CC$3,0,0,'Données projet'!$E$12+1,1))-AVERAGE(OFFSET($H$3,0,0,'Données projet'!$E$12+1,1))</f>
        <v>438.41611139377829</v>
      </c>
      <c r="CE95" s="60">
        <f t="shared" si="94"/>
        <v>345.17417065809605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-4.5224624045658861E-14</v>
      </c>
      <c r="CV95" s="14" t="e">
        <f t="shared" si="95"/>
        <v>#NUM!</v>
      </c>
      <c r="CW95" s="22" t="e">
        <f t="shared" si="67"/>
        <v>#NUM!</v>
      </c>
      <c r="CX95" s="60" t="e">
        <f t="shared" si="68"/>
        <v>#NUM!</v>
      </c>
      <c r="CY95" s="60">
        <f ca="1">AVERAGE(OFFSET($CX$3,0,0,'Données projet'!$E$13+1,1))-AVERAGE(OFFSET($H$3,0,0,'Données projet'!$E$13+1,1))</f>
        <v>395.27840703467933</v>
      </c>
      <c r="CZ95" s="60">
        <f t="shared" si="96"/>
        <v>364.24192380053944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-2.8421709430404007E-13</v>
      </c>
      <c r="DP95" s="18">
        <f>DO95*VLOOKUP('Données projet'!$B$14,Paramètres!$A$1:$I$89,3,0)*VLOOKUP('Données projet'!$B$14,Paramètres!$A$1:$I$89,5,0)</f>
        <v>-2.2168933355715128E-13</v>
      </c>
      <c r="DQ95" s="14" t="e">
        <f t="shared" si="97"/>
        <v>#NUM!</v>
      </c>
      <c r="DR95" s="22" t="e">
        <f t="shared" si="70"/>
        <v>#NUM!</v>
      </c>
      <c r="DS95" s="60" t="e">
        <f t="shared" si="71"/>
        <v>#NUM!</v>
      </c>
      <c r="DT95" s="60">
        <f ca="1">AVERAGE(OFFSET($DS$3,0,0,'Données projet'!$E$14+1,1))-AVERAGE(OFFSET($H$3,0,0,'Données projet'!$E$14+1,1))</f>
        <v>308.76306523144956</v>
      </c>
      <c r="DU95" s="60">
        <f t="shared" si="98"/>
        <v>283.28099819802776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3.9743589743589722</v>
      </c>
      <c r="EJ95" s="13">
        <f>IF('Données projet'!$A$192&gt;35,EJ94+EI95-ER94,IF(A95&lt;'Données projet'!$A$192,$EG$205^A95,IF(A95='Données projet'!$A$192,'Données projet'!$B$192,EJ94+EI95-ER94)))</f>
        <v>304.74358974358972</v>
      </c>
      <c r="EK95" s="18">
        <f>EJ95*VLOOKUP('Données projet'!$B$15,Paramètres!$A$1:$I$89,3,0)*VLOOKUP('Données projet'!$B$15,Paramètres!$A$1:$I$89,5,0)</f>
        <v>204.422</v>
      </c>
      <c r="EL95" s="14">
        <f t="shared" si="99"/>
        <v>50.714749113134793</v>
      </c>
      <c r="EM95" s="22">
        <f t="shared" si="73"/>
        <v>444.36317137204304</v>
      </c>
      <c r="EN95" s="60">
        <f t="shared" si="74"/>
        <v>719.37347341515476</v>
      </c>
      <c r="EO95" s="60">
        <f ca="1">AVERAGE(OFFSET($EN$3,0,0,'Données projet'!$E$15+1,1))-AVERAGE(OFFSET($H$3,0,0,'Données projet'!$E$15+1,1))</f>
        <v>375.49921531693559</v>
      </c>
      <c r="EP95" s="60">
        <f t="shared" si="100"/>
        <v>306.93934681565599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5.6843418860808015E-14</v>
      </c>
      <c r="FF95" s="18">
        <f>FE95*VLOOKUP('Données projet'!$B$16,Paramètres!$A$1:$I$89,3,0)*VLOOKUP('Données projet'!$B$16,Paramètres!$A$1:$I$89,5,0)</f>
        <v>4.6111381379887463E-14</v>
      </c>
      <c r="FG95" s="14">
        <f t="shared" si="101"/>
        <v>7.5804141040779151E-13</v>
      </c>
      <c r="FH95" s="22">
        <f t="shared" si="76"/>
        <v>1.4005661123635408E-12</v>
      </c>
      <c r="FI95" s="60">
        <f t="shared" si="77"/>
        <v>275.01030204311314</v>
      </c>
      <c r="FJ95" s="60">
        <f ca="1">AVERAGE(OFFSET($FI$3,0,0,'Données projet'!$E$16+1,1))-AVERAGE(OFFSET($H$3,0,0,'Données projet'!$E$16+1,1))</f>
        <v>308.58270639204238</v>
      </c>
      <c r="FK95" s="60">
        <f t="shared" si="102"/>
        <v>258.90832875500325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5.2</v>
      </c>
      <c r="FZ95" s="13">
        <f>IF('Données projet'!$A$244&gt;35,FZ94+FY95-GH94,IF(A95&lt;'Données projet'!$A$244,$FW$205^A95,IF(A95='Données projet'!$A$244,'Données projet'!$B$244,FZ94+FY95-GH94)))</f>
        <v>284.39999999999986</v>
      </c>
      <c r="GA95" s="18">
        <f>FZ95*VLOOKUP('Données projet'!$B$17,Paramètres!$A$1:$I$89,3,0)*VLOOKUP('Données projet'!$B$17,Paramètres!$A$1:$I$89,5,0)</f>
        <v>275.0716799999999</v>
      </c>
      <c r="GB95" s="14">
        <f t="shared" si="103"/>
        <v>65.924439244609701</v>
      </c>
      <c r="GC95" s="22">
        <f t="shared" si="79"/>
        <v>593.90157435102833</v>
      </c>
      <c r="GD95" s="60">
        <f t="shared" si="80"/>
        <v>868.91187639414011</v>
      </c>
      <c r="GE95" s="60">
        <f ca="1">AVERAGE(OFFSET($GD$3,0,0,'Données projet'!$E$17+1,1))-AVERAGE(OFFSET($H$3,0,0,'Données projet'!$E$17+1,1))</f>
        <v>495.77880062178235</v>
      </c>
      <c r="GF95" s="60">
        <f t="shared" si="104"/>
        <v>263.55891737750301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7.7</v>
      </c>
      <c r="N96" s="14">
        <f>IF('Données projet'!$A$36&gt;35,N95+M96-V95,IF(A96&lt;'Données projet'!$A$36,$K$205^A96,IF(A96='Données projet'!$A$36,'Données projet'!$B$36,N95+M96-V95)))</f>
        <v>399.60000000000019</v>
      </c>
      <c r="O96" s="14">
        <f>N96*VLOOKUP('Données projet'!$B$9,Paramètres!$A$1:$I$89,3,0)*VLOOKUP('Données projet'!$B$9,Paramètres!$A$1:$I$89,5,0)</f>
        <v>342.85680000000019</v>
      </c>
      <c r="P96" s="14">
        <f t="shared" si="87"/>
        <v>80.089891653777897</v>
      </c>
      <c r="Q96" s="22">
        <f t="shared" si="54"/>
        <v>736.63215463033009</v>
      </c>
      <c r="R96" s="60">
        <f t="shared" si="55"/>
        <v>1011.9603203021661</v>
      </c>
      <c r="S96" s="60">
        <f ca="1">AVERAGE(OFFSET($R$3,0,0,'Données projet'!$E$9+1,1))-AVERAGE(OFFSET($H$3,0,0,'Données projet'!$E$9+1,1))</f>
        <v>598.73855311281966</v>
      </c>
      <c r="T96" s="60">
        <f t="shared" si="88"/>
        <v>275.88160405468193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289.59999999999985</v>
      </c>
      <c r="AJ96" s="14">
        <f>AI96*VLOOKUP('Données projet'!$B$10,Paramètres!$A$1:$I$89,3,0)*VLOOKUP('Données projet'!$B$10,Paramètres!$A$1:$I$89,5,0)</f>
        <v>293.6543999999999</v>
      </c>
      <c r="AK96" s="14">
        <f t="shared" si="89"/>
        <v>69.844531303614474</v>
      </c>
      <c r="AL96" s="22">
        <f t="shared" si="58"/>
        <v>633.09397202046159</v>
      </c>
      <c r="AM96" s="60">
        <f t="shared" si="59"/>
        <v>908.42213769229761</v>
      </c>
      <c r="AN96" s="60">
        <f ca="1">AVERAGE(OFFSET($AM$3,0,0,'Données projet'!$E$10+1,1))-AVERAGE(OFFSET($H$3,0,0,'Données projet'!$E$10+1,1))</f>
        <v>515.72324585399997</v>
      </c>
      <c r="AO96" s="60">
        <f t="shared" si="90"/>
        <v>273.35778700650792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2.7134774427395314E-13</v>
      </c>
      <c r="BF96" s="14">
        <f t="shared" si="91"/>
        <v>3.6292411711343559E-12</v>
      </c>
      <c r="BG96" s="22">
        <f t="shared" si="61"/>
        <v>6.7935256943361388E-12</v>
      </c>
      <c r="BH96" s="60">
        <f t="shared" si="62"/>
        <v>275.32816567184278</v>
      </c>
      <c r="BI96" s="60">
        <f ca="1">AVERAGE(OFFSET($BH$3,0,0,'Données projet'!$E$11+1,1))-AVERAGE(OFFSET($H$3,0,0,'Données projet'!$E$11+1,1))</f>
        <v>336.25341821407534</v>
      </c>
      <c r="BJ96" s="60">
        <f t="shared" si="92"/>
        <v>360.3246221345039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0.90662320348456171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0.90662320348456171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3.8461538461538454</v>
      </c>
      <c r="BY96" s="13">
        <f>IF('Données projet'!$A$114&gt;35,BY95+BX96-CG95,IF(A96&lt;'Données projet'!$A$114,$BV$205^A96,IF(A96='Données projet'!$A$114,'Données projet'!$B$114,BY95+BX96-CG95)))</f>
        <v>246.15384615384622</v>
      </c>
      <c r="BZ96" s="14">
        <f>BY96*VLOOKUP('Données projet'!$B$12,Paramètres!$A$1:$I$89,3,0)*VLOOKUP('Données projet'!$B$12,Paramètres!$A$1:$I$89,5,0)</f>
        <v>234.24000000000007</v>
      </c>
      <c r="CA96" s="14">
        <f t="shared" si="93"/>
        <v>57.19849172024874</v>
      </c>
      <c r="CB96" s="22">
        <f t="shared" si="64"/>
        <v>507.58870641276661</v>
      </c>
      <c r="CC96" s="60">
        <f t="shared" si="65"/>
        <v>782.91687208460257</v>
      </c>
      <c r="CD96" s="60">
        <f ca="1">AVERAGE(OFFSET($CC$3,0,0,'Données projet'!$E$12+1,1))-AVERAGE(OFFSET($H$3,0,0,'Données projet'!$E$12+1,1))</f>
        <v>438.41611139377829</v>
      </c>
      <c r="CE96" s="60">
        <f t="shared" si="94"/>
        <v>345.17417065809605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-4.5224624045658861E-14</v>
      </c>
      <c r="CV96" s="14" t="e">
        <f t="shared" si="95"/>
        <v>#NUM!</v>
      </c>
      <c r="CW96" s="22" t="e">
        <f t="shared" si="67"/>
        <v>#NUM!</v>
      </c>
      <c r="CX96" s="60" t="e">
        <f t="shared" si="68"/>
        <v>#NUM!</v>
      </c>
      <c r="CY96" s="60">
        <f ca="1">AVERAGE(OFFSET($CX$3,0,0,'Données projet'!$E$13+1,1))-AVERAGE(OFFSET($H$3,0,0,'Données projet'!$E$13+1,1))</f>
        <v>395.27840703467933</v>
      </c>
      <c r="CZ96" s="60">
        <f t="shared" si="96"/>
        <v>364.24192380053944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-2.8421709430404007E-13</v>
      </c>
      <c r="DP96" s="18">
        <f>DO96*VLOOKUP('Données projet'!$B$14,Paramètres!$A$1:$I$89,3,0)*VLOOKUP('Données projet'!$B$14,Paramètres!$A$1:$I$89,5,0)</f>
        <v>-2.2168933355715128E-13</v>
      </c>
      <c r="DQ96" s="14" t="e">
        <f t="shared" si="97"/>
        <v>#NUM!</v>
      </c>
      <c r="DR96" s="22" t="e">
        <f t="shared" si="70"/>
        <v>#NUM!</v>
      </c>
      <c r="DS96" s="60" t="e">
        <f t="shared" si="71"/>
        <v>#NUM!</v>
      </c>
      <c r="DT96" s="60">
        <f ca="1">AVERAGE(OFFSET($DS$3,0,0,'Données projet'!$E$14+1,1))-AVERAGE(OFFSET($H$3,0,0,'Données projet'!$E$14+1,1))</f>
        <v>308.76306523144956</v>
      </c>
      <c r="DU96" s="60">
        <f t="shared" si="98"/>
        <v>283.28099819802776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3.9743589743589722</v>
      </c>
      <c r="EJ96" s="13">
        <f>IF('Données projet'!$A$192&gt;35,EJ95+EI96-ER95,IF(A96&lt;'Données projet'!$A$192,$EG$205^A96,IF(A96='Données projet'!$A$192,'Données projet'!$B$192,EJ95+EI96-ER95)))</f>
        <v>308.71794871794867</v>
      </c>
      <c r="EK96" s="18">
        <f>EJ96*VLOOKUP('Données projet'!$B$15,Paramètres!$A$1:$I$89,3,0)*VLOOKUP('Données projet'!$B$15,Paramètres!$A$1:$I$89,5,0)</f>
        <v>207.08799999999999</v>
      </c>
      <c r="EL96" s="14">
        <f t="shared" si="99"/>
        <v>51.298724207675775</v>
      </c>
      <c r="EM96" s="22">
        <f t="shared" si="73"/>
        <v>450.02354466170203</v>
      </c>
      <c r="EN96" s="60">
        <f t="shared" si="74"/>
        <v>725.35171033353799</v>
      </c>
      <c r="EO96" s="60">
        <f ca="1">AVERAGE(OFFSET($EN$3,0,0,'Données projet'!$E$15+1,1))-AVERAGE(OFFSET($H$3,0,0,'Données projet'!$E$15+1,1))</f>
        <v>375.49921531693559</v>
      </c>
      <c r="EP96" s="60">
        <f t="shared" si="100"/>
        <v>306.93934681565599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5.6843418860808015E-14</v>
      </c>
      <c r="FF96" s="18">
        <f>FE96*VLOOKUP('Données projet'!$B$16,Paramètres!$A$1:$I$89,3,0)*VLOOKUP('Données projet'!$B$16,Paramètres!$A$1:$I$89,5,0)</f>
        <v>4.6111381379887463E-14</v>
      </c>
      <c r="FG96" s="14">
        <f t="shared" si="101"/>
        <v>7.5804141040779151E-13</v>
      </c>
      <c r="FH96" s="22">
        <f t="shared" si="76"/>
        <v>1.4005661123635408E-12</v>
      </c>
      <c r="FI96" s="60">
        <f t="shared" si="77"/>
        <v>275.32816567183738</v>
      </c>
      <c r="FJ96" s="60">
        <f ca="1">AVERAGE(OFFSET($FI$3,0,0,'Données projet'!$E$16+1,1))-AVERAGE(OFFSET($H$3,0,0,'Données projet'!$E$16+1,1))</f>
        <v>308.58270639204238</v>
      </c>
      <c r="FK96" s="60">
        <f t="shared" si="102"/>
        <v>258.90832875500325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5.2</v>
      </c>
      <c r="FZ96" s="13">
        <f>IF('Données projet'!$A$244&gt;35,FZ95+FY96-GH95,IF(A96&lt;'Données projet'!$A$244,$FW$205^A96,IF(A96='Données projet'!$A$244,'Données projet'!$B$244,FZ95+FY96-GH95)))</f>
        <v>289.59999999999985</v>
      </c>
      <c r="GA96" s="18">
        <f>FZ96*VLOOKUP('Données projet'!$B$17,Paramètres!$A$1:$I$89,3,0)*VLOOKUP('Données projet'!$B$17,Paramètres!$A$1:$I$89,5,0)</f>
        <v>280.10111999999987</v>
      </c>
      <c r="GB96" s="14">
        <f t="shared" si="103"/>
        <v>66.988377994867818</v>
      </c>
      <c r="GC96" s="22">
        <f t="shared" si="79"/>
        <v>604.5142090077278</v>
      </c>
      <c r="GD96" s="60">
        <f t="shared" si="80"/>
        <v>879.84237467956382</v>
      </c>
      <c r="GE96" s="60">
        <f ca="1">AVERAGE(OFFSET($GD$3,0,0,'Données projet'!$E$17+1,1))-AVERAGE(OFFSET($H$3,0,0,'Données projet'!$E$17+1,1))</f>
        <v>495.77880062178235</v>
      </c>
      <c r="GF96" s="60">
        <f t="shared" si="104"/>
        <v>263.55891737750301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7.7</v>
      </c>
      <c r="N97" s="14">
        <f>IF('Données projet'!$A$36&gt;35,N96+M97-V96,IF(A97&lt;'Données projet'!$A$36,$K$205^A97,IF(A97='Données projet'!$A$36,'Données projet'!$B$36,N96+M97-V96)))</f>
        <v>407.30000000000018</v>
      </c>
      <c r="O97" s="14">
        <f>N97*VLOOKUP('Données projet'!$B$9,Paramètres!$A$1:$I$89,3,0)*VLOOKUP('Données projet'!$B$9,Paramètres!$A$1:$I$89,5,0)</f>
        <v>349.46340000000021</v>
      </c>
      <c r="P97" s="14">
        <f t="shared" si="87"/>
        <v>81.452009860520903</v>
      </c>
      <c r="Q97" s="22">
        <f t="shared" si="54"/>
        <v>750.51100550707417</v>
      </c>
      <c r="R97" s="60">
        <f t="shared" si="55"/>
        <v>1026.1515205843127</v>
      </c>
      <c r="S97" s="60">
        <f ca="1">AVERAGE(OFFSET($R$3,0,0,'Données projet'!$E$9+1,1))-AVERAGE(OFFSET($H$3,0,0,'Données projet'!$E$9+1,1))</f>
        <v>598.73855311281966</v>
      </c>
      <c r="T97" s="60">
        <f t="shared" si="88"/>
        <v>275.88160405468193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294.79999999999984</v>
      </c>
      <c r="AJ97" s="14">
        <f>AI97*VLOOKUP('Données projet'!$B$10,Paramètres!$A$1:$I$89,3,0)*VLOOKUP('Données projet'!$B$10,Paramètres!$A$1:$I$89,5,0)</f>
        <v>298.92719999999986</v>
      </c>
      <c r="AK97" s="14">
        <f t="shared" si="89"/>
        <v>70.95151651965358</v>
      </c>
      <c r="AL97" s="22">
        <f t="shared" si="58"/>
        <v>644.20543127172971</v>
      </c>
      <c r="AM97" s="60">
        <f t="shared" si="59"/>
        <v>919.84594634896825</v>
      </c>
      <c r="AN97" s="60">
        <f ca="1">AVERAGE(OFFSET($AM$3,0,0,'Données projet'!$E$10+1,1))-AVERAGE(OFFSET($H$3,0,0,'Données projet'!$E$10+1,1))</f>
        <v>515.72324585399997</v>
      </c>
      <c r="AO97" s="60">
        <f t="shared" si="90"/>
        <v>273.35778700650792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2.7134774427395314E-13</v>
      </c>
      <c r="BF97" s="14">
        <f t="shared" si="91"/>
        <v>3.6292411711343559E-12</v>
      </c>
      <c r="BG97" s="22">
        <f t="shared" si="61"/>
        <v>6.7935256943361388E-12</v>
      </c>
      <c r="BH97" s="60">
        <f t="shared" si="62"/>
        <v>275.64051507724531</v>
      </c>
      <c r="BI97" s="60">
        <f ca="1">AVERAGE(OFFSET($BH$3,0,0,'Données projet'!$E$11+1,1))-AVERAGE(OFFSET($H$3,0,0,'Données projet'!$E$11+1,1))</f>
        <v>336.25341821407534</v>
      </c>
      <c r="BJ97" s="60">
        <f t="shared" si="92"/>
        <v>360.3246221345039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0.88183154430803423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0.88183154430803423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3.8461538461538454</v>
      </c>
      <c r="BY97" s="13">
        <f>IF('Données projet'!$A$114&gt;35,BY96+BX97-CG96,IF(A97&lt;'Données projet'!$A$114,$BV$205^A97,IF(A97='Données projet'!$A$114,'Données projet'!$B$114,BY96+BX97-CG96)))</f>
        <v>250.00000000000006</v>
      </c>
      <c r="BZ97" s="14">
        <f>BY97*VLOOKUP('Données projet'!$B$12,Paramètres!$A$1:$I$89,3,0)*VLOOKUP('Données projet'!$B$12,Paramètres!$A$1:$I$89,5,0)</f>
        <v>237.90000000000006</v>
      </c>
      <c r="CA97" s="14">
        <f t="shared" si="93"/>
        <v>57.987474407587477</v>
      </c>
      <c r="CB97" s="22">
        <f t="shared" si="64"/>
        <v>515.33735125988164</v>
      </c>
      <c r="CC97" s="60">
        <f t="shared" si="65"/>
        <v>790.97786633712008</v>
      </c>
      <c r="CD97" s="60">
        <f ca="1">AVERAGE(OFFSET($CC$3,0,0,'Données projet'!$E$12+1,1))-AVERAGE(OFFSET($H$3,0,0,'Données projet'!$E$12+1,1))</f>
        <v>438.41611139377829</v>
      </c>
      <c r="CE97" s="60">
        <f t="shared" si="94"/>
        <v>345.17417065809605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-4.5224624045658861E-14</v>
      </c>
      <c r="CV97" s="14" t="e">
        <f t="shared" si="95"/>
        <v>#NUM!</v>
      </c>
      <c r="CW97" s="22" t="e">
        <f t="shared" si="67"/>
        <v>#NUM!</v>
      </c>
      <c r="CX97" s="60" t="e">
        <f t="shared" si="68"/>
        <v>#NUM!</v>
      </c>
      <c r="CY97" s="60">
        <f ca="1">AVERAGE(OFFSET($CX$3,0,0,'Données projet'!$E$13+1,1))-AVERAGE(OFFSET($H$3,0,0,'Données projet'!$E$13+1,1))</f>
        <v>395.27840703467933</v>
      </c>
      <c r="CZ97" s="60">
        <f t="shared" si="96"/>
        <v>364.24192380053944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-2.8421709430404007E-13</v>
      </c>
      <c r="DP97" s="18">
        <f>DO97*VLOOKUP('Données projet'!$B$14,Paramètres!$A$1:$I$89,3,0)*VLOOKUP('Données projet'!$B$14,Paramètres!$A$1:$I$89,5,0)</f>
        <v>-2.2168933355715128E-13</v>
      </c>
      <c r="DQ97" s="14" t="e">
        <f t="shared" si="97"/>
        <v>#NUM!</v>
      </c>
      <c r="DR97" s="22" t="e">
        <f t="shared" si="70"/>
        <v>#NUM!</v>
      </c>
      <c r="DS97" s="60" t="e">
        <f t="shared" si="71"/>
        <v>#NUM!</v>
      </c>
      <c r="DT97" s="60">
        <f ca="1">AVERAGE(OFFSET($DS$3,0,0,'Données projet'!$E$14+1,1))-AVERAGE(OFFSET($H$3,0,0,'Données projet'!$E$14+1,1))</f>
        <v>308.76306523144956</v>
      </c>
      <c r="DU97" s="60">
        <f t="shared" si="98"/>
        <v>283.28099819802776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3.9743589743589722</v>
      </c>
      <c r="EJ97" s="13">
        <f>IF('Données projet'!$A$192&gt;35,EJ96+EI97-ER96,IF(A97&lt;'Données projet'!$A$192,$EG$205^A97,IF(A97='Données projet'!$A$192,'Données projet'!$B$192,EJ96+EI97-ER96)))</f>
        <v>312.69230769230762</v>
      </c>
      <c r="EK97" s="18">
        <f>EJ97*VLOOKUP('Données projet'!$B$15,Paramètres!$A$1:$I$89,3,0)*VLOOKUP('Données projet'!$B$15,Paramètres!$A$1:$I$89,5,0)</f>
        <v>209.75399999999993</v>
      </c>
      <c r="EL97" s="14">
        <f t="shared" si="99"/>
        <v>51.881824842420862</v>
      </c>
      <c r="EM97" s="22">
        <f t="shared" si="73"/>
        <v>455.68239493388279</v>
      </c>
      <c r="EN97" s="60">
        <f t="shared" si="74"/>
        <v>731.32291001112128</v>
      </c>
      <c r="EO97" s="60">
        <f ca="1">AVERAGE(OFFSET($EN$3,0,0,'Données projet'!$E$15+1,1))-AVERAGE(OFFSET($H$3,0,0,'Données projet'!$E$15+1,1))</f>
        <v>375.49921531693559</v>
      </c>
      <c r="EP97" s="60">
        <f t="shared" si="100"/>
        <v>306.93934681565599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5.6843418860808015E-14</v>
      </c>
      <c r="FF97" s="18">
        <f>FE97*VLOOKUP('Données projet'!$B$16,Paramètres!$A$1:$I$89,3,0)*VLOOKUP('Données projet'!$B$16,Paramètres!$A$1:$I$89,5,0)</f>
        <v>4.6111381379887463E-14</v>
      </c>
      <c r="FG97" s="14">
        <f t="shared" si="101"/>
        <v>7.5804141040779151E-13</v>
      </c>
      <c r="FH97" s="22">
        <f t="shared" si="76"/>
        <v>1.4005661123635408E-12</v>
      </c>
      <c r="FI97" s="60">
        <f t="shared" si="77"/>
        <v>275.64051507723991</v>
      </c>
      <c r="FJ97" s="60">
        <f ca="1">AVERAGE(OFFSET($FI$3,0,0,'Données projet'!$E$16+1,1))-AVERAGE(OFFSET($H$3,0,0,'Données projet'!$E$16+1,1))</f>
        <v>308.58270639204238</v>
      </c>
      <c r="FK97" s="60">
        <f t="shared" si="102"/>
        <v>258.90832875500325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5.2</v>
      </c>
      <c r="FZ97" s="13">
        <f>IF('Données projet'!$A$244&gt;35,FZ96+FY97-GH96,IF(A97&lt;'Données projet'!$A$244,$FW$205^A97,IF(A97='Données projet'!$A$244,'Données projet'!$B$244,FZ96+FY97-GH96)))</f>
        <v>294.79999999999984</v>
      </c>
      <c r="GA97" s="18">
        <f>FZ97*VLOOKUP('Données projet'!$B$17,Paramètres!$A$1:$I$89,3,0)*VLOOKUP('Données projet'!$B$17,Paramètres!$A$1:$I$89,5,0)</f>
        <v>285.13055999999983</v>
      </c>
      <c r="GB97" s="14">
        <f t="shared" si="103"/>
        <v>68.050095250359178</v>
      </c>
      <c r="GC97" s="22">
        <f t="shared" si="79"/>
        <v>615.12297456104193</v>
      </c>
      <c r="GD97" s="60">
        <f t="shared" si="80"/>
        <v>890.76348963828036</v>
      </c>
      <c r="GE97" s="60">
        <f ca="1">AVERAGE(OFFSET($GD$3,0,0,'Données projet'!$E$17+1,1))-AVERAGE(OFFSET($H$3,0,0,'Données projet'!$E$17+1,1))</f>
        <v>495.77880062178235</v>
      </c>
      <c r="GF97" s="60">
        <f t="shared" si="104"/>
        <v>263.55891737750301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415</v>
      </c>
      <c r="L98" s="13">
        <f>VLOOKUP(A98,'Données projet'!$A$35:$I$55,9,0)</f>
        <v>7.7</v>
      </c>
      <c r="M98" s="13">
        <f t="array" ref="M98">INDEX(L:L,MIN(IF(ISNUMBER(L98:L294),ROW(L98:L294),"")))</f>
        <v>7.7</v>
      </c>
      <c r="N98" s="14">
        <f>IF('Données projet'!$A$36&gt;35,N97+M98-V97,IF(A98&lt;'Données projet'!$A$36,$K$205^A98,IF(A98='Données projet'!$A$36,'Données projet'!$B$36,N97+M98-V97)))</f>
        <v>415.00000000000017</v>
      </c>
      <c r="O98" s="14">
        <f>N98*VLOOKUP('Données projet'!$B$9,Paramètres!$A$1:$I$89,3,0)*VLOOKUP('Données projet'!$B$9,Paramètres!$A$1:$I$89,5,0)</f>
        <v>356.07000000000016</v>
      </c>
      <c r="P98" s="14">
        <f t="shared" si="87"/>
        <v>82.811133778450127</v>
      </c>
      <c r="Q98" s="22">
        <f t="shared" si="54"/>
        <v>764.38464133080095</v>
      </c>
      <c r="R98" s="60">
        <f t="shared" si="55"/>
        <v>1040.3320872495669</v>
      </c>
      <c r="S98" s="60">
        <f ca="1">AVERAGE(OFFSET($R$3,0,0,'Données projet'!$E$9+1,1))-AVERAGE(OFFSET($H$3,0,0,'Données projet'!$E$9+1,1))</f>
        <v>598.73855311281966</v>
      </c>
      <c r="T98" s="60">
        <f t="shared" si="88"/>
        <v>275.88160405468193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51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299.99999999999983</v>
      </c>
      <c r="AJ98" s="14">
        <f>AI98*VLOOKUP('Données projet'!$B$10,Paramètres!$A$1:$I$89,3,0)*VLOOKUP('Données projet'!$B$10,Paramètres!$A$1:$I$89,5,0)</f>
        <v>304.19999999999982</v>
      </c>
      <c r="AK98" s="14">
        <f t="shared" si="89"/>
        <v>72.056231093481074</v>
      </c>
      <c r="AL98" s="22">
        <f t="shared" si="58"/>
        <v>655.31293582114586</v>
      </c>
      <c r="AM98" s="60">
        <f t="shared" si="59"/>
        <v>931.26038173991174</v>
      </c>
      <c r="AN98" s="60">
        <f ca="1">AVERAGE(OFFSET($AM$3,0,0,'Données projet'!$E$10+1,1))-AVERAGE(OFFSET($H$3,0,0,'Données projet'!$E$10+1,1))</f>
        <v>515.72324585399997</v>
      </c>
      <c r="AO98" s="60">
        <f t="shared" si="90"/>
        <v>273.35778700650792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2.7134774427395314E-13</v>
      </c>
      <c r="BF98" s="14">
        <f t="shared" si="91"/>
        <v>3.6292411711343559E-12</v>
      </c>
      <c r="BG98" s="22">
        <f t="shared" si="61"/>
        <v>6.7935256943361388E-12</v>
      </c>
      <c r="BH98" s="60">
        <f t="shared" si="62"/>
        <v>275.94744591877276</v>
      </c>
      <c r="BI98" s="60">
        <f ca="1">AVERAGE(OFFSET($BH$3,0,0,'Données projet'!$E$11+1,1))-AVERAGE(OFFSET($H$3,0,0,'Données projet'!$E$11+1,1))</f>
        <v>336.25341821407534</v>
      </c>
      <c r="BJ98" s="60">
        <f t="shared" si="92"/>
        <v>360.3246221345039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0.8577178143554256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0.8577178143554256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253.84615384615384</v>
      </c>
      <c r="BW98" s="13">
        <f>VLOOKUP(A98,'Données projet'!$A$113:$I$133,9,0)</f>
        <v>3.8461538461538454</v>
      </c>
      <c r="BX98" s="13">
        <f t="array" ref="BX98">INDEX(BW:BW,MIN(IF(ISNUMBER(BW98:BW294),ROW(BW98:BW294),"")))</f>
        <v>3.8461538461538454</v>
      </c>
      <c r="BY98" s="13">
        <f>IF('Données projet'!$A$114&gt;35,BY97+BX98-CG97,IF(A98&lt;'Données projet'!$A$114,$BV$205^A98,IF(A98='Données projet'!$A$114,'Données projet'!$B$114,BY97+BX98-CG97)))</f>
        <v>253.8461538461539</v>
      </c>
      <c r="BZ98" s="14">
        <f>BY98*VLOOKUP('Données projet'!$B$12,Paramètres!$A$1:$I$89,3,0)*VLOOKUP('Données projet'!$B$12,Paramètres!$A$1:$I$89,5,0)</f>
        <v>241.56000000000003</v>
      </c>
      <c r="CA98" s="14">
        <f t="shared" si="93"/>
        <v>58.775045414448314</v>
      </c>
      <c r="CB98" s="22">
        <f t="shared" si="64"/>
        <v>523.08353743016426</v>
      </c>
      <c r="CC98" s="60">
        <f t="shared" si="65"/>
        <v>799.03098334893025</v>
      </c>
      <c r="CD98" s="60">
        <f ca="1">AVERAGE(OFFSET($CC$3,0,0,'Données projet'!$E$12+1,1))-AVERAGE(OFFSET($H$3,0,0,'Données projet'!$E$12+1,1))</f>
        <v>438.41611139377829</v>
      </c>
      <c r="CE98" s="60">
        <f t="shared" si="94"/>
        <v>345.17417065809605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-4.5224624045658861E-14</v>
      </c>
      <c r="CV98" s="14" t="e">
        <f t="shared" si="95"/>
        <v>#NUM!</v>
      </c>
      <c r="CW98" s="22" t="e">
        <f t="shared" si="67"/>
        <v>#NUM!</v>
      </c>
      <c r="CX98" s="60" t="e">
        <f t="shared" si="68"/>
        <v>#NUM!</v>
      </c>
      <c r="CY98" s="60">
        <f ca="1">AVERAGE(OFFSET($CX$3,0,0,'Données projet'!$E$13+1,1))-AVERAGE(OFFSET($H$3,0,0,'Données projet'!$E$13+1,1))</f>
        <v>395.27840703467933</v>
      </c>
      <c r="CZ98" s="60">
        <f t="shared" si="96"/>
        <v>364.24192380053944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-2.8421709430404007E-13</v>
      </c>
      <c r="DP98" s="18">
        <f>DO98*VLOOKUP('Données projet'!$B$14,Paramètres!$A$1:$I$89,3,0)*VLOOKUP('Données projet'!$B$14,Paramètres!$A$1:$I$89,5,0)</f>
        <v>-2.2168933355715128E-13</v>
      </c>
      <c r="DQ98" s="14" t="e">
        <f t="shared" si="97"/>
        <v>#NUM!</v>
      </c>
      <c r="DR98" s="22" t="e">
        <f t="shared" si="70"/>
        <v>#NUM!</v>
      </c>
      <c r="DS98" s="60" t="e">
        <f t="shared" si="71"/>
        <v>#NUM!</v>
      </c>
      <c r="DT98" s="60">
        <f ca="1">AVERAGE(OFFSET($DS$3,0,0,'Données projet'!$E$14+1,1))-AVERAGE(OFFSET($H$3,0,0,'Données projet'!$E$14+1,1))</f>
        <v>308.76306523144956</v>
      </c>
      <c r="DU98" s="60">
        <f t="shared" si="98"/>
        <v>283.28099819802776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316.66666666666663</v>
      </c>
      <c r="EH98" s="13">
        <f>VLOOKUP(A98,'Données projet'!$A$191:$I$211,9,0)</f>
        <v>3.9743589743589722</v>
      </c>
      <c r="EI98" s="13">
        <f t="array" ref="EI98">INDEX(EH:EH,MIN(IF(ISNUMBER(EH98:EH294),ROW(EH98:EH294),"")))</f>
        <v>3.9743589743589722</v>
      </c>
      <c r="EJ98" s="13">
        <f>IF('Données projet'!$A$192&gt;35,EJ97+EI98-ER97,IF(A98&lt;'Données projet'!$A$192,$EG$205^A98,IF(A98='Données projet'!$A$192,'Données projet'!$B$192,EJ97+EI98-ER97)))</f>
        <v>316.66666666666657</v>
      </c>
      <c r="EK98" s="18">
        <f>EJ98*VLOOKUP('Données projet'!$B$15,Paramètres!$A$1:$I$89,3,0)*VLOOKUP('Données projet'!$B$15,Paramètres!$A$1:$I$89,5,0)</f>
        <v>212.41999999999996</v>
      </c>
      <c r="EL98" s="14">
        <f t="shared" si="99"/>
        <v>52.464063417089775</v>
      </c>
      <c r="EM98" s="22">
        <f t="shared" si="73"/>
        <v>461.33974378476461</v>
      </c>
      <c r="EN98" s="60">
        <f t="shared" si="74"/>
        <v>737.28718970353054</v>
      </c>
      <c r="EO98" s="60">
        <f ca="1">AVERAGE(OFFSET($EN$3,0,0,'Données projet'!$E$15+1,1))-AVERAGE(OFFSET($H$3,0,0,'Données projet'!$E$15+1,1))</f>
        <v>375.49921531693559</v>
      </c>
      <c r="EP98" s="60">
        <f t="shared" si="100"/>
        <v>306.93934681565599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5.6843418860808015E-14</v>
      </c>
      <c r="FF98" s="18">
        <f>FE98*VLOOKUP('Données projet'!$B$16,Paramètres!$A$1:$I$89,3,0)*VLOOKUP('Données projet'!$B$16,Paramètres!$A$1:$I$89,5,0)</f>
        <v>4.6111381379887463E-14</v>
      </c>
      <c r="FG98" s="14">
        <f t="shared" si="101"/>
        <v>7.5804141040779151E-13</v>
      </c>
      <c r="FH98" s="22">
        <f t="shared" si="76"/>
        <v>1.4005661123635408E-12</v>
      </c>
      <c r="FI98" s="60">
        <f t="shared" si="77"/>
        <v>275.94744591876736</v>
      </c>
      <c r="FJ98" s="60">
        <f ca="1">AVERAGE(OFFSET($FI$3,0,0,'Données projet'!$E$16+1,1))-AVERAGE(OFFSET($H$3,0,0,'Données projet'!$E$16+1,1))</f>
        <v>308.58270639204238</v>
      </c>
      <c r="FK98" s="60">
        <f t="shared" si="102"/>
        <v>258.90832875500325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300</v>
      </c>
      <c r="FX98" s="13">
        <f>VLOOKUP(A98,'Données projet'!$A$243:$I$263,9,0)</f>
        <v>5.2</v>
      </c>
      <c r="FY98" s="13">
        <f t="array" ref="FY98">INDEX(FX:FX,MIN(IF(ISNUMBER(FX98:FX294),ROW(FX98:FX294),"")))</f>
        <v>5.2</v>
      </c>
      <c r="FZ98" s="13">
        <f>IF('Données projet'!$A$244&gt;35,FZ97+FY98-GH97,IF(A98&lt;'Données projet'!$A$244,$FW$205^A98,IF(A98='Données projet'!$A$244,'Données projet'!$B$244,FZ97+FY98-GH97)))</f>
        <v>299.99999999999983</v>
      </c>
      <c r="GA98" s="18">
        <f>FZ98*VLOOKUP('Données projet'!$B$17,Paramètres!$A$1:$I$89,3,0)*VLOOKUP('Données projet'!$B$17,Paramètres!$A$1:$I$89,5,0)</f>
        <v>290.15999999999985</v>
      </c>
      <c r="GB98" s="14">
        <f t="shared" si="103"/>
        <v>69.109634717039867</v>
      </c>
      <c r="GC98" s="22">
        <f t="shared" si="79"/>
        <v>625.72794713217752</v>
      </c>
      <c r="GD98" s="60">
        <f t="shared" si="80"/>
        <v>901.67539305094351</v>
      </c>
      <c r="GE98" s="60">
        <f ca="1">AVERAGE(OFFSET($GD$3,0,0,'Données projet'!$E$17+1,1))-AVERAGE(OFFSET($H$3,0,0,'Données projet'!$E$17+1,1))</f>
        <v>495.77880062178235</v>
      </c>
      <c r="GF98" s="60">
        <f t="shared" si="104"/>
        <v>263.55891737750301</v>
      </c>
      <c r="GG98" s="16">
        <f>IF(ISNA(VLOOKUP(A98,'Données projet'!$A$243:$I$263,3,0)),0,VLOOKUP(A98,'Données projet'!$A$243:$I$263,3,0))</f>
        <v>8</v>
      </c>
      <c r="GH98" s="16">
        <f>IF(ISNA(VLOOKUP(A98,'Données projet'!$A$243:$I$263,4,0)),0,VLOOKUP(A98,'Données projet'!$A$243:$I$263,4,0))</f>
        <v>42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7</v>
      </c>
      <c r="N99" s="14">
        <f>IF('Données projet'!$A$36&gt;35,N98+M99-V98,IF(A99&lt;'Données projet'!$A$36,$K$205^A99,IF(A99='Données projet'!$A$36,'Données projet'!$B$36,N98+M99-V98)))</f>
        <v>371.00000000000017</v>
      </c>
      <c r="O99" s="14">
        <f>N99*VLOOKUP('Données projet'!$B$9,Paramètres!$A$1:$I$89,3,0)*VLOOKUP('Données projet'!$B$9,Paramètres!$A$1:$I$89,5,0)</f>
        <v>318.31800000000015</v>
      </c>
      <c r="P99" s="14">
        <f t="shared" si="87"/>
        <v>75.003273580132586</v>
      </c>
      <c r="Q99" s="22">
        <f t="shared" ref="Q99:Q130" si="107">(O99+P99)*0.475*44/12</f>
        <v>685.03455148539786</v>
      </c>
      <c r="R99" s="60">
        <f t="shared" si="55"/>
        <v>961.28360368178528</v>
      </c>
      <c r="S99" s="60">
        <f ca="1">AVERAGE(OFFSET($R$3,0,0,'Données projet'!$E$9+1,1))-AVERAGE(OFFSET($H$3,0,0,'Données projet'!$E$9+1,1))</f>
        <v>598.73855311281966</v>
      </c>
      <c r="T99" s="60">
        <f t="shared" si="88"/>
        <v>275.88160405468193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262.69999999999982</v>
      </c>
      <c r="AJ99" s="14">
        <f>AI99*VLOOKUP('Données projet'!$B$10,Paramètres!$A$1:$I$89,3,0)*VLOOKUP('Données projet'!$B$10,Paramètres!$A$1:$I$89,5,0)</f>
        <v>266.37779999999981</v>
      </c>
      <c r="AK99" s="14">
        <f t="shared" si="89"/>
        <v>64.079943804672666</v>
      </c>
      <c r="AL99" s="22">
        <f t="shared" si="58"/>
        <v>575.54723712647126</v>
      </c>
      <c r="AM99" s="60">
        <f t="shared" si="59"/>
        <v>851.79628932285868</v>
      </c>
      <c r="AN99" s="60">
        <f ca="1">AVERAGE(OFFSET($AM$3,0,0,'Données projet'!$E$10+1,1))-AVERAGE(OFFSET($H$3,0,0,'Données projet'!$E$10+1,1))</f>
        <v>515.72324585399997</v>
      </c>
      <c r="AO99" s="60">
        <f t="shared" si="90"/>
        <v>273.35778700650792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2.7134774427395314E-13</v>
      </c>
      <c r="BF99" s="14">
        <f t="shared" si="91"/>
        <v>3.6292411711343559E-12</v>
      </c>
      <c r="BG99" s="22">
        <f t="shared" si="61"/>
        <v>6.7935256943361388E-12</v>
      </c>
      <c r="BH99" s="60">
        <f t="shared" si="62"/>
        <v>276.24905219639425</v>
      </c>
      <c r="BI99" s="60">
        <f ca="1">AVERAGE(OFFSET($BH$3,0,0,'Données projet'!$E$11+1,1))-AVERAGE(OFFSET($H$3,0,0,'Données projet'!$E$11+1,1))</f>
        <v>336.25341821407534</v>
      </c>
      <c r="BJ99" s="60">
        <f t="shared" si="92"/>
        <v>360.3246221345039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0.83426347561645697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0.83426347561645697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3.5897435897435854</v>
      </c>
      <c r="BY99" s="13">
        <f>IF('Données projet'!$A$114&gt;35,BY98+BX99-CG98,IF(A99&lt;'Données projet'!$A$114,$BV$205^A99,IF(A99='Données projet'!$A$114,'Données projet'!$B$114,BY98+BX99-CG98)))</f>
        <v>257.43589743589746</v>
      </c>
      <c r="BZ99" s="14">
        <f>BY99*VLOOKUP('Données projet'!$B$12,Paramètres!$A$1:$I$89,3,0)*VLOOKUP('Données projet'!$B$12,Paramètres!$A$1:$I$89,5,0)</f>
        <v>244.97600000000003</v>
      </c>
      <c r="CA99" s="14">
        <f t="shared" si="93"/>
        <v>59.508859097480205</v>
      </c>
      <c r="CB99" s="22">
        <f t="shared" si="64"/>
        <v>530.31112959477809</v>
      </c>
      <c r="CC99" s="60">
        <f t="shared" si="65"/>
        <v>806.56018179116552</v>
      </c>
      <c r="CD99" s="60">
        <f ca="1">AVERAGE(OFFSET($CC$3,0,0,'Données projet'!$E$12+1,1))-AVERAGE(OFFSET($H$3,0,0,'Données projet'!$E$12+1,1))</f>
        <v>438.41611139377829</v>
      </c>
      <c r="CE99" s="60">
        <f t="shared" si="94"/>
        <v>345.17417065809605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-4.5224624045658861E-14</v>
      </c>
      <c r="CV99" s="14" t="e">
        <f t="shared" si="95"/>
        <v>#NUM!</v>
      </c>
      <c r="CW99" s="22" t="e">
        <f t="shared" si="67"/>
        <v>#NUM!</v>
      </c>
      <c r="CX99" s="60" t="e">
        <f t="shared" si="68"/>
        <v>#NUM!</v>
      </c>
      <c r="CY99" s="60">
        <f ca="1">AVERAGE(OFFSET($CX$3,0,0,'Données projet'!$E$13+1,1))-AVERAGE(OFFSET($H$3,0,0,'Données projet'!$E$13+1,1))</f>
        <v>395.27840703467933</v>
      </c>
      <c r="CZ99" s="60">
        <f t="shared" si="96"/>
        <v>364.24192380053944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-2.8421709430404007E-13</v>
      </c>
      <c r="DP99" s="18">
        <f>DO99*VLOOKUP('Données projet'!$B$14,Paramètres!$A$1:$I$89,3,0)*VLOOKUP('Données projet'!$B$14,Paramètres!$A$1:$I$89,5,0)</f>
        <v>-2.2168933355715128E-13</v>
      </c>
      <c r="DQ99" s="14" t="e">
        <f t="shared" si="97"/>
        <v>#NUM!</v>
      </c>
      <c r="DR99" s="22" t="e">
        <f t="shared" si="70"/>
        <v>#NUM!</v>
      </c>
      <c r="DS99" s="60" t="e">
        <f t="shared" si="71"/>
        <v>#NUM!</v>
      </c>
      <c r="DT99" s="60">
        <f ca="1">AVERAGE(OFFSET($DS$3,0,0,'Données projet'!$E$14+1,1))-AVERAGE(OFFSET($H$3,0,0,'Données projet'!$E$14+1,1))</f>
        <v>308.76306523144956</v>
      </c>
      <c r="DU99" s="60">
        <f t="shared" si="98"/>
        <v>283.28099819802776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3.7179487179487181</v>
      </c>
      <c r="EJ99" s="13">
        <f>IF('Données projet'!$A$192&gt;35,EJ98+EI99-ER98,IF(A99&lt;'Données projet'!$A$192,$EG$205^A99,IF(A99='Données projet'!$A$192,'Données projet'!$B$192,EJ98+EI99-ER98)))</f>
        <v>320.3846153846153</v>
      </c>
      <c r="EK99" s="18">
        <f>EJ99*VLOOKUP('Données projet'!$B$15,Paramètres!$A$1:$I$89,3,0)*VLOOKUP('Données projet'!$B$15,Paramètres!$A$1:$I$89,5,0)</f>
        <v>214.91399999999996</v>
      </c>
      <c r="EL99" s="14">
        <f t="shared" si="99"/>
        <v>53.007968480880464</v>
      </c>
      <c r="EM99" s="22">
        <f t="shared" si="73"/>
        <v>466.63076177086674</v>
      </c>
      <c r="EN99" s="60">
        <f t="shared" si="74"/>
        <v>742.87981396725422</v>
      </c>
      <c r="EO99" s="60">
        <f ca="1">AVERAGE(OFFSET($EN$3,0,0,'Données projet'!$E$15+1,1))-AVERAGE(OFFSET($H$3,0,0,'Données projet'!$E$15+1,1))</f>
        <v>375.49921531693559</v>
      </c>
      <c r="EP99" s="60">
        <f t="shared" si="100"/>
        <v>306.93934681565599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5.6843418860808015E-14</v>
      </c>
      <c r="FF99" s="18">
        <f>FE99*VLOOKUP('Données projet'!$B$16,Paramètres!$A$1:$I$89,3,0)*VLOOKUP('Données projet'!$B$16,Paramètres!$A$1:$I$89,5,0)</f>
        <v>4.6111381379887463E-14</v>
      </c>
      <c r="FG99" s="14">
        <f t="shared" si="101"/>
        <v>7.5804141040779151E-13</v>
      </c>
      <c r="FH99" s="22">
        <f t="shared" si="76"/>
        <v>1.4005661123635408E-12</v>
      </c>
      <c r="FI99" s="60">
        <f t="shared" si="77"/>
        <v>276.24905219638885</v>
      </c>
      <c r="FJ99" s="60">
        <f ca="1">AVERAGE(OFFSET($FI$3,0,0,'Données projet'!$E$16+1,1))-AVERAGE(OFFSET($H$3,0,0,'Données projet'!$E$16+1,1))</f>
        <v>308.58270639204238</v>
      </c>
      <c r="FK99" s="60">
        <f t="shared" si="102"/>
        <v>258.90832875500325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4.7</v>
      </c>
      <c r="FZ99" s="13">
        <f>IF('Données projet'!$A$244&gt;35,FZ98+FY99-GH98,IF(A99&lt;'Données projet'!$A$244,$FW$205^A99,IF(A99='Données projet'!$A$244,'Données projet'!$B$244,FZ98+FY99-GH98)))</f>
        <v>262.69999999999982</v>
      </c>
      <c r="GA99" s="18">
        <f>FZ99*VLOOKUP('Données projet'!$B$17,Paramètres!$A$1:$I$89,3,0)*VLOOKUP('Données projet'!$B$17,Paramètres!$A$1:$I$89,5,0)</f>
        <v>254.08343999999983</v>
      </c>
      <c r="GB99" s="14">
        <f t="shared" si="103"/>
        <v>61.459521845988199</v>
      </c>
      <c r="GC99" s="22">
        <f t="shared" si="79"/>
        <v>549.57065854842915</v>
      </c>
      <c r="GD99" s="60">
        <f t="shared" si="80"/>
        <v>825.81971074481658</v>
      </c>
      <c r="GE99" s="60">
        <f ca="1">AVERAGE(OFFSET($GD$3,0,0,'Données projet'!$E$17+1,1))-AVERAGE(OFFSET($H$3,0,0,'Données projet'!$E$17+1,1))</f>
        <v>495.77880062178235</v>
      </c>
      <c r="GF99" s="60">
        <f t="shared" si="104"/>
        <v>263.55891737750301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7</v>
      </c>
      <c r="N100" s="14">
        <f>IF('Données projet'!$A$36&gt;35,N99+M100-V99,IF(A100&lt;'Données projet'!$A$36,$K$205^A100,IF(A100='Données projet'!$A$36,'Données projet'!$B$36,N99+M100-V99)))</f>
        <v>378.00000000000017</v>
      </c>
      <c r="O100" s="14">
        <f>N100*VLOOKUP('Données projet'!$B$9,Paramètres!$A$1:$I$89,3,0)*VLOOKUP('Données projet'!$B$9,Paramètres!$A$1:$I$89,5,0)</f>
        <v>324.32400000000018</v>
      </c>
      <c r="P100" s="14">
        <f t="shared" si="87"/>
        <v>76.25234194498276</v>
      </c>
      <c r="Q100" s="22">
        <f t="shared" si="107"/>
        <v>697.67046222084525</v>
      </c>
      <c r="R100" s="60">
        <f t="shared" si="55"/>
        <v>974.21588850022806</v>
      </c>
      <c r="S100" s="60">
        <f ca="1">AVERAGE(OFFSET($R$3,0,0,'Données projet'!$E$9+1,1))-AVERAGE(OFFSET($H$3,0,0,'Données projet'!$E$9+1,1))</f>
        <v>598.73855311281966</v>
      </c>
      <c r="T100" s="60">
        <f t="shared" si="88"/>
        <v>275.88160405468193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267.39999999999981</v>
      </c>
      <c r="AJ100" s="14">
        <f>AI100*VLOOKUP('Données projet'!$B$10,Paramètres!$A$1:$I$89,3,0)*VLOOKUP('Données projet'!$B$10,Paramètres!$A$1:$I$89,5,0)</f>
        <v>271.14359999999982</v>
      </c>
      <c r="AK100" s="14">
        <f t="shared" si="89"/>
        <v>65.091910336447413</v>
      </c>
      <c r="AL100" s="22">
        <f t="shared" si="58"/>
        <v>585.61018050264568</v>
      </c>
      <c r="AM100" s="60">
        <f t="shared" si="59"/>
        <v>862.15560678202849</v>
      </c>
      <c r="AN100" s="60">
        <f ca="1">AVERAGE(OFFSET($AM$3,0,0,'Données projet'!$E$10+1,1))-AVERAGE(OFFSET($H$3,0,0,'Données projet'!$E$10+1,1))</f>
        <v>515.72324585399997</v>
      </c>
      <c r="AO100" s="60">
        <f t="shared" si="90"/>
        <v>273.35778700650792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2.7134774427395314E-13</v>
      </c>
      <c r="BF100" s="14">
        <f t="shared" si="91"/>
        <v>3.6292411711343559E-12</v>
      </c>
      <c r="BG100" s="22">
        <f t="shared" si="61"/>
        <v>6.7935256943361388E-12</v>
      </c>
      <c r="BH100" s="60">
        <f t="shared" si="62"/>
        <v>276.54542627938963</v>
      </c>
      <c r="BI100" s="60">
        <f ca="1">AVERAGE(OFFSET($BH$3,0,0,'Données projet'!$E$11+1,1))-AVERAGE(OFFSET($H$3,0,0,'Données projet'!$E$11+1,1))</f>
        <v>336.25341821407534</v>
      </c>
      <c r="BJ100" s="60">
        <f t="shared" si="92"/>
        <v>360.3246221345039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0.81145049700371552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0.81145049700371552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3.5897435897435854</v>
      </c>
      <c r="BY100" s="13">
        <f>IF('Données projet'!$A$114&gt;35,BY99+BX100-CG99,IF(A100&lt;'Données projet'!$A$114,$BV$205^A100,IF(A100='Données projet'!$A$114,'Données projet'!$B$114,BY99+BX100-CG99)))</f>
        <v>261.02564102564105</v>
      </c>
      <c r="BZ100" s="14">
        <f>BY100*VLOOKUP('Données projet'!$B$12,Paramètres!$A$1:$I$89,3,0)*VLOOKUP('Données projet'!$B$12,Paramètres!$A$1:$I$89,5,0)</f>
        <v>248.39200000000002</v>
      </c>
      <c r="CA100" s="14">
        <f t="shared" si="93"/>
        <v>60.241482647271688</v>
      </c>
      <c r="CB100" s="22">
        <f t="shared" si="64"/>
        <v>537.53664894399822</v>
      </c>
      <c r="CC100" s="60">
        <f t="shared" si="65"/>
        <v>814.08207522338103</v>
      </c>
      <c r="CD100" s="60">
        <f ca="1">AVERAGE(OFFSET($CC$3,0,0,'Données projet'!$E$12+1,1))-AVERAGE(OFFSET($H$3,0,0,'Données projet'!$E$12+1,1))</f>
        <v>438.41611139377829</v>
      </c>
      <c r="CE100" s="60">
        <f t="shared" si="94"/>
        <v>345.17417065809605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-4.5224624045658861E-14</v>
      </c>
      <c r="CV100" s="14" t="e">
        <f t="shared" si="95"/>
        <v>#NUM!</v>
      </c>
      <c r="CW100" s="22" t="e">
        <f t="shared" si="67"/>
        <v>#NUM!</v>
      </c>
      <c r="CX100" s="60" t="e">
        <f t="shared" si="68"/>
        <v>#NUM!</v>
      </c>
      <c r="CY100" s="60">
        <f ca="1">AVERAGE(OFFSET($CX$3,0,0,'Données projet'!$E$13+1,1))-AVERAGE(OFFSET($H$3,0,0,'Données projet'!$E$13+1,1))</f>
        <v>395.27840703467933</v>
      </c>
      <c r="CZ100" s="60">
        <f t="shared" si="96"/>
        <v>364.24192380053944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-2.8421709430404007E-13</v>
      </c>
      <c r="DP100" s="18">
        <f>DO100*VLOOKUP('Données projet'!$B$14,Paramètres!$A$1:$I$89,3,0)*VLOOKUP('Données projet'!$B$14,Paramètres!$A$1:$I$89,5,0)</f>
        <v>-2.2168933355715128E-13</v>
      </c>
      <c r="DQ100" s="14" t="e">
        <f t="shared" si="97"/>
        <v>#NUM!</v>
      </c>
      <c r="DR100" s="22" t="e">
        <f t="shared" si="70"/>
        <v>#NUM!</v>
      </c>
      <c r="DS100" s="60" t="e">
        <f t="shared" si="71"/>
        <v>#NUM!</v>
      </c>
      <c r="DT100" s="60">
        <f ca="1">AVERAGE(OFFSET($DS$3,0,0,'Données projet'!$E$14+1,1))-AVERAGE(OFFSET($H$3,0,0,'Données projet'!$E$14+1,1))</f>
        <v>308.76306523144956</v>
      </c>
      <c r="DU100" s="60">
        <f t="shared" si="98"/>
        <v>283.28099819802776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3.7179487179487181</v>
      </c>
      <c r="EJ100" s="13">
        <f>IF('Données projet'!$A$192&gt;35,EJ99+EI100-ER99,IF(A100&lt;'Données projet'!$A$192,$EG$205^A100,IF(A100='Données projet'!$A$192,'Données projet'!$B$192,EJ99+EI100-ER99)))</f>
        <v>324.10256410256403</v>
      </c>
      <c r="EK100" s="18">
        <f>EJ100*VLOOKUP('Données projet'!$B$15,Paramètres!$A$1:$I$89,3,0)*VLOOKUP('Données projet'!$B$15,Paramètres!$A$1:$I$89,5,0)</f>
        <v>217.40799999999996</v>
      </c>
      <c r="EL100" s="14">
        <f t="shared" si="99"/>
        <v>53.551139326975402</v>
      </c>
      <c r="EM100" s="22">
        <f t="shared" si="73"/>
        <v>471.92050099448198</v>
      </c>
      <c r="EN100" s="60">
        <f t="shared" si="74"/>
        <v>748.46592727386474</v>
      </c>
      <c r="EO100" s="60">
        <f ca="1">AVERAGE(OFFSET($EN$3,0,0,'Données projet'!$E$15+1,1))-AVERAGE(OFFSET($H$3,0,0,'Données projet'!$E$15+1,1))</f>
        <v>375.49921531693559</v>
      </c>
      <c r="EP100" s="60">
        <f t="shared" si="100"/>
        <v>306.93934681565599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5.6843418860808015E-14</v>
      </c>
      <c r="FF100" s="18">
        <f>FE100*VLOOKUP('Données projet'!$B$16,Paramètres!$A$1:$I$89,3,0)*VLOOKUP('Données projet'!$B$16,Paramètres!$A$1:$I$89,5,0)</f>
        <v>4.6111381379887463E-14</v>
      </c>
      <c r="FG100" s="14">
        <f t="shared" si="101"/>
        <v>7.5804141040779151E-13</v>
      </c>
      <c r="FH100" s="22">
        <f t="shared" si="76"/>
        <v>1.4005661123635408E-12</v>
      </c>
      <c r="FI100" s="60">
        <f t="shared" si="77"/>
        <v>276.54542627938423</v>
      </c>
      <c r="FJ100" s="60">
        <f ca="1">AVERAGE(OFFSET($FI$3,0,0,'Données projet'!$E$16+1,1))-AVERAGE(OFFSET($H$3,0,0,'Données projet'!$E$16+1,1))</f>
        <v>308.58270639204238</v>
      </c>
      <c r="FK100" s="60">
        <f t="shared" si="102"/>
        <v>258.90832875500325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4.7</v>
      </c>
      <c r="FZ100" s="13">
        <f>IF('Données projet'!$A$244&gt;35,FZ99+FY100-GH99,IF(A100&lt;'Données projet'!$A$244,$FW$205^A100,IF(A100='Données projet'!$A$244,'Données projet'!$B$244,FZ99+FY100-GH99)))</f>
        <v>267.39999999999981</v>
      </c>
      <c r="GA100" s="18">
        <f>FZ100*VLOOKUP('Données projet'!$B$17,Paramètres!$A$1:$I$89,3,0)*VLOOKUP('Données projet'!$B$17,Paramètres!$A$1:$I$89,5,0)</f>
        <v>258.62927999999982</v>
      </c>
      <c r="GB100" s="14">
        <f t="shared" si="103"/>
        <v>62.430106017481869</v>
      </c>
      <c r="GC100" s="22">
        <f t="shared" si="79"/>
        <v>559.17843064711394</v>
      </c>
      <c r="GD100" s="60">
        <f t="shared" si="80"/>
        <v>835.72385692649675</v>
      </c>
      <c r="GE100" s="60">
        <f ca="1">AVERAGE(OFFSET($GD$3,0,0,'Données projet'!$E$17+1,1))-AVERAGE(OFFSET($H$3,0,0,'Données projet'!$E$17+1,1))</f>
        <v>495.77880062178235</v>
      </c>
      <c r="GF100" s="60">
        <f t="shared" si="104"/>
        <v>263.55891737750301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7</v>
      </c>
      <c r="N101" s="14">
        <f>IF('Données projet'!$A$36&gt;35,N100+M101-V100,IF(A101&lt;'Données projet'!$A$36,$K$205^A101,IF(A101='Données projet'!$A$36,'Données projet'!$B$36,N100+M101-V100)))</f>
        <v>385.00000000000017</v>
      </c>
      <c r="O101" s="14">
        <f>N101*VLOOKUP('Données projet'!$B$9,Paramètres!$A$1:$I$89,3,0)*VLOOKUP('Données projet'!$B$9,Paramètres!$A$1:$I$89,5,0)</f>
        <v>330.33000000000021</v>
      </c>
      <c r="P101" s="14">
        <f t="shared" si="87"/>
        <v>77.498720610826155</v>
      </c>
      <c r="Q101" s="22">
        <f t="shared" si="107"/>
        <v>710.3016883971892</v>
      </c>
      <c r="R101" s="60">
        <f t="shared" si="55"/>
        <v>987.13834733182057</v>
      </c>
      <c r="S101" s="60">
        <f ca="1">AVERAGE(OFFSET($R$3,0,0,'Données projet'!$E$9+1,1))-AVERAGE(OFFSET($H$3,0,0,'Données projet'!$E$9+1,1))</f>
        <v>598.73855311281966</v>
      </c>
      <c r="T101" s="60">
        <f t="shared" si="88"/>
        <v>275.88160405468193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272.0999999999998</v>
      </c>
      <c r="AJ101" s="14">
        <f>AI101*VLOOKUP('Données projet'!$B$10,Paramètres!$A$1:$I$89,3,0)*VLOOKUP('Données projet'!$B$10,Paramètres!$A$1:$I$89,5,0)</f>
        <v>275.90939999999978</v>
      </c>
      <c r="AK101" s="14">
        <f t="shared" si="89"/>
        <v>66.101808465811018</v>
      </c>
      <c r="AL101" s="22">
        <f t="shared" si="58"/>
        <v>595.66952141128706</v>
      </c>
      <c r="AM101" s="60">
        <f t="shared" si="59"/>
        <v>872.50618034591844</v>
      </c>
      <c r="AN101" s="60">
        <f ca="1">AVERAGE(OFFSET($AM$3,0,0,'Données projet'!$E$10+1,1))-AVERAGE(OFFSET($H$3,0,0,'Données projet'!$E$10+1,1))</f>
        <v>515.72324585399997</v>
      </c>
      <c r="AO101" s="60">
        <f t="shared" si="90"/>
        <v>273.35778700650792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2.7134774427395314E-13</v>
      </c>
      <c r="BF101" s="14">
        <f t="shared" si="91"/>
        <v>3.6292411711343559E-12</v>
      </c>
      <c r="BG101" s="22">
        <f t="shared" si="61"/>
        <v>6.7935256943361388E-12</v>
      </c>
      <c r="BH101" s="60">
        <f t="shared" si="62"/>
        <v>276.83665893463819</v>
      </c>
      <c r="BI101" s="60">
        <f ca="1">AVERAGE(OFFSET($BH$3,0,0,'Données projet'!$E$11+1,1))-AVERAGE(OFFSET($H$3,0,0,'Données projet'!$E$11+1,1))</f>
        <v>336.25341821407534</v>
      </c>
      <c r="BJ101" s="60">
        <f t="shared" si="92"/>
        <v>360.3246221345039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0.78926134049082186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0.78926134049082186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3.5897435897435854</v>
      </c>
      <c r="BY101" s="13">
        <f>IF('Données projet'!$A$114&gt;35,BY100+BX101-CG100,IF(A101&lt;'Données projet'!$A$114,$BV$205^A101,IF(A101='Données projet'!$A$114,'Données projet'!$B$114,BY100+BX101-CG100)))</f>
        <v>264.61538461538464</v>
      </c>
      <c r="BZ101" s="14">
        <f>BY101*VLOOKUP('Données projet'!$B$12,Paramètres!$A$1:$I$89,3,0)*VLOOKUP('Données projet'!$B$12,Paramètres!$A$1:$I$89,5,0)</f>
        <v>251.80800000000002</v>
      </c>
      <c r="CA101" s="14">
        <f t="shared" si="93"/>
        <v>60.972934322766903</v>
      </c>
      <c r="CB101" s="22">
        <f t="shared" si="64"/>
        <v>544.76012727881914</v>
      </c>
      <c r="CC101" s="60">
        <f t="shared" si="65"/>
        <v>821.59678621345051</v>
      </c>
      <c r="CD101" s="60">
        <f ca="1">AVERAGE(OFFSET($CC$3,0,0,'Données projet'!$E$12+1,1))-AVERAGE(OFFSET($H$3,0,0,'Données projet'!$E$12+1,1))</f>
        <v>438.41611139377829</v>
      </c>
      <c r="CE101" s="60">
        <f t="shared" si="94"/>
        <v>345.17417065809605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-4.5224624045658861E-14</v>
      </c>
      <c r="CV101" s="14" t="e">
        <f t="shared" si="95"/>
        <v>#NUM!</v>
      </c>
      <c r="CW101" s="22" t="e">
        <f t="shared" si="67"/>
        <v>#NUM!</v>
      </c>
      <c r="CX101" s="60" t="e">
        <f t="shared" si="68"/>
        <v>#NUM!</v>
      </c>
      <c r="CY101" s="60">
        <f ca="1">AVERAGE(OFFSET($CX$3,0,0,'Données projet'!$E$13+1,1))-AVERAGE(OFFSET($H$3,0,0,'Données projet'!$E$13+1,1))</f>
        <v>395.27840703467933</v>
      </c>
      <c r="CZ101" s="60">
        <f t="shared" si="96"/>
        <v>364.24192380053944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-2.8421709430404007E-13</v>
      </c>
      <c r="DP101" s="18">
        <f>DO101*VLOOKUP('Données projet'!$B$14,Paramètres!$A$1:$I$89,3,0)*VLOOKUP('Données projet'!$B$14,Paramètres!$A$1:$I$89,5,0)</f>
        <v>-2.2168933355715128E-13</v>
      </c>
      <c r="DQ101" s="14" t="e">
        <f t="shared" si="97"/>
        <v>#NUM!</v>
      </c>
      <c r="DR101" s="22" t="e">
        <f t="shared" si="70"/>
        <v>#NUM!</v>
      </c>
      <c r="DS101" s="60" t="e">
        <f t="shared" si="71"/>
        <v>#NUM!</v>
      </c>
      <c r="DT101" s="60">
        <f ca="1">AVERAGE(OFFSET($DS$3,0,0,'Données projet'!$E$14+1,1))-AVERAGE(OFFSET($H$3,0,0,'Données projet'!$E$14+1,1))</f>
        <v>308.76306523144956</v>
      </c>
      <c r="DU101" s="60">
        <f t="shared" si="98"/>
        <v>283.28099819802776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3.7179487179487181</v>
      </c>
      <c r="EJ101" s="13">
        <f>IF('Données projet'!$A$192&gt;35,EJ100+EI101-ER100,IF(A101&lt;'Données projet'!$A$192,$EG$205^A101,IF(A101='Données projet'!$A$192,'Données projet'!$B$192,EJ100+EI101-ER100)))</f>
        <v>327.82051282051276</v>
      </c>
      <c r="EK101" s="18">
        <f>EJ101*VLOOKUP('Données projet'!$B$15,Paramètres!$A$1:$I$89,3,0)*VLOOKUP('Données projet'!$B$15,Paramètres!$A$1:$I$89,5,0)</f>
        <v>219.90199999999996</v>
      </c>
      <c r="EL101" s="14">
        <f t="shared" si="99"/>
        <v>54.093585352495992</v>
      </c>
      <c r="EM101" s="22">
        <f t="shared" si="73"/>
        <v>477.20897782226371</v>
      </c>
      <c r="EN101" s="60">
        <f t="shared" si="74"/>
        <v>754.04563675689508</v>
      </c>
      <c r="EO101" s="60">
        <f ca="1">AVERAGE(OFFSET($EN$3,0,0,'Données projet'!$E$15+1,1))-AVERAGE(OFFSET($H$3,0,0,'Données projet'!$E$15+1,1))</f>
        <v>375.49921531693559</v>
      </c>
      <c r="EP101" s="60">
        <f t="shared" si="100"/>
        <v>306.93934681565599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5.6843418860808015E-14</v>
      </c>
      <c r="FF101" s="18">
        <f>FE101*VLOOKUP('Données projet'!$B$16,Paramètres!$A$1:$I$89,3,0)*VLOOKUP('Données projet'!$B$16,Paramètres!$A$1:$I$89,5,0)</f>
        <v>4.6111381379887463E-14</v>
      </c>
      <c r="FG101" s="14">
        <f t="shared" si="101"/>
        <v>7.5804141040779151E-13</v>
      </c>
      <c r="FH101" s="22">
        <f t="shared" si="76"/>
        <v>1.4005661123635408E-12</v>
      </c>
      <c r="FI101" s="60">
        <f t="shared" si="77"/>
        <v>276.83665893463279</v>
      </c>
      <c r="FJ101" s="60">
        <f ca="1">AVERAGE(OFFSET($FI$3,0,0,'Données projet'!$E$16+1,1))-AVERAGE(OFFSET($H$3,0,0,'Données projet'!$E$16+1,1))</f>
        <v>308.58270639204238</v>
      </c>
      <c r="FK101" s="60">
        <f t="shared" si="102"/>
        <v>258.90832875500325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4.7</v>
      </c>
      <c r="FZ101" s="13">
        <f>IF('Données projet'!$A$244&gt;35,FZ100+FY101-GH100,IF(A101&lt;'Données projet'!$A$244,$FW$205^A101,IF(A101='Données projet'!$A$244,'Données projet'!$B$244,FZ100+FY101-GH100)))</f>
        <v>272.0999999999998</v>
      </c>
      <c r="GA101" s="18">
        <f>FZ101*VLOOKUP('Données projet'!$B$17,Paramètres!$A$1:$I$89,3,0)*VLOOKUP('Données projet'!$B$17,Paramètres!$A$1:$I$89,5,0)</f>
        <v>263.17511999999982</v>
      </c>
      <c r="GB101" s="14">
        <f t="shared" si="103"/>
        <v>63.398706369770494</v>
      </c>
      <c r="GC101" s="22">
        <f t="shared" si="79"/>
        <v>568.78274759401654</v>
      </c>
      <c r="GD101" s="60">
        <f t="shared" si="80"/>
        <v>845.61940652864791</v>
      </c>
      <c r="GE101" s="60">
        <f ca="1">AVERAGE(OFFSET($GD$3,0,0,'Données projet'!$E$17+1,1))-AVERAGE(OFFSET($H$3,0,0,'Données projet'!$E$17+1,1))</f>
        <v>495.77880062178235</v>
      </c>
      <c r="GF101" s="60">
        <f t="shared" si="104"/>
        <v>263.55891737750301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7</v>
      </c>
      <c r="N102" s="14">
        <f>IF('Données projet'!$A$36&gt;35,N101+M102-V101,IF(A102&lt;'Données projet'!$A$36,$K$205^A102,IF(A102='Données projet'!$A$36,'Données projet'!$B$36,N101+M102-V101)))</f>
        <v>392.00000000000017</v>
      </c>
      <c r="O102" s="14">
        <f>N102*VLOOKUP('Données projet'!$B$9,Paramètres!$A$1:$I$89,3,0)*VLOOKUP('Données projet'!$B$9,Paramètres!$A$1:$I$89,5,0)</f>
        <v>336.33600000000018</v>
      </c>
      <c r="P102" s="14">
        <f t="shared" si="87"/>
        <v>78.742464121990608</v>
      </c>
      <c r="Q102" s="22">
        <f t="shared" si="107"/>
        <v>722.92832501246721</v>
      </c>
      <c r="R102" s="60">
        <f t="shared" si="55"/>
        <v>1000.0511643668774</v>
      </c>
      <c r="S102" s="60">
        <f ca="1">AVERAGE(OFFSET($R$3,0,0,'Données projet'!$E$9+1,1))-AVERAGE(OFFSET($H$3,0,0,'Données projet'!$E$9+1,1))</f>
        <v>598.73855311281966</v>
      </c>
      <c r="T102" s="60">
        <f t="shared" si="88"/>
        <v>275.88160405468193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276.79999999999978</v>
      </c>
      <c r="AJ102" s="14">
        <f>AI102*VLOOKUP('Données projet'!$B$10,Paramètres!$A$1:$I$89,3,0)*VLOOKUP('Données projet'!$B$10,Paramètres!$A$1:$I$89,5,0)</f>
        <v>280.67519999999979</v>
      </c>
      <c r="AK102" s="14">
        <f t="shared" si="89"/>
        <v>67.109678043026435</v>
      </c>
      <c r="AL102" s="22">
        <f t="shared" si="58"/>
        <v>605.72532925827056</v>
      </c>
      <c r="AM102" s="60">
        <f t="shared" si="59"/>
        <v>882.84816861268064</v>
      </c>
      <c r="AN102" s="60">
        <f ca="1">AVERAGE(OFFSET($AM$3,0,0,'Données projet'!$E$10+1,1))-AVERAGE(OFFSET($H$3,0,0,'Données projet'!$E$10+1,1))</f>
        <v>515.72324585399997</v>
      </c>
      <c r="AO102" s="60">
        <f t="shared" si="90"/>
        <v>273.35778700650792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2.7134774427395314E-13</v>
      </c>
      <c r="BF102" s="14">
        <f t="shared" si="91"/>
        <v>3.6292411711343559E-12</v>
      </c>
      <c r="BG102" s="22">
        <f t="shared" si="61"/>
        <v>6.7935256943361388E-12</v>
      </c>
      <c r="BH102" s="60">
        <f t="shared" si="62"/>
        <v>277.12283935441695</v>
      </c>
      <c r="BI102" s="60">
        <f ca="1">AVERAGE(OFFSET($BH$3,0,0,'Données projet'!$E$11+1,1))-AVERAGE(OFFSET($H$3,0,0,'Données projet'!$E$11+1,1))</f>
        <v>336.25341821407534</v>
      </c>
      <c r="BJ102" s="60">
        <f t="shared" si="92"/>
        <v>360.3246221345039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0.76767894762965028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0.76767894762965028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3.5897435897435854</v>
      </c>
      <c r="BY102" s="13">
        <f>IF('Données projet'!$A$114&gt;35,BY101+BX102-CG101,IF(A102&lt;'Données projet'!$A$114,$BV$205^A102,IF(A102='Données projet'!$A$114,'Données projet'!$B$114,BY101+BX102-CG101)))</f>
        <v>268.20512820512823</v>
      </c>
      <c r="BZ102" s="14">
        <f>BY102*VLOOKUP('Données projet'!$B$12,Paramètres!$A$1:$I$89,3,0)*VLOOKUP('Données projet'!$B$12,Paramètres!$A$1:$I$89,5,0)</f>
        <v>255.22400000000002</v>
      </c>
      <c r="CA102" s="14">
        <f t="shared" si="93"/>
        <v>61.703231859046099</v>
      </c>
      <c r="CB102" s="22">
        <f t="shared" si="64"/>
        <v>551.98159548783872</v>
      </c>
      <c r="CC102" s="60">
        <f t="shared" si="65"/>
        <v>829.10443484224879</v>
      </c>
      <c r="CD102" s="60">
        <f ca="1">AVERAGE(OFFSET($CC$3,0,0,'Données projet'!$E$12+1,1))-AVERAGE(OFFSET($H$3,0,0,'Données projet'!$E$12+1,1))</f>
        <v>438.41611139377829</v>
      </c>
      <c r="CE102" s="60">
        <f t="shared" si="94"/>
        <v>345.17417065809605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-4.5224624045658861E-14</v>
      </c>
      <c r="CV102" s="14" t="e">
        <f t="shared" si="95"/>
        <v>#NUM!</v>
      </c>
      <c r="CW102" s="22" t="e">
        <f t="shared" si="67"/>
        <v>#NUM!</v>
      </c>
      <c r="CX102" s="60" t="e">
        <f t="shared" si="68"/>
        <v>#NUM!</v>
      </c>
      <c r="CY102" s="60">
        <f ca="1">AVERAGE(OFFSET($CX$3,0,0,'Données projet'!$E$13+1,1))-AVERAGE(OFFSET($H$3,0,0,'Données projet'!$E$13+1,1))</f>
        <v>395.27840703467933</v>
      </c>
      <c r="CZ102" s="60">
        <f t="shared" si="96"/>
        <v>364.24192380053944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-2.8421709430404007E-13</v>
      </c>
      <c r="DP102" s="18">
        <f>DO102*VLOOKUP('Données projet'!$B$14,Paramètres!$A$1:$I$89,3,0)*VLOOKUP('Données projet'!$B$14,Paramètres!$A$1:$I$89,5,0)</f>
        <v>-2.2168933355715128E-13</v>
      </c>
      <c r="DQ102" s="14" t="e">
        <f t="shared" si="97"/>
        <v>#NUM!</v>
      </c>
      <c r="DR102" s="22" t="e">
        <f t="shared" si="70"/>
        <v>#NUM!</v>
      </c>
      <c r="DS102" s="60" t="e">
        <f t="shared" si="71"/>
        <v>#NUM!</v>
      </c>
      <c r="DT102" s="60">
        <f ca="1">AVERAGE(OFFSET($DS$3,0,0,'Données projet'!$E$14+1,1))-AVERAGE(OFFSET($H$3,0,0,'Données projet'!$E$14+1,1))</f>
        <v>308.76306523144956</v>
      </c>
      <c r="DU102" s="60">
        <f t="shared" si="98"/>
        <v>283.28099819802776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3.7179487179487181</v>
      </c>
      <c r="EJ102" s="13">
        <f>IF('Données projet'!$A$192&gt;35,EJ101+EI102-ER101,IF(A102&lt;'Données projet'!$A$192,$EG$205^A102,IF(A102='Données projet'!$A$192,'Données projet'!$B$192,EJ101+EI102-ER101)))</f>
        <v>331.53846153846149</v>
      </c>
      <c r="EK102" s="18">
        <f>EJ102*VLOOKUP('Données projet'!$B$15,Paramètres!$A$1:$I$89,3,0)*VLOOKUP('Données projet'!$B$15,Paramètres!$A$1:$I$89,5,0)</f>
        <v>222.39599999999999</v>
      </c>
      <c r="EL102" s="14">
        <f t="shared" si="99"/>
        <v>54.635315729139037</v>
      </c>
      <c r="EM102" s="22">
        <f t="shared" si="73"/>
        <v>482.49620822825045</v>
      </c>
      <c r="EN102" s="60">
        <f t="shared" si="74"/>
        <v>759.61904758266064</v>
      </c>
      <c r="EO102" s="60">
        <f ca="1">AVERAGE(OFFSET($EN$3,0,0,'Données projet'!$E$15+1,1))-AVERAGE(OFFSET($H$3,0,0,'Données projet'!$E$15+1,1))</f>
        <v>375.49921531693559</v>
      </c>
      <c r="EP102" s="60">
        <f t="shared" si="100"/>
        <v>306.93934681565599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5.6843418860808015E-14</v>
      </c>
      <c r="FF102" s="18">
        <f>FE102*VLOOKUP('Données projet'!$B$16,Paramètres!$A$1:$I$89,3,0)*VLOOKUP('Données projet'!$B$16,Paramètres!$A$1:$I$89,5,0)</f>
        <v>4.6111381379887463E-14</v>
      </c>
      <c r="FG102" s="14">
        <f t="shared" si="101"/>
        <v>7.5804141040779151E-13</v>
      </c>
      <c r="FH102" s="22">
        <f t="shared" si="76"/>
        <v>1.4005661123635408E-12</v>
      </c>
      <c r="FI102" s="60">
        <f t="shared" si="77"/>
        <v>277.12283935441155</v>
      </c>
      <c r="FJ102" s="60">
        <f ca="1">AVERAGE(OFFSET($FI$3,0,0,'Données projet'!$E$16+1,1))-AVERAGE(OFFSET($H$3,0,0,'Données projet'!$E$16+1,1))</f>
        <v>308.58270639204238</v>
      </c>
      <c r="FK102" s="60">
        <f t="shared" si="102"/>
        <v>258.90832875500325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4.7</v>
      </c>
      <c r="FZ102" s="13">
        <f>IF('Données projet'!$A$244&gt;35,FZ101+FY102-GH101,IF(A102&lt;'Données projet'!$A$244,$FW$205^A102,IF(A102='Données projet'!$A$244,'Données projet'!$B$244,FZ101+FY102-GH101)))</f>
        <v>276.79999999999978</v>
      </c>
      <c r="GA102" s="18">
        <f>FZ102*VLOOKUP('Données projet'!$B$17,Paramètres!$A$1:$I$89,3,0)*VLOOKUP('Données projet'!$B$17,Paramètres!$A$1:$I$89,5,0)</f>
        <v>267.72095999999982</v>
      </c>
      <c r="GB102" s="14">
        <f t="shared" si="103"/>
        <v>64.365361123519946</v>
      </c>
      <c r="GC102" s="22">
        <f t="shared" si="79"/>
        <v>578.38367595679699</v>
      </c>
      <c r="GD102" s="60">
        <f t="shared" si="80"/>
        <v>855.50651531120707</v>
      </c>
      <c r="GE102" s="60">
        <f ca="1">AVERAGE(OFFSET($GD$3,0,0,'Données projet'!$E$17+1,1))-AVERAGE(OFFSET($H$3,0,0,'Données projet'!$E$17+1,1))</f>
        <v>495.77880062178235</v>
      </c>
      <c r="GF102" s="60">
        <f t="shared" si="104"/>
        <v>263.55891737750301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7</v>
      </c>
      <c r="N103" s="14">
        <f>IF('Données projet'!$A$36&gt;35,N102+M103-V102,IF(A103&lt;'Données projet'!$A$36,$K$205^A103,IF(A103='Données projet'!$A$36,'Données projet'!$B$36,N102+M103-V102)))</f>
        <v>399.00000000000017</v>
      </c>
      <c r="O103" s="14">
        <f>N103*VLOOKUP('Données projet'!$B$9,Paramètres!$A$1:$I$89,3,0)*VLOOKUP('Données projet'!$B$9,Paramètres!$A$1:$I$89,5,0)</f>
        <v>342.34200000000016</v>
      </c>
      <c r="P103" s="14">
        <f t="shared" si="87"/>
        <v>79.983624963231122</v>
      </c>
      <c r="Q103" s="22">
        <f t="shared" si="107"/>
        <v>735.55046347762789</v>
      </c>
      <c r="R103" s="60">
        <f t="shared" si="55"/>
        <v>1012.954518661337</v>
      </c>
      <c r="S103" s="60">
        <f ca="1">AVERAGE(OFFSET($R$3,0,0,'Données projet'!$E$9+1,1))-AVERAGE(OFFSET($H$3,0,0,'Données projet'!$E$9+1,1))</f>
        <v>598.73855311281966</v>
      </c>
      <c r="T103" s="60">
        <f t="shared" si="88"/>
        <v>275.88160405468193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281.49999999999977</v>
      </c>
      <c r="AJ103" s="14">
        <f>AI103*VLOOKUP('Données projet'!$B$10,Paramètres!$A$1:$I$89,3,0)*VLOOKUP('Données projet'!$B$10,Paramètres!$A$1:$I$89,5,0)</f>
        <v>285.4409999999998</v>
      </c>
      <c r="AK103" s="14">
        <f t="shared" si="89"/>
        <v>68.115557487507104</v>
      </c>
      <c r="AL103" s="22">
        <f t="shared" si="58"/>
        <v>615.77767095740785</v>
      </c>
      <c r="AM103" s="60">
        <f t="shared" si="59"/>
        <v>893.181726141117</v>
      </c>
      <c r="AN103" s="60">
        <f ca="1">AVERAGE(OFFSET($AM$3,0,0,'Données projet'!$E$10+1,1))-AVERAGE(OFFSET($H$3,0,0,'Données projet'!$E$10+1,1))</f>
        <v>515.72324585399997</v>
      </c>
      <c r="AO103" s="60">
        <f t="shared" si="90"/>
        <v>273.35778700650792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2.7134774427395314E-13</v>
      </c>
      <c r="BF103" s="14">
        <f t="shared" si="91"/>
        <v>3.6292411711343559E-12</v>
      </c>
      <c r="BG103" s="22">
        <f t="shared" si="61"/>
        <v>6.7935256943361388E-12</v>
      </c>
      <c r="BH103" s="60">
        <f t="shared" si="62"/>
        <v>277.40405518371603</v>
      </c>
      <c r="BI103" s="60">
        <f ca="1">AVERAGE(OFFSET($BH$3,0,0,'Données projet'!$E$11+1,1))-AVERAGE(OFFSET($H$3,0,0,'Données projet'!$E$11+1,1))</f>
        <v>336.25341821407534</v>
      </c>
      <c r="BJ103" s="60">
        <f t="shared" si="92"/>
        <v>360.3246221345039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0.74668672643623624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0.74668672643623624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271.79487179487177</v>
      </c>
      <c r="BW103" s="13">
        <f>VLOOKUP(A103,'Données projet'!$A$113:$I$133,9,0)</f>
        <v>3.5897435897435854</v>
      </c>
      <c r="BX103" s="13">
        <f t="array" ref="BX103">INDEX(BW:BW,MIN(IF(ISNUMBER(BW103:BW299),ROW(BW103:BW299),"")))</f>
        <v>3.5897435897435854</v>
      </c>
      <c r="BY103" s="13">
        <f>IF('Données projet'!$A$114&gt;35,BY102+BX103-CG102,IF(A103&lt;'Données projet'!$A$114,$BV$205^A103,IF(A103='Données projet'!$A$114,'Données projet'!$B$114,BY102+BX103-CG102)))</f>
        <v>271.79487179487182</v>
      </c>
      <c r="BZ103" s="14">
        <f>BY103*VLOOKUP('Données projet'!$B$12,Paramètres!$A$1:$I$89,3,0)*VLOOKUP('Données projet'!$B$12,Paramètres!$A$1:$I$89,5,0)</f>
        <v>258.64</v>
      </c>
      <c r="CA103" s="14">
        <f t="shared" si="93"/>
        <v>62.432392489161579</v>
      </c>
      <c r="CB103" s="22">
        <f t="shared" si="64"/>
        <v>559.20108358528967</v>
      </c>
      <c r="CC103" s="60">
        <f t="shared" si="65"/>
        <v>836.60513876899881</v>
      </c>
      <c r="CD103" s="60">
        <f ca="1">AVERAGE(OFFSET($CC$3,0,0,'Données projet'!$E$12+1,1))-AVERAGE(OFFSET($H$3,0,0,'Données projet'!$E$12+1,1))</f>
        <v>438.41611139377829</v>
      </c>
      <c r="CE103" s="60">
        <f t="shared" si="94"/>
        <v>345.17417065809605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26.282051282051281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-4.5224624045658861E-14</v>
      </c>
      <c r="CV103" s="14" t="e">
        <f t="shared" si="95"/>
        <v>#NUM!</v>
      </c>
      <c r="CW103" s="22" t="e">
        <f t="shared" si="67"/>
        <v>#NUM!</v>
      </c>
      <c r="CX103" s="60" t="e">
        <f t="shared" si="68"/>
        <v>#NUM!</v>
      </c>
      <c r="CY103" s="60">
        <f ca="1">AVERAGE(OFFSET($CX$3,0,0,'Données projet'!$E$13+1,1))-AVERAGE(OFFSET($H$3,0,0,'Données projet'!$E$13+1,1))</f>
        <v>395.27840703467933</v>
      </c>
      <c r="CZ103" s="60">
        <f t="shared" si="96"/>
        <v>364.24192380053944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-2.8421709430404007E-13</v>
      </c>
      <c r="DP103" s="18">
        <f>DO103*VLOOKUP('Données projet'!$B$14,Paramètres!$A$1:$I$89,3,0)*VLOOKUP('Données projet'!$B$14,Paramètres!$A$1:$I$89,5,0)</f>
        <v>-2.2168933355715128E-13</v>
      </c>
      <c r="DQ103" s="14" t="e">
        <f t="shared" si="97"/>
        <v>#NUM!</v>
      </c>
      <c r="DR103" s="22" t="e">
        <f t="shared" si="70"/>
        <v>#NUM!</v>
      </c>
      <c r="DS103" s="60" t="e">
        <f t="shared" si="71"/>
        <v>#NUM!</v>
      </c>
      <c r="DT103" s="60">
        <f ca="1">AVERAGE(OFFSET($DS$3,0,0,'Données projet'!$E$14+1,1))-AVERAGE(OFFSET($H$3,0,0,'Données projet'!$E$14+1,1))</f>
        <v>308.76306523144956</v>
      </c>
      <c r="DU103" s="60">
        <f t="shared" si="98"/>
        <v>283.28099819802776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335.25641025641022</v>
      </c>
      <c r="EH103" s="13">
        <f>VLOOKUP(A103,'Données projet'!$A$191:$I$211,9,0)</f>
        <v>3.7179487179487181</v>
      </c>
      <c r="EI103" s="13">
        <f t="array" ref="EI103">INDEX(EH:EH,MIN(IF(ISNUMBER(EH103:EH299),ROW(EH103:EH299),"")))</f>
        <v>3.7179487179487181</v>
      </c>
      <c r="EJ103" s="13">
        <f>IF('Données projet'!$A$192&gt;35,EJ102+EI103-ER102,IF(A103&lt;'Données projet'!$A$192,$EG$205^A103,IF(A103='Données projet'!$A$192,'Données projet'!$B$192,EJ102+EI103-ER102)))</f>
        <v>335.25641025641022</v>
      </c>
      <c r="EK103" s="18">
        <f>EJ103*VLOOKUP('Données projet'!$B$15,Paramètres!$A$1:$I$89,3,0)*VLOOKUP('Données projet'!$B$15,Paramètres!$A$1:$I$89,5,0)</f>
        <v>224.88999999999996</v>
      </c>
      <c r="EL103" s="14">
        <f t="shared" si="99"/>
        <v>55.17633941105062</v>
      </c>
      <c r="EM103" s="22">
        <f t="shared" si="73"/>
        <v>487.78220780757982</v>
      </c>
      <c r="EN103" s="60">
        <f t="shared" si="74"/>
        <v>765.18626299128903</v>
      </c>
      <c r="EO103" s="60">
        <f ca="1">AVERAGE(OFFSET($EN$3,0,0,'Données projet'!$E$15+1,1))-AVERAGE(OFFSET($H$3,0,0,'Données projet'!$E$15+1,1))</f>
        <v>375.49921531693559</v>
      </c>
      <c r="EP103" s="60">
        <f t="shared" si="100"/>
        <v>306.93934681565599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23.717948717948715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5.6843418860808015E-14</v>
      </c>
      <c r="FF103" s="18">
        <f>FE103*VLOOKUP('Données projet'!$B$16,Paramètres!$A$1:$I$89,3,0)*VLOOKUP('Données projet'!$B$16,Paramètres!$A$1:$I$89,5,0)</f>
        <v>4.6111381379887463E-14</v>
      </c>
      <c r="FG103" s="14">
        <f t="shared" si="101"/>
        <v>7.5804141040779151E-13</v>
      </c>
      <c r="FH103" s="22">
        <f t="shared" si="76"/>
        <v>1.4005661123635408E-12</v>
      </c>
      <c r="FI103" s="60">
        <f t="shared" si="77"/>
        <v>277.40405518371062</v>
      </c>
      <c r="FJ103" s="60">
        <f ca="1">AVERAGE(OFFSET($FI$3,0,0,'Données projet'!$E$16+1,1))-AVERAGE(OFFSET($H$3,0,0,'Données projet'!$E$16+1,1))</f>
        <v>308.58270639204238</v>
      </c>
      <c r="FK103" s="60">
        <f t="shared" si="102"/>
        <v>258.90832875500325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4.7</v>
      </c>
      <c r="FZ103" s="13">
        <f>IF('Données projet'!$A$244&gt;35,FZ102+FY103-GH102,IF(A103&lt;'Données projet'!$A$244,$FW$205^A103,IF(A103='Données projet'!$A$244,'Données projet'!$B$244,FZ102+FY103-GH102)))</f>
        <v>281.49999999999977</v>
      </c>
      <c r="GA103" s="18">
        <f>FZ103*VLOOKUP('Données projet'!$B$17,Paramètres!$A$1:$I$89,3,0)*VLOOKUP('Données projet'!$B$17,Paramètres!$A$1:$I$89,5,0)</f>
        <v>272.26679999999976</v>
      </c>
      <c r="GB103" s="14">
        <f t="shared" si="103"/>
        <v>65.330107127057786</v>
      </c>
      <c r="GC103" s="22">
        <f t="shared" si="79"/>
        <v>587.98127991295848</v>
      </c>
      <c r="GD103" s="60">
        <f t="shared" si="80"/>
        <v>865.38533509666763</v>
      </c>
      <c r="GE103" s="60">
        <f ca="1">AVERAGE(OFFSET($GD$3,0,0,'Données projet'!$E$17+1,1))-AVERAGE(OFFSET($H$3,0,0,'Données projet'!$E$17+1,1))</f>
        <v>495.77880062178235</v>
      </c>
      <c r="GF103" s="60">
        <f t="shared" si="104"/>
        <v>263.55891737750301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7</v>
      </c>
      <c r="N104" s="14">
        <f>IF('Données projet'!$A$36&gt;35,N103+M104-V103,IF(A104&lt;'Données projet'!$A$36,$K$205^A104,IF(A104='Données projet'!$A$36,'Données projet'!$B$36,N103+M104-V103)))</f>
        <v>406.00000000000017</v>
      </c>
      <c r="O104" s="14">
        <f>N104*VLOOKUP('Données projet'!$B$9,Paramètres!$A$1:$I$89,3,0)*VLOOKUP('Données projet'!$B$9,Paramètres!$A$1:$I$89,5,0)</f>
        <v>348.34800000000018</v>
      </c>
      <c r="P104" s="14">
        <f t="shared" si="87"/>
        <v>81.222253672242701</v>
      </c>
      <c r="Q104" s="22">
        <f t="shared" si="107"/>
        <v>748.16819181248957</v>
      </c>
      <c r="R104" s="60">
        <f t="shared" si="55"/>
        <v>1025.848584359564</v>
      </c>
      <c r="S104" s="60">
        <f ca="1">AVERAGE(OFFSET($R$3,0,0,'Données projet'!$E$9+1,1))-AVERAGE(OFFSET($H$3,0,0,'Données projet'!$E$9+1,1))</f>
        <v>598.73855311281966</v>
      </c>
      <c r="T104" s="60">
        <f t="shared" si="88"/>
        <v>275.88160405468193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286.19999999999976</v>
      </c>
      <c r="AJ104" s="14">
        <f>AI104*VLOOKUP('Données projet'!$B$10,Paramètres!$A$1:$I$89,3,0)*VLOOKUP('Données projet'!$B$10,Paramètres!$A$1:$I$89,5,0)</f>
        <v>290.20679999999982</v>
      </c>
      <c r="AK104" s="14">
        <f t="shared" si="89"/>
        <v>69.119483862208398</v>
      </c>
      <c r="AL104" s="22">
        <f t="shared" si="58"/>
        <v>625.82661106001262</v>
      </c>
      <c r="AM104" s="60">
        <f t="shared" si="59"/>
        <v>903.50700360708697</v>
      </c>
      <c r="AN104" s="60">
        <f ca="1">AVERAGE(OFFSET($AM$3,0,0,'Données projet'!$E$10+1,1))-AVERAGE(OFFSET($H$3,0,0,'Données projet'!$E$10+1,1))</f>
        <v>515.72324585399997</v>
      </c>
      <c r="AO104" s="60">
        <f t="shared" si="90"/>
        <v>273.35778700650792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2.7134774427395314E-13</v>
      </c>
      <c r="BF104" s="14">
        <f t="shared" si="91"/>
        <v>3.6292411711343559E-12</v>
      </c>
      <c r="BG104" s="22">
        <f t="shared" si="61"/>
        <v>6.7935256943361388E-12</v>
      </c>
      <c r="BH104" s="60">
        <f t="shared" si="62"/>
        <v>277.68039254708123</v>
      </c>
      <c r="BI104" s="60">
        <f ca="1">AVERAGE(OFFSET($BH$3,0,0,'Données projet'!$E$11+1,1))-AVERAGE(OFFSET($H$3,0,0,'Données projet'!$E$11+1,1))</f>
        <v>336.25341821407534</v>
      </c>
      <c r="BJ104" s="60">
        <f t="shared" si="92"/>
        <v>360.3246221345039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0.72626853863528895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0.72626853863528895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3.3974358974359005</v>
      </c>
      <c r="BY104" s="13">
        <f>IF('Données projet'!$A$114&gt;35,BY103+BX104-CG103,IF(A104&lt;'Données projet'!$A$114,$BV$205^A104,IF(A104='Données projet'!$A$114,'Données projet'!$B$114,BY103+BX104-CG103)))</f>
        <v>248.91025641025647</v>
      </c>
      <c r="BZ104" s="14">
        <f>BY104*VLOOKUP('Données projet'!$B$12,Paramètres!$A$1:$I$89,3,0)*VLOOKUP('Données projet'!$B$12,Paramètres!$A$1:$I$89,5,0)</f>
        <v>236.86300000000006</v>
      </c>
      <c r="CA104" s="14">
        <f t="shared" si="93"/>
        <v>57.76407369313457</v>
      </c>
      <c r="CB104" s="22">
        <f t="shared" si="64"/>
        <v>513.14215334887604</v>
      </c>
      <c r="CC104" s="60">
        <f t="shared" si="65"/>
        <v>790.8225458959505</v>
      </c>
      <c r="CD104" s="60">
        <f ca="1">AVERAGE(OFFSET($CC$3,0,0,'Données projet'!$E$12+1,1))-AVERAGE(OFFSET($H$3,0,0,'Données projet'!$E$12+1,1))</f>
        <v>438.41611139377829</v>
      </c>
      <c r="CE104" s="60">
        <f t="shared" si="94"/>
        <v>345.17417065809605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-4.5224624045658861E-14</v>
      </c>
      <c r="CV104" s="14" t="e">
        <f t="shared" si="95"/>
        <v>#NUM!</v>
      </c>
      <c r="CW104" s="22" t="e">
        <f t="shared" si="67"/>
        <v>#NUM!</v>
      </c>
      <c r="CX104" s="60" t="e">
        <f t="shared" si="68"/>
        <v>#NUM!</v>
      </c>
      <c r="CY104" s="60">
        <f ca="1">AVERAGE(OFFSET($CX$3,0,0,'Données projet'!$E$13+1,1))-AVERAGE(OFFSET($H$3,0,0,'Données projet'!$E$13+1,1))</f>
        <v>395.27840703467933</v>
      </c>
      <c r="CZ104" s="60">
        <f t="shared" si="96"/>
        <v>364.24192380053944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-2.8421709430404007E-13</v>
      </c>
      <c r="DP104" s="18">
        <f>DO104*VLOOKUP('Données projet'!$B$14,Paramètres!$A$1:$I$89,3,0)*VLOOKUP('Données projet'!$B$14,Paramètres!$A$1:$I$89,5,0)</f>
        <v>-2.2168933355715128E-13</v>
      </c>
      <c r="DQ104" s="14" t="e">
        <f t="shared" si="97"/>
        <v>#NUM!</v>
      </c>
      <c r="DR104" s="22" t="e">
        <f t="shared" si="70"/>
        <v>#NUM!</v>
      </c>
      <c r="DS104" s="60" t="e">
        <f t="shared" si="71"/>
        <v>#NUM!</v>
      </c>
      <c r="DT104" s="60">
        <f ca="1">AVERAGE(OFFSET($DS$3,0,0,'Données projet'!$E$14+1,1))-AVERAGE(OFFSET($H$3,0,0,'Données projet'!$E$14+1,1))</f>
        <v>308.76306523144956</v>
      </c>
      <c r="DU104" s="60">
        <f t="shared" si="98"/>
        <v>283.28099819802776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3.5256410256410278</v>
      </c>
      <c r="EJ104" s="13">
        <f>IF('Données projet'!$A$192&gt;35,EJ103+EI104-ER103,IF(A104&lt;'Données projet'!$A$192,$EG$205^A104,IF(A104='Données projet'!$A$192,'Données projet'!$B$192,EJ103+EI104-ER103)))</f>
        <v>315.06410256410254</v>
      </c>
      <c r="EK104" s="18">
        <f>EJ104*VLOOKUP('Données projet'!$B$15,Paramètres!$A$1:$I$89,3,0)*VLOOKUP('Données projet'!$B$15,Paramètres!$A$1:$I$89,5,0)</f>
        <v>211.34499999999997</v>
      </c>
      <c r="EL104" s="14">
        <f t="shared" si="99"/>
        <v>52.229392738838186</v>
      </c>
      <c r="EM104" s="22">
        <f t="shared" si="73"/>
        <v>459.05873402014305</v>
      </c>
      <c r="EN104" s="60">
        <f t="shared" si="74"/>
        <v>736.73912656721745</v>
      </c>
      <c r="EO104" s="60">
        <f ca="1">AVERAGE(OFFSET($EN$3,0,0,'Données projet'!$E$15+1,1))-AVERAGE(OFFSET($H$3,0,0,'Données projet'!$E$15+1,1))</f>
        <v>375.49921531693559</v>
      </c>
      <c r="EP104" s="60">
        <f t="shared" si="100"/>
        <v>306.93934681565599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5.6843418860808015E-14</v>
      </c>
      <c r="FF104" s="18">
        <f>FE104*VLOOKUP('Données projet'!$B$16,Paramètres!$A$1:$I$89,3,0)*VLOOKUP('Données projet'!$B$16,Paramètres!$A$1:$I$89,5,0)</f>
        <v>4.6111381379887463E-14</v>
      </c>
      <c r="FG104" s="14">
        <f t="shared" si="101"/>
        <v>7.5804141040779151E-13</v>
      </c>
      <c r="FH104" s="22">
        <f t="shared" si="76"/>
        <v>1.4005661123635408E-12</v>
      </c>
      <c r="FI104" s="60">
        <f t="shared" si="77"/>
        <v>277.68039254707583</v>
      </c>
      <c r="FJ104" s="60">
        <f ca="1">AVERAGE(OFFSET($FI$3,0,0,'Données projet'!$E$16+1,1))-AVERAGE(OFFSET($H$3,0,0,'Données projet'!$E$16+1,1))</f>
        <v>308.58270639204238</v>
      </c>
      <c r="FK104" s="60">
        <f t="shared" si="102"/>
        <v>258.90832875500325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4.7</v>
      </c>
      <c r="FZ104" s="13">
        <f>IF('Données projet'!$A$244&gt;35,FZ103+FY104-GH103,IF(A104&lt;'Données projet'!$A$244,$FW$205^A104,IF(A104='Données projet'!$A$244,'Données projet'!$B$244,FZ103+FY104-GH103)))</f>
        <v>286.19999999999976</v>
      </c>
      <c r="GA104" s="18">
        <f>FZ104*VLOOKUP('Données projet'!$B$17,Paramètres!$A$1:$I$89,3,0)*VLOOKUP('Données projet'!$B$17,Paramètres!$A$1:$I$89,5,0)</f>
        <v>276.81263999999976</v>
      </c>
      <c r="GB104" s="14">
        <f t="shared" si="103"/>
        <v>66.292979927723621</v>
      </c>
      <c r="GC104" s="22">
        <f t="shared" si="79"/>
        <v>597.57562137411821</v>
      </c>
      <c r="GD104" s="60">
        <f t="shared" si="80"/>
        <v>875.25601392119256</v>
      </c>
      <c r="GE104" s="60">
        <f ca="1">AVERAGE(OFFSET($GD$3,0,0,'Données projet'!$E$17+1,1))-AVERAGE(OFFSET($H$3,0,0,'Données projet'!$E$17+1,1))</f>
        <v>495.77880062178235</v>
      </c>
      <c r="GF104" s="60">
        <f t="shared" si="104"/>
        <v>263.55891737750301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7</v>
      </c>
      <c r="N105" s="14">
        <f>IF('Données projet'!$A$36&gt;35,N104+M105-V104,IF(A105&lt;'Données projet'!$A$36,$K$205^A105,IF(A105='Données projet'!$A$36,'Données projet'!$B$36,N104+M105-V104)))</f>
        <v>413.00000000000017</v>
      </c>
      <c r="O105" s="14">
        <f>N105*VLOOKUP('Données projet'!$B$9,Paramètres!$A$1:$I$89,3,0)*VLOOKUP('Données projet'!$B$9,Paramètres!$A$1:$I$89,5,0)</f>
        <v>354.35400000000021</v>
      </c>
      <c r="P105" s="14">
        <f t="shared" si="87"/>
        <v>82.458398944193391</v>
      </c>
      <c r="Q105" s="22">
        <f t="shared" si="107"/>
        <v>760.78159482780381</v>
      </c>
      <c r="R105" s="60">
        <f t="shared" si="55"/>
        <v>1038.7335309027867</v>
      </c>
      <c r="S105" s="60">
        <f ca="1">AVERAGE(OFFSET($R$3,0,0,'Données projet'!$E$9+1,1))-AVERAGE(OFFSET($H$3,0,0,'Données projet'!$E$9+1,1))</f>
        <v>598.73855311281966</v>
      </c>
      <c r="T105" s="60">
        <f t="shared" si="88"/>
        <v>275.88160405468193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290.89999999999975</v>
      </c>
      <c r="AJ105" s="14">
        <f>AI105*VLOOKUP('Données projet'!$B$10,Paramètres!$A$1:$I$89,3,0)*VLOOKUP('Données projet'!$B$10,Paramètres!$A$1:$I$89,5,0)</f>
        <v>294.97259999999977</v>
      </c>
      <c r="AK105" s="14">
        <f t="shared" si="89"/>
        <v>70.121492942994351</v>
      </c>
      <c r="AL105" s="22">
        <f t="shared" si="58"/>
        <v>635.8722118757147</v>
      </c>
      <c r="AM105" s="60">
        <f t="shared" si="59"/>
        <v>913.82414795069758</v>
      </c>
      <c r="AN105" s="60">
        <f ca="1">AVERAGE(OFFSET($AM$3,0,0,'Données projet'!$E$10+1,1))-AVERAGE(OFFSET($H$3,0,0,'Données projet'!$E$10+1,1))</f>
        <v>515.72324585399997</v>
      </c>
      <c r="AO105" s="60">
        <f t="shared" si="90"/>
        <v>273.35778700650792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2.7134774427395314E-13</v>
      </c>
      <c r="BF105" s="14">
        <f t="shared" si="91"/>
        <v>3.6292411711343559E-12</v>
      </c>
      <c r="BG105" s="22">
        <f t="shared" si="61"/>
        <v>6.7935256943361388E-12</v>
      </c>
      <c r="BH105" s="60">
        <f t="shared" si="62"/>
        <v>277.95193607498976</v>
      </c>
      <c r="BI105" s="60">
        <f ca="1">AVERAGE(OFFSET($BH$3,0,0,'Données projet'!$E$11+1,1))-AVERAGE(OFFSET($H$3,0,0,'Données projet'!$E$11+1,1))</f>
        <v>336.25341821407534</v>
      </c>
      <c r="BJ105" s="60">
        <f t="shared" si="92"/>
        <v>360.3246221345039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0.70640868725350447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0.70640868725350447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3.3974358974359005</v>
      </c>
      <c r="BY105" s="13">
        <f>IF('Données projet'!$A$114&gt;35,BY104+BX105-CG104,IF(A105&lt;'Données projet'!$A$114,$BV$205^A105,IF(A105='Données projet'!$A$114,'Données projet'!$B$114,BY104+BX105-CG104)))</f>
        <v>252.30769230769238</v>
      </c>
      <c r="BZ105" s="14">
        <f>BY105*VLOOKUP('Données projet'!$B$12,Paramètres!$A$1:$I$89,3,0)*VLOOKUP('Données projet'!$B$12,Paramètres!$A$1:$I$89,5,0)</f>
        <v>240.09600000000006</v>
      </c>
      <c r="CA105" s="14">
        <f t="shared" si="93"/>
        <v>58.460184869094391</v>
      </c>
      <c r="CB105" s="22">
        <f t="shared" si="64"/>
        <v>519.98535531367281</v>
      </c>
      <c r="CC105" s="60">
        <f t="shared" si="65"/>
        <v>797.93729138865569</v>
      </c>
      <c r="CD105" s="60">
        <f ca="1">AVERAGE(OFFSET($CC$3,0,0,'Données projet'!$E$12+1,1))-AVERAGE(OFFSET($H$3,0,0,'Données projet'!$E$12+1,1))</f>
        <v>438.41611139377829</v>
      </c>
      <c r="CE105" s="60">
        <f t="shared" si="94"/>
        <v>345.17417065809605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-4.5224624045658861E-14</v>
      </c>
      <c r="CV105" s="14" t="e">
        <f t="shared" si="95"/>
        <v>#NUM!</v>
      </c>
      <c r="CW105" s="22" t="e">
        <f t="shared" si="67"/>
        <v>#NUM!</v>
      </c>
      <c r="CX105" s="60" t="e">
        <f t="shared" si="68"/>
        <v>#NUM!</v>
      </c>
      <c r="CY105" s="60">
        <f ca="1">AVERAGE(OFFSET($CX$3,0,0,'Données projet'!$E$13+1,1))-AVERAGE(OFFSET($H$3,0,0,'Données projet'!$E$13+1,1))</f>
        <v>395.27840703467933</v>
      </c>
      <c r="CZ105" s="60">
        <f t="shared" si="96"/>
        <v>364.24192380053944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-2.8421709430404007E-13</v>
      </c>
      <c r="DP105" s="18">
        <f>DO105*VLOOKUP('Données projet'!$B$14,Paramètres!$A$1:$I$89,3,0)*VLOOKUP('Données projet'!$B$14,Paramètres!$A$1:$I$89,5,0)</f>
        <v>-2.2168933355715128E-13</v>
      </c>
      <c r="DQ105" s="14" t="e">
        <f t="shared" si="97"/>
        <v>#NUM!</v>
      </c>
      <c r="DR105" s="22" t="e">
        <f t="shared" si="70"/>
        <v>#NUM!</v>
      </c>
      <c r="DS105" s="60" t="e">
        <f t="shared" si="71"/>
        <v>#NUM!</v>
      </c>
      <c r="DT105" s="60">
        <f ca="1">AVERAGE(OFFSET($DS$3,0,0,'Données projet'!$E$14+1,1))-AVERAGE(OFFSET($H$3,0,0,'Données projet'!$E$14+1,1))</f>
        <v>308.76306523144956</v>
      </c>
      <c r="DU105" s="60">
        <f t="shared" si="98"/>
        <v>283.28099819802776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3.5256410256410278</v>
      </c>
      <c r="EJ105" s="13">
        <f>IF('Données projet'!$A$192&gt;35,EJ104+EI105-ER104,IF(A105&lt;'Données projet'!$A$192,$EG$205^A105,IF(A105='Données projet'!$A$192,'Données projet'!$B$192,EJ104+EI105-ER104)))</f>
        <v>318.58974358974359</v>
      </c>
      <c r="EK105" s="18">
        <f>EJ105*VLOOKUP('Données projet'!$B$15,Paramètres!$A$1:$I$89,3,0)*VLOOKUP('Données projet'!$B$15,Paramètres!$A$1:$I$89,5,0)</f>
        <v>213.71</v>
      </c>
      <c r="EL105" s="14">
        <f t="shared" si="99"/>
        <v>52.745485879312689</v>
      </c>
      <c r="EM105" s="22">
        <f t="shared" si="73"/>
        <v>464.07663790646956</v>
      </c>
      <c r="EN105" s="60">
        <f t="shared" si="74"/>
        <v>742.0285739814525</v>
      </c>
      <c r="EO105" s="60">
        <f ca="1">AVERAGE(OFFSET($EN$3,0,0,'Données projet'!$E$15+1,1))-AVERAGE(OFFSET($H$3,0,0,'Données projet'!$E$15+1,1))</f>
        <v>375.49921531693559</v>
      </c>
      <c r="EP105" s="60">
        <f t="shared" si="100"/>
        <v>306.93934681565599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5.6843418860808015E-14</v>
      </c>
      <c r="FF105" s="18">
        <f>FE105*VLOOKUP('Données projet'!$B$16,Paramètres!$A$1:$I$89,3,0)*VLOOKUP('Données projet'!$B$16,Paramètres!$A$1:$I$89,5,0)</f>
        <v>4.6111381379887463E-14</v>
      </c>
      <c r="FG105" s="14">
        <f t="shared" si="101"/>
        <v>7.5804141040779151E-13</v>
      </c>
      <c r="FH105" s="22">
        <f t="shared" si="76"/>
        <v>1.4005661123635408E-12</v>
      </c>
      <c r="FI105" s="60">
        <f t="shared" si="77"/>
        <v>277.95193607498436</v>
      </c>
      <c r="FJ105" s="60">
        <f ca="1">AVERAGE(OFFSET($FI$3,0,0,'Données projet'!$E$16+1,1))-AVERAGE(OFFSET($H$3,0,0,'Données projet'!$E$16+1,1))</f>
        <v>308.58270639204238</v>
      </c>
      <c r="FK105" s="60">
        <f t="shared" si="102"/>
        <v>258.90832875500325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4.7</v>
      </c>
      <c r="FZ105" s="13">
        <f>IF('Données projet'!$A$244&gt;35,FZ104+FY105-GH104,IF(A105&lt;'Données projet'!$A$244,$FW$205^A105,IF(A105='Données projet'!$A$244,'Données projet'!$B$244,FZ104+FY105-GH104)))</f>
        <v>290.89999999999975</v>
      </c>
      <c r="GA105" s="18">
        <f>FZ105*VLOOKUP('Données projet'!$B$17,Paramètres!$A$1:$I$89,3,0)*VLOOKUP('Données projet'!$B$17,Paramètres!$A$1:$I$89,5,0)</f>
        <v>281.35847999999976</v>
      </c>
      <c r="GB105" s="14">
        <f t="shared" si="103"/>
        <v>67.254013838398748</v>
      </c>
      <c r="GC105" s="22">
        <f t="shared" si="79"/>
        <v>607.16676010187734</v>
      </c>
      <c r="GD105" s="60">
        <f t="shared" si="80"/>
        <v>885.11869617686034</v>
      </c>
      <c r="GE105" s="60">
        <f ca="1">AVERAGE(OFFSET($GD$3,0,0,'Données projet'!$E$17+1,1))-AVERAGE(OFFSET($H$3,0,0,'Données projet'!$E$17+1,1))</f>
        <v>495.77880062178235</v>
      </c>
      <c r="GF105" s="60">
        <f t="shared" si="104"/>
        <v>263.55891737750301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7</v>
      </c>
      <c r="N106" s="14">
        <f>IF('Données projet'!$A$36&gt;35,N105+M106-V105,IF(A106&lt;'Données projet'!$A$36,$K$205^A106,IF(A106='Données projet'!$A$36,'Données projet'!$B$36,N105+M106-V105)))</f>
        <v>420.00000000000017</v>
      </c>
      <c r="O106" s="14">
        <f>N106*VLOOKUP('Données projet'!$B$9,Paramètres!$A$1:$I$89,3,0)*VLOOKUP('Données projet'!$B$9,Paramètres!$A$1:$I$89,5,0)</f>
        <v>360.36000000000018</v>
      </c>
      <c r="P106" s="14">
        <f t="shared" si="87"/>
        <v>83.692107728969603</v>
      </c>
      <c r="Q106" s="22">
        <f t="shared" si="107"/>
        <v>773.3907542946223</v>
      </c>
      <c r="R106" s="60">
        <f t="shared" si="55"/>
        <v>1051.6095232243849</v>
      </c>
      <c r="S106" s="60">
        <f ca="1">AVERAGE(OFFSET($R$3,0,0,'Données projet'!$E$9+1,1))-AVERAGE(OFFSET($H$3,0,0,'Données projet'!$E$9+1,1))</f>
        <v>598.73855311281966</v>
      </c>
      <c r="T106" s="60">
        <f t="shared" si="88"/>
        <v>275.88160405468193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295.59999999999974</v>
      </c>
      <c r="AJ106" s="14">
        <f>AI106*VLOOKUP('Données projet'!$B$10,Paramètres!$A$1:$I$89,3,0)*VLOOKUP('Données projet'!$B$10,Paramètres!$A$1:$I$89,5,0)</f>
        <v>299.73839999999979</v>
      </c>
      <c r="AK106" s="14">
        <f t="shared" si="89"/>
        <v>71.121619283394423</v>
      </c>
      <c r="AL106" s="22">
        <f t="shared" si="58"/>
        <v>645.91453358524484</v>
      </c>
      <c r="AM106" s="60">
        <f t="shared" si="59"/>
        <v>924.13330251500747</v>
      </c>
      <c r="AN106" s="60">
        <f ca="1">AVERAGE(OFFSET($AM$3,0,0,'Données projet'!$E$10+1,1))-AVERAGE(OFFSET($H$3,0,0,'Données projet'!$E$10+1,1))</f>
        <v>515.72324585399997</v>
      </c>
      <c r="AO106" s="60">
        <f t="shared" si="90"/>
        <v>273.35778700650792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2.7134774427395314E-13</v>
      </c>
      <c r="BF106" s="14">
        <f t="shared" si="91"/>
        <v>3.6292411711343559E-12</v>
      </c>
      <c r="BG106" s="22">
        <f t="shared" si="61"/>
        <v>6.7935256943361388E-12</v>
      </c>
      <c r="BH106" s="60">
        <f t="shared" si="62"/>
        <v>278.21876892976951</v>
      </c>
      <c r="BI106" s="60">
        <f ca="1">AVERAGE(OFFSET($BH$3,0,0,'Données projet'!$E$11+1,1))-AVERAGE(OFFSET($H$3,0,0,'Données projet'!$E$11+1,1))</f>
        <v>336.25341821407534</v>
      </c>
      <c r="BJ106" s="60">
        <f t="shared" si="92"/>
        <v>360.3246221345039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0.68709190455213909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0.68709190455213909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3.3974358974359005</v>
      </c>
      <c r="BY106" s="13">
        <f>IF('Données projet'!$A$114&gt;35,BY105+BX106-CG105,IF(A106&lt;'Données projet'!$A$114,$BV$205^A106,IF(A106='Données projet'!$A$114,'Données projet'!$B$114,BY105+BX106-CG105)))</f>
        <v>255.70512820512829</v>
      </c>
      <c r="BZ106" s="14">
        <f>BY106*VLOOKUP('Données projet'!$B$12,Paramètres!$A$1:$I$89,3,0)*VLOOKUP('Données projet'!$B$12,Paramètres!$A$1:$I$89,5,0)</f>
        <v>243.32900000000009</v>
      </c>
      <c r="CA106" s="14">
        <f t="shared" si="93"/>
        <v>59.155205795451359</v>
      </c>
      <c r="CB106" s="22">
        <f t="shared" si="64"/>
        <v>526.82665842707786</v>
      </c>
      <c r="CC106" s="60">
        <f t="shared" si="65"/>
        <v>805.04542735684049</v>
      </c>
      <c r="CD106" s="60">
        <f ca="1">AVERAGE(OFFSET($CC$3,0,0,'Données projet'!$E$12+1,1))-AVERAGE(OFFSET($H$3,0,0,'Données projet'!$E$12+1,1))</f>
        <v>438.41611139377829</v>
      </c>
      <c r="CE106" s="60">
        <f t="shared" si="94"/>
        <v>345.17417065809605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-4.5224624045658861E-14</v>
      </c>
      <c r="CV106" s="14" t="e">
        <f t="shared" si="95"/>
        <v>#NUM!</v>
      </c>
      <c r="CW106" s="22" t="e">
        <f t="shared" si="67"/>
        <v>#NUM!</v>
      </c>
      <c r="CX106" s="60" t="e">
        <f t="shared" si="68"/>
        <v>#NUM!</v>
      </c>
      <c r="CY106" s="60">
        <f ca="1">AVERAGE(OFFSET($CX$3,0,0,'Données projet'!$E$13+1,1))-AVERAGE(OFFSET($H$3,0,0,'Données projet'!$E$13+1,1))</f>
        <v>395.27840703467933</v>
      </c>
      <c r="CZ106" s="60">
        <f t="shared" si="96"/>
        <v>364.24192380053944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-2.8421709430404007E-13</v>
      </c>
      <c r="DP106" s="18">
        <f>DO106*VLOOKUP('Données projet'!$B$14,Paramètres!$A$1:$I$89,3,0)*VLOOKUP('Données projet'!$B$14,Paramètres!$A$1:$I$89,5,0)</f>
        <v>-2.2168933355715128E-13</v>
      </c>
      <c r="DQ106" s="14" t="e">
        <f t="shared" si="97"/>
        <v>#NUM!</v>
      </c>
      <c r="DR106" s="22" t="e">
        <f t="shared" si="70"/>
        <v>#NUM!</v>
      </c>
      <c r="DS106" s="60" t="e">
        <f t="shared" si="71"/>
        <v>#NUM!</v>
      </c>
      <c r="DT106" s="60">
        <f ca="1">AVERAGE(OFFSET($DS$3,0,0,'Données projet'!$E$14+1,1))-AVERAGE(OFFSET($H$3,0,0,'Données projet'!$E$14+1,1))</f>
        <v>308.76306523144956</v>
      </c>
      <c r="DU106" s="60">
        <f t="shared" si="98"/>
        <v>283.28099819802776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3.5256410256410278</v>
      </c>
      <c r="EJ106" s="13">
        <f>IF('Données projet'!$A$192&gt;35,EJ105+EI106-ER105,IF(A106&lt;'Données projet'!$A$192,$EG$205^A106,IF(A106='Données projet'!$A$192,'Données projet'!$B$192,EJ105+EI106-ER105)))</f>
        <v>322.11538461538464</v>
      </c>
      <c r="EK106" s="18">
        <f>EJ106*VLOOKUP('Données projet'!$B$15,Paramètres!$A$1:$I$89,3,0)*VLOOKUP('Données projet'!$B$15,Paramètres!$A$1:$I$89,5,0)</f>
        <v>216.07500000000002</v>
      </c>
      <c r="EL106" s="14">
        <f t="shared" si="99"/>
        <v>53.260914639009187</v>
      </c>
      <c r="EM106" s="22">
        <f t="shared" si="73"/>
        <v>469.09338466294099</v>
      </c>
      <c r="EN106" s="60">
        <f t="shared" si="74"/>
        <v>747.31215359270368</v>
      </c>
      <c r="EO106" s="60">
        <f ca="1">AVERAGE(OFFSET($EN$3,0,0,'Données projet'!$E$15+1,1))-AVERAGE(OFFSET($H$3,0,0,'Données projet'!$E$15+1,1))</f>
        <v>375.49921531693559</v>
      </c>
      <c r="EP106" s="60">
        <f t="shared" si="100"/>
        <v>306.93934681565599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5.6843418860808015E-14</v>
      </c>
      <c r="FF106" s="18">
        <f>FE106*VLOOKUP('Données projet'!$B$16,Paramètres!$A$1:$I$89,3,0)*VLOOKUP('Données projet'!$B$16,Paramètres!$A$1:$I$89,5,0)</f>
        <v>4.6111381379887463E-14</v>
      </c>
      <c r="FG106" s="14">
        <f t="shared" si="101"/>
        <v>7.5804141040779151E-13</v>
      </c>
      <c r="FH106" s="22">
        <f t="shared" si="76"/>
        <v>1.4005661123635408E-12</v>
      </c>
      <c r="FI106" s="60">
        <f t="shared" si="77"/>
        <v>278.21876892976411</v>
      </c>
      <c r="FJ106" s="60">
        <f ca="1">AVERAGE(OFFSET($FI$3,0,0,'Données projet'!$E$16+1,1))-AVERAGE(OFFSET($H$3,0,0,'Données projet'!$E$16+1,1))</f>
        <v>308.58270639204238</v>
      </c>
      <c r="FK106" s="60">
        <f t="shared" si="102"/>
        <v>258.90832875500325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4.7</v>
      </c>
      <c r="FZ106" s="13">
        <f>IF('Données projet'!$A$244&gt;35,FZ105+FY106-GH105,IF(A106&lt;'Données projet'!$A$244,$FW$205^A106,IF(A106='Données projet'!$A$244,'Données projet'!$B$244,FZ105+FY106-GH105)))</f>
        <v>295.59999999999974</v>
      </c>
      <c r="GA106" s="18">
        <f>FZ106*VLOOKUP('Données projet'!$B$17,Paramètres!$A$1:$I$89,3,0)*VLOOKUP('Données projet'!$B$17,Paramètres!$A$1:$I$89,5,0)</f>
        <v>285.90431999999976</v>
      </c>
      <c r="GB106" s="14">
        <f t="shared" si="103"/>
        <v>68.21324199961451</v>
      </c>
      <c r="GC106" s="22">
        <f t="shared" si="79"/>
        <v>616.75475381599483</v>
      </c>
      <c r="GD106" s="60">
        <f t="shared" si="80"/>
        <v>894.97352274575746</v>
      </c>
      <c r="GE106" s="60">
        <f ca="1">AVERAGE(OFFSET($GD$3,0,0,'Données projet'!$E$17+1,1))-AVERAGE(OFFSET($H$3,0,0,'Données projet'!$E$17+1,1))</f>
        <v>495.77880062178235</v>
      </c>
      <c r="GF106" s="60">
        <f t="shared" si="104"/>
        <v>263.55891737750301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7</v>
      </c>
      <c r="N107" s="14">
        <f>IF('Données projet'!$A$36&gt;35,N106+M107-V106,IF(A107&lt;'Données projet'!$A$36,$K$205^A107,IF(A107='Données projet'!$A$36,'Données projet'!$B$36,N106+M107-V106)))</f>
        <v>427.00000000000017</v>
      </c>
      <c r="O107" s="14">
        <f>N107*VLOOKUP('Données projet'!$B$9,Paramètres!$A$1:$I$89,3,0)*VLOOKUP('Données projet'!$B$9,Paramètres!$A$1:$I$89,5,0)</f>
        <v>366.36600000000016</v>
      </c>
      <c r="P107" s="14">
        <f t="shared" si="87"/>
        <v>84.923425321755502</v>
      </c>
      <c r="Q107" s="22">
        <f t="shared" si="107"/>
        <v>785.99574910205763</v>
      </c>
      <c r="R107" s="60">
        <f t="shared" si="55"/>
        <v>1064.4767219331186</v>
      </c>
      <c r="S107" s="60">
        <f ca="1">AVERAGE(OFFSET($R$3,0,0,'Données projet'!$E$9+1,1))-AVERAGE(OFFSET($H$3,0,0,'Données projet'!$E$9+1,1))</f>
        <v>598.73855311281966</v>
      </c>
      <c r="T107" s="60">
        <f t="shared" si="88"/>
        <v>275.88160405468193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300.29999999999973</v>
      </c>
      <c r="AJ107" s="14">
        <f>AI107*VLOOKUP('Données projet'!$B$10,Paramètres!$A$1:$I$89,3,0)*VLOOKUP('Données projet'!$B$10,Paramètres!$A$1:$I$89,5,0)</f>
        <v>304.50419999999974</v>
      </c>
      <c r="AK107" s="14">
        <f t="shared" si="89"/>
        <v>72.11989627512429</v>
      </c>
      <c r="AL107" s="22">
        <f t="shared" si="58"/>
        <v>655.9536343458409</v>
      </c>
      <c r="AM107" s="60">
        <f t="shared" si="59"/>
        <v>934.43460717690186</v>
      </c>
      <c r="AN107" s="60">
        <f ca="1">AVERAGE(OFFSET($AM$3,0,0,'Données projet'!$E$10+1,1))-AVERAGE(OFFSET($H$3,0,0,'Données projet'!$E$10+1,1))</f>
        <v>515.72324585399997</v>
      </c>
      <c r="AO107" s="60">
        <f t="shared" si="90"/>
        <v>273.35778700650792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2.7134774427395314E-13</v>
      </c>
      <c r="BF107" s="14">
        <f t="shared" si="91"/>
        <v>3.6292411711343559E-12</v>
      </c>
      <c r="BG107" s="22">
        <f t="shared" si="61"/>
        <v>6.7935256943361388E-12</v>
      </c>
      <c r="BH107" s="60">
        <f t="shared" si="62"/>
        <v>278.48097283106773</v>
      </c>
      <c r="BI107" s="60">
        <f ca="1">AVERAGE(OFFSET($BH$3,0,0,'Données projet'!$E$11+1,1))-AVERAGE(OFFSET($H$3,0,0,'Données projet'!$E$11+1,1))</f>
        <v>336.25341821407534</v>
      </c>
      <c r="BJ107" s="60">
        <f t="shared" si="92"/>
        <v>360.3246221345039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0.66830334028956795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0.66830334028956795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3.3974358974359005</v>
      </c>
      <c r="BY107" s="13">
        <f>IF('Données projet'!$A$114&gt;35,BY106+BX107-CG106,IF(A107&lt;'Données projet'!$A$114,$BV$205^A107,IF(A107='Données projet'!$A$114,'Données projet'!$B$114,BY106+BX107-CG106)))</f>
        <v>259.1025641025642</v>
      </c>
      <c r="BZ107" s="14">
        <f>BY107*VLOOKUP('Données projet'!$B$12,Paramètres!$A$1:$I$89,3,0)*VLOOKUP('Données projet'!$B$12,Paramètres!$A$1:$I$89,5,0)</f>
        <v>246.5620000000001</v>
      </c>
      <c r="CA107" s="14">
        <f t="shared" si="93"/>
        <v>59.849152632434773</v>
      </c>
      <c r="CB107" s="22">
        <f t="shared" si="64"/>
        <v>533.6660908348241</v>
      </c>
      <c r="CC107" s="60">
        <f t="shared" si="65"/>
        <v>812.14706366588507</v>
      </c>
      <c r="CD107" s="60">
        <f ca="1">AVERAGE(OFFSET($CC$3,0,0,'Données projet'!$E$12+1,1))-AVERAGE(OFFSET($H$3,0,0,'Données projet'!$E$12+1,1))</f>
        <v>438.41611139377829</v>
      </c>
      <c r="CE107" s="60">
        <f t="shared" si="94"/>
        <v>345.17417065809605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-4.5224624045658861E-14</v>
      </c>
      <c r="CV107" s="14" t="e">
        <f t="shared" si="95"/>
        <v>#NUM!</v>
      </c>
      <c r="CW107" s="22" t="e">
        <f t="shared" si="67"/>
        <v>#NUM!</v>
      </c>
      <c r="CX107" s="60" t="e">
        <f t="shared" si="68"/>
        <v>#NUM!</v>
      </c>
      <c r="CY107" s="60">
        <f ca="1">AVERAGE(OFFSET($CX$3,0,0,'Données projet'!$E$13+1,1))-AVERAGE(OFFSET($H$3,0,0,'Données projet'!$E$13+1,1))</f>
        <v>395.27840703467933</v>
      </c>
      <c r="CZ107" s="60">
        <f t="shared" si="96"/>
        <v>364.24192380053944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-2.8421709430404007E-13</v>
      </c>
      <c r="DP107" s="18">
        <f>DO107*VLOOKUP('Données projet'!$B$14,Paramètres!$A$1:$I$89,3,0)*VLOOKUP('Données projet'!$B$14,Paramètres!$A$1:$I$89,5,0)</f>
        <v>-2.2168933355715128E-13</v>
      </c>
      <c r="DQ107" s="14" t="e">
        <f t="shared" si="97"/>
        <v>#NUM!</v>
      </c>
      <c r="DR107" s="22" t="e">
        <f t="shared" si="70"/>
        <v>#NUM!</v>
      </c>
      <c r="DS107" s="60" t="e">
        <f t="shared" si="71"/>
        <v>#NUM!</v>
      </c>
      <c r="DT107" s="60">
        <f ca="1">AVERAGE(OFFSET($DS$3,0,0,'Données projet'!$E$14+1,1))-AVERAGE(OFFSET($H$3,0,0,'Données projet'!$E$14+1,1))</f>
        <v>308.76306523144956</v>
      </c>
      <c r="DU107" s="60">
        <f t="shared" si="98"/>
        <v>283.28099819802776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3.5256410256410278</v>
      </c>
      <c r="EJ107" s="13">
        <f>IF('Données projet'!$A$192&gt;35,EJ106+EI107-ER106,IF(A107&lt;'Données projet'!$A$192,$EG$205^A107,IF(A107='Données projet'!$A$192,'Données projet'!$B$192,EJ106+EI107-ER106)))</f>
        <v>325.64102564102569</v>
      </c>
      <c r="EK107" s="18">
        <f>EJ107*VLOOKUP('Données projet'!$B$15,Paramètres!$A$1:$I$89,3,0)*VLOOKUP('Données projet'!$B$15,Paramètres!$A$1:$I$89,5,0)</f>
        <v>218.44000000000005</v>
      </c>
      <c r="EL107" s="14">
        <f t="shared" si="99"/>
        <v>53.775687131354402</v>
      </c>
      <c r="EM107" s="22">
        <f t="shared" si="73"/>
        <v>474.1089884204423</v>
      </c>
      <c r="EN107" s="60">
        <f t="shared" si="74"/>
        <v>752.58996125150315</v>
      </c>
      <c r="EO107" s="60">
        <f ca="1">AVERAGE(OFFSET($EN$3,0,0,'Données projet'!$E$15+1,1))-AVERAGE(OFFSET($H$3,0,0,'Données projet'!$E$15+1,1))</f>
        <v>375.49921531693559</v>
      </c>
      <c r="EP107" s="60">
        <f t="shared" si="100"/>
        <v>306.93934681565599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5.6843418860808015E-14</v>
      </c>
      <c r="FF107" s="18">
        <f>FE107*VLOOKUP('Données projet'!$B$16,Paramètres!$A$1:$I$89,3,0)*VLOOKUP('Données projet'!$B$16,Paramètres!$A$1:$I$89,5,0)</f>
        <v>4.6111381379887463E-14</v>
      </c>
      <c r="FG107" s="14">
        <f t="shared" si="101"/>
        <v>7.5804141040779151E-13</v>
      </c>
      <c r="FH107" s="22">
        <f t="shared" si="76"/>
        <v>1.4005661123635408E-12</v>
      </c>
      <c r="FI107" s="60">
        <f t="shared" si="77"/>
        <v>278.48097283106233</v>
      </c>
      <c r="FJ107" s="60">
        <f ca="1">AVERAGE(OFFSET($FI$3,0,0,'Données projet'!$E$16+1,1))-AVERAGE(OFFSET($H$3,0,0,'Données projet'!$E$16+1,1))</f>
        <v>308.58270639204238</v>
      </c>
      <c r="FK107" s="60">
        <f t="shared" si="102"/>
        <v>258.90832875500325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4.7</v>
      </c>
      <c r="FZ107" s="13">
        <f>IF('Données projet'!$A$244&gt;35,FZ106+FY107-GH106,IF(A107&lt;'Données projet'!$A$244,$FW$205^A107,IF(A107='Données projet'!$A$244,'Données projet'!$B$244,FZ106+FY107-GH106)))</f>
        <v>300.29999999999973</v>
      </c>
      <c r="GA107" s="18">
        <f>FZ107*VLOOKUP('Données projet'!$B$17,Paramètres!$A$1:$I$89,3,0)*VLOOKUP('Données projet'!$B$17,Paramètres!$A$1:$I$89,5,0)</f>
        <v>290.45015999999976</v>
      </c>
      <c r="GB107" s="14">
        <f t="shared" si="103"/>
        <v>69.170696437598821</v>
      </c>
      <c r="GC107" s="22">
        <f t="shared" si="79"/>
        <v>626.33965829548413</v>
      </c>
      <c r="GD107" s="60">
        <f t="shared" si="80"/>
        <v>904.82063112654509</v>
      </c>
      <c r="GE107" s="60">
        <f ca="1">AVERAGE(OFFSET($GD$3,0,0,'Données projet'!$E$17+1,1))-AVERAGE(OFFSET($H$3,0,0,'Données projet'!$E$17+1,1))</f>
        <v>495.77880062178235</v>
      </c>
      <c r="GF107" s="60">
        <f t="shared" si="104"/>
        <v>263.55891737750301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434</v>
      </c>
      <c r="L108" s="13">
        <f>VLOOKUP(A108,'Données projet'!$A$35:$I$55,9,0)</f>
        <v>7</v>
      </c>
      <c r="M108" s="13">
        <f t="array" ref="M108">INDEX(L:L,MIN(IF(ISNUMBER(L108:L304),ROW(L108:L304),"")))</f>
        <v>7</v>
      </c>
      <c r="N108" s="14">
        <f>IF('Données projet'!$A$36&gt;35,N107+M108-V107,IF(A108&lt;'Données projet'!$A$36,$K$205^A108,IF(A108='Données projet'!$A$36,'Données projet'!$B$36,N107+M108-V107)))</f>
        <v>434.00000000000017</v>
      </c>
      <c r="O108" s="14">
        <f>N108*VLOOKUP('Données projet'!$B$9,Paramètres!$A$1:$I$89,3,0)*VLOOKUP('Données projet'!$B$9,Paramètres!$A$1:$I$89,5,0)</f>
        <v>372.37200000000018</v>
      </c>
      <c r="P108" s="14">
        <f t="shared" si="87"/>
        <v>86.152395447503054</v>
      </c>
      <c r="Q108" s="22">
        <f t="shared" si="107"/>
        <v>798.59665540440153</v>
      </c>
      <c r="R108" s="60">
        <f t="shared" si="55"/>
        <v>1077.3352834852733</v>
      </c>
      <c r="S108" s="60">
        <f ca="1">AVERAGE(OFFSET($R$3,0,0,'Données projet'!$E$9+1,1))-AVERAGE(OFFSET($H$3,0,0,'Données projet'!$E$9+1,1))</f>
        <v>598.73855311281966</v>
      </c>
      <c r="T108" s="60">
        <f t="shared" si="88"/>
        <v>275.88160405468193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47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304.99999999999972</v>
      </c>
      <c r="AJ108" s="14">
        <f>AI108*VLOOKUP('Données projet'!$B$10,Paramètres!$A$1:$I$89,3,0)*VLOOKUP('Données projet'!$B$10,Paramètres!$A$1:$I$89,5,0)</f>
        <v>309.26999999999975</v>
      </c>
      <c r="AK108" s="14">
        <f t="shared" si="89"/>
        <v>73.116356204711025</v>
      </c>
      <c r="AL108" s="22">
        <f t="shared" si="58"/>
        <v>665.98957038987123</v>
      </c>
      <c r="AM108" s="60">
        <f t="shared" si="59"/>
        <v>944.728198470743</v>
      </c>
      <c r="AN108" s="60">
        <f ca="1">AVERAGE(OFFSET($AM$3,0,0,'Données projet'!$E$10+1,1))-AVERAGE(OFFSET($H$3,0,0,'Données projet'!$E$10+1,1))</f>
        <v>515.72324585399997</v>
      </c>
      <c r="AO108" s="60">
        <f t="shared" si="90"/>
        <v>273.35778700650792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2.7134774427395314E-13</v>
      </c>
      <c r="BF108" s="14">
        <f t="shared" si="91"/>
        <v>3.6292411711343559E-12</v>
      </c>
      <c r="BG108" s="22">
        <f t="shared" si="61"/>
        <v>6.7935256943361388E-12</v>
      </c>
      <c r="BH108" s="60">
        <f t="shared" si="62"/>
        <v>278.73862808087858</v>
      </c>
      <c r="BI108" s="60">
        <f ca="1">AVERAGE(OFFSET($BH$3,0,0,'Données projet'!$E$11+1,1))-AVERAGE(OFFSET($H$3,0,0,'Données projet'!$E$11+1,1))</f>
        <v>336.25341821407534</v>
      </c>
      <c r="BJ108" s="60">
        <f t="shared" si="92"/>
        <v>360.3246221345039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0.65002855030480444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0.65002855030480444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3.3974358974359005</v>
      </c>
      <c r="BY108" s="13">
        <f>IF('Données projet'!$A$114&gt;35,BY107+BX108-CG107,IF(A108&lt;'Données projet'!$A$114,$BV$205^A108,IF(A108='Données projet'!$A$114,'Données projet'!$B$114,BY107+BX108-CG107)))</f>
        <v>262.50000000000011</v>
      </c>
      <c r="BZ108" s="14">
        <f>BY108*VLOOKUP('Données projet'!$B$12,Paramètres!$A$1:$I$89,3,0)*VLOOKUP('Données projet'!$B$12,Paramètres!$A$1:$I$89,5,0)</f>
        <v>249.7950000000001</v>
      </c>
      <c r="CA108" s="14">
        <f t="shared" si="93"/>
        <v>60.542041092116655</v>
      </c>
      <c r="CB108" s="22">
        <f t="shared" si="64"/>
        <v>540.50367990210327</v>
      </c>
      <c r="CC108" s="60">
        <f t="shared" si="65"/>
        <v>819.24230798297503</v>
      </c>
      <c r="CD108" s="60">
        <f ca="1">AVERAGE(OFFSET($CC$3,0,0,'Données projet'!$E$12+1,1))-AVERAGE(OFFSET($H$3,0,0,'Données projet'!$E$12+1,1))</f>
        <v>438.41611139377829</v>
      </c>
      <c r="CE108" s="60">
        <f t="shared" si="94"/>
        <v>345.17417065809605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-4.5224624045658861E-14</v>
      </c>
      <c r="CV108" s="14" t="e">
        <f t="shared" si="95"/>
        <v>#NUM!</v>
      </c>
      <c r="CW108" s="22" t="e">
        <f t="shared" si="67"/>
        <v>#NUM!</v>
      </c>
      <c r="CX108" s="60" t="e">
        <f t="shared" si="68"/>
        <v>#NUM!</v>
      </c>
      <c r="CY108" s="60">
        <f ca="1">AVERAGE(OFFSET($CX$3,0,0,'Données projet'!$E$13+1,1))-AVERAGE(OFFSET($H$3,0,0,'Données projet'!$E$13+1,1))</f>
        <v>395.27840703467933</v>
      </c>
      <c r="CZ108" s="60">
        <f t="shared" si="96"/>
        <v>364.24192380053944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-2.8421709430404007E-13</v>
      </c>
      <c r="DP108" s="18">
        <f>DO108*VLOOKUP('Données projet'!$B$14,Paramètres!$A$1:$I$89,3,0)*VLOOKUP('Données projet'!$B$14,Paramètres!$A$1:$I$89,5,0)</f>
        <v>-2.2168933355715128E-13</v>
      </c>
      <c r="DQ108" s="14" t="e">
        <f t="shared" si="97"/>
        <v>#NUM!</v>
      </c>
      <c r="DR108" s="22" t="e">
        <f t="shared" si="70"/>
        <v>#NUM!</v>
      </c>
      <c r="DS108" s="60" t="e">
        <f t="shared" si="71"/>
        <v>#NUM!</v>
      </c>
      <c r="DT108" s="60">
        <f ca="1">AVERAGE(OFFSET($DS$3,0,0,'Données projet'!$E$14+1,1))-AVERAGE(OFFSET($H$3,0,0,'Données projet'!$E$14+1,1))</f>
        <v>308.76306523144956</v>
      </c>
      <c r="DU108" s="60">
        <f t="shared" si="98"/>
        <v>283.28099819802776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3.5256410256410278</v>
      </c>
      <c r="EJ108" s="13">
        <f>IF('Données projet'!$A$192&gt;35,EJ107+EI108-ER107,IF(A108&lt;'Données projet'!$A$192,$EG$205^A108,IF(A108='Données projet'!$A$192,'Données projet'!$B$192,EJ107+EI108-ER107)))</f>
        <v>329.16666666666674</v>
      </c>
      <c r="EK108" s="18">
        <f>EJ108*VLOOKUP('Données projet'!$B$15,Paramètres!$A$1:$I$89,3,0)*VLOOKUP('Données projet'!$B$15,Paramètres!$A$1:$I$89,5,0)</f>
        <v>220.80500000000004</v>
      </c>
      <c r="EL108" s="14">
        <f t="shared" si="99"/>
        <v>54.289811283972021</v>
      </c>
      <c r="EM108" s="22">
        <f t="shared" si="73"/>
        <v>479.12346298625124</v>
      </c>
      <c r="EN108" s="60">
        <f t="shared" si="74"/>
        <v>757.86209106712295</v>
      </c>
      <c r="EO108" s="60">
        <f ca="1">AVERAGE(OFFSET($EN$3,0,0,'Données projet'!$E$15+1,1))-AVERAGE(OFFSET($H$3,0,0,'Données projet'!$E$15+1,1))</f>
        <v>375.49921531693559</v>
      </c>
      <c r="EP108" s="60">
        <f t="shared" si="100"/>
        <v>306.93934681565599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5.6843418860808015E-14</v>
      </c>
      <c r="FF108" s="18">
        <f>FE108*VLOOKUP('Données projet'!$B$16,Paramètres!$A$1:$I$89,3,0)*VLOOKUP('Données projet'!$B$16,Paramètres!$A$1:$I$89,5,0)</f>
        <v>4.6111381379887463E-14</v>
      </c>
      <c r="FG108" s="14">
        <f t="shared" si="101"/>
        <v>7.5804141040779151E-13</v>
      </c>
      <c r="FH108" s="22">
        <f t="shared" si="76"/>
        <v>1.4005661123635408E-12</v>
      </c>
      <c r="FI108" s="60">
        <f t="shared" si="77"/>
        <v>278.73862808087318</v>
      </c>
      <c r="FJ108" s="60">
        <f ca="1">AVERAGE(OFFSET($FI$3,0,0,'Données projet'!$E$16+1,1))-AVERAGE(OFFSET($H$3,0,0,'Données projet'!$E$16+1,1))</f>
        <v>308.58270639204238</v>
      </c>
      <c r="FK108" s="60">
        <f t="shared" si="102"/>
        <v>258.90832875500325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305</v>
      </c>
      <c r="FX108" s="13">
        <f>VLOOKUP(A108,'Données projet'!$A$243:$I$263,9,0)</f>
        <v>4.7</v>
      </c>
      <c r="FY108" s="13">
        <f t="array" ref="FY108">INDEX(FX:FX,MIN(IF(ISNUMBER(FX108:FX304),ROW(FX108:FX304),"")))</f>
        <v>4.7</v>
      </c>
      <c r="FZ108" s="13">
        <f>IF('Données projet'!$A$244&gt;35,FZ107+FY108-GH107,IF(A108&lt;'Données projet'!$A$244,$FW$205^A108,IF(A108='Données projet'!$A$244,'Données projet'!$B$244,FZ107+FY108-GH107)))</f>
        <v>304.99999999999972</v>
      </c>
      <c r="GA108" s="18">
        <f>FZ108*VLOOKUP('Données projet'!$B$17,Paramètres!$A$1:$I$89,3,0)*VLOOKUP('Données projet'!$B$17,Paramètres!$A$1:$I$89,5,0)</f>
        <v>294.99599999999975</v>
      </c>
      <c r="GB108" s="14">
        <f t="shared" si="103"/>
        <v>70.126408118585388</v>
      </c>
      <c r="GC108" s="22">
        <f t="shared" si="79"/>
        <v>635.92152747320245</v>
      </c>
      <c r="GD108" s="60">
        <f t="shared" si="80"/>
        <v>914.66015555407421</v>
      </c>
      <c r="GE108" s="60">
        <f ca="1">AVERAGE(OFFSET($GD$3,0,0,'Données projet'!$E$17+1,1))-AVERAGE(OFFSET($H$3,0,0,'Données projet'!$E$17+1,1))</f>
        <v>495.77880062178235</v>
      </c>
      <c r="GF108" s="60">
        <f t="shared" si="104"/>
        <v>263.55891737750301</v>
      </c>
      <c r="GG108" s="16">
        <f>IF(ISNA(VLOOKUP(A108,'Données projet'!$A$243:$I$263,3,0)),0,VLOOKUP(A108,'Données projet'!$A$243:$I$263,3,0))</f>
        <v>9</v>
      </c>
      <c r="GH108" s="16">
        <f>IF(ISNA(VLOOKUP(A108,'Données projet'!$A$243:$I$263,4,0)),0,VLOOKUP(A108,'Données projet'!$A$243:$I$263,4,0))</f>
        <v>41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6.1</v>
      </c>
      <c r="N109" s="14">
        <f>IF('Données projet'!$A$36&gt;35,N108+M109-V108,IF(A109&lt;'Données projet'!$A$36,$K$205^A109,IF(A109='Données projet'!$A$36,'Données projet'!$B$36,N108+M109-V108)))</f>
        <v>393.10000000000019</v>
      </c>
      <c r="O109" s="14">
        <f>N109*VLOOKUP('Données projet'!$B$9,Paramètres!$A$1:$I$89,3,0)*VLOOKUP('Données projet'!$B$9,Paramètres!$A$1:$I$89,5,0)</f>
        <v>337.27980000000019</v>
      </c>
      <c r="P109" s="14">
        <f t="shared" si="87"/>
        <v>78.937673405468999</v>
      </c>
      <c r="Q109" s="22">
        <f t="shared" si="107"/>
        <v>724.91209951452549</v>
      </c>
      <c r="R109" s="60">
        <f t="shared" si="55"/>
        <v>1003.9039131026545</v>
      </c>
      <c r="S109" s="60">
        <f ca="1">AVERAGE(OFFSET($R$3,0,0,'Données projet'!$E$9+1,1))-AVERAGE(OFFSET($H$3,0,0,'Données projet'!$E$9+1,1))</f>
        <v>598.73855311281966</v>
      </c>
      <c r="T109" s="60">
        <f t="shared" si="88"/>
        <v>275.88160405468193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267.99999999999972</v>
      </c>
      <c r="AJ109" s="14">
        <f>AI109*VLOOKUP('Données projet'!$B$10,Paramètres!$A$1:$I$89,3,0)*VLOOKUP('Données projet'!$B$10,Paramètres!$A$1:$I$89,5,0)</f>
        <v>271.75199999999973</v>
      </c>
      <c r="AK109" s="14">
        <f t="shared" si="89"/>
        <v>65.22094782472486</v>
      </c>
      <c r="AL109" s="22">
        <f t="shared" si="58"/>
        <v>586.89455079472862</v>
      </c>
      <c r="AM109" s="60">
        <f t="shared" si="59"/>
        <v>865.88636438285766</v>
      </c>
      <c r="AN109" s="60">
        <f ca="1">AVERAGE(OFFSET($AM$3,0,0,'Données projet'!$E$10+1,1))-AVERAGE(OFFSET($H$3,0,0,'Données projet'!$E$10+1,1))</f>
        <v>515.72324585399997</v>
      </c>
      <c r="AO109" s="60">
        <f t="shared" si="90"/>
        <v>273.35778700650792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2.7134774427395314E-13</v>
      </c>
      <c r="BF109" s="14">
        <f t="shared" si="91"/>
        <v>3.6292411711343559E-12</v>
      </c>
      <c r="BG109" s="22">
        <f t="shared" si="61"/>
        <v>6.7935256943361388E-12</v>
      </c>
      <c r="BH109" s="60">
        <f t="shared" si="62"/>
        <v>278.99181358813593</v>
      </c>
      <c r="BI109" s="60">
        <f ca="1">AVERAGE(OFFSET($BH$3,0,0,'Données projet'!$E$11+1,1))-AVERAGE(OFFSET($H$3,0,0,'Données projet'!$E$11+1,1))</f>
        <v>336.25341821407534</v>
      </c>
      <c r="BJ109" s="60">
        <f t="shared" si="92"/>
        <v>360.3246221345039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0.63225348541320381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0.63225348541320381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3.3974358974359005</v>
      </c>
      <c r="BY109" s="13">
        <f>IF('Données projet'!$A$114&gt;35,BY108+BX109-CG108,IF(A109&lt;'Données projet'!$A$114,$BV$205^A109,IF(A109='Données projet'!$A$114,'Données projet'!$B$114,BY108+BX109-CG108)))</f>
        <v>265.89743589743603</v>
      </c>
      <c r="BZ109" s="14">
        <f>BY109*VLOOKUP('Données projet'!$B$12,Paramètres!$A$1:$I$89,3,0)*VLOOKUP('Données projet'!$B$12,Paramètres!$A$1:$I$89,5,0)</f>
        <v>253.02800000000013</v>
      </c>
      <c r="CA109" s="14">
        <f t="shared" si="93"/>
        <v>61.233886456476277</v>
      </c>
      <c r="CB109" s="22">
        <f t="shared" si="64"/>
        <v>547.33945224502975</v>
      </c>
      <c r="CC109" s="60">
        <f t="shared" si="65"/>
        <v>826.3312658331588</v>
      </c>
      <c r="CD109" s="60">
        <f ca="1">AVERAGE(OFFSET($CC$3,0,0,'Données projet'!$E$12+1,1))-AVERAGE(OFFSET($H$3,0,0,'Données projet'!$E$12+1,1))</f>
        <v>438.41611139377829</v>
      </c>
      <c r="CE109" s="60">
        <f t="shared" si="94"/>
        <v>345.17417065809605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-4.5224624045658861E-14</v>
      </c>
      <c r="CV109" s="14" t="e">
        <f t="shared" si="95"/>
        <v>#NUM!</v>
      </c>
      <c r="CW109" s="22" t="e">
        <f t="shared" si="67"/>
        <v>#NUM!</v>
      </c>
      <c r="CX109" s="60" t="e">
        <f t="shared" si="68"/>
        <v>#NUM!</v>
      </c>
      <c r="CY109" s="60">
        <f ca="1">AVERAGE(OFFSET($CX$3,0,0,'Données projet'!$E$13+1,1))-AVERAGE(OFFSET($H$3,0,0,'Données projet'!$E$13+1,1))</f>
        <v>395.27840703467933</v>
      </c>
      <c r="CZ109" s="60">
        <f t="shared" si="96"/>
        <v>364.24192380053944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-2.8421709430404007E-13</v>
      </c>
      <c r="DP109" s="18">
        <f>DO109*VLOOKUP('Données projet'!$B$14,Paramètres!$A$1:$I$89,3,0)*VLOOKUP('Données projet'!$B$14,Paramètres!$A$1:$I$89,5,0)</f>
        <v>-2.2168933355715128E-13</v>
      </c>
      <c r="DQ109" s="14" t="e">
        <f t="shared" si="97"/>
        <v>#NUM!</v>
      </c>
      <c r="DR109" s="22" t="e">
        <f t="shared" si="70"/>
        <v>#NUM!</v>
      </c>
      <c r="DS109" s="60" t="e">
        <f t="shared" si="71"/>
        <v>#NUM!</v>
      </c>
      <c r="DT109" s="60">
        <f ca="1">AVERAGE(OFFSET($DS$3,0,0,'Données projet'!$E$14+1,1))-AVERAGE(OFFSET($H$3,0,0,'Données projet'!$E$14+1,1))</f>
        <v>308.76306523144956</v>
      </c>
      <c r="DU109" s="60">
        <f t="shared" si="98"/>
        <v>283.28099819802776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3.5256410256410278</v>
      </c>
      <c r="EJ109" s="13">
        <f>IF('Données projet'!$A$192&gt;35,EJ108+EI109-ER108,IF(A109&lt;'Données projet'!$A$192,$EG$205^A109,IF(A109='Données projet'!$A$192,'Données projet'!$B$192,EJ108+EI109-ER108)))</f>
        <v>332.69230769230779</v>
      </c>
      <c r="EK109" s="18">
        <f>EJ109*VLOOKUP('Données projet'!$B$15,Paramètres!$A$1:$I$89,3,0)*VLOOKUP('Données projet'!$B$15,Paramètres!$A$1:$I$89,5,0)</f>
        <v>223.17000000000007</v>
      </c>
      <c r="EL109" s="14">
        <f t="shared" si="99"/>
        <v>54.80329484488135</v>
      </c>
      <c r="EM109" s="22">
        <f t="shared" si="73"/>
        <v>484.13682185483509</v>
      </c>
      <c r="EN109" s="60">
        <f t="shared" si="74"/>
        <v>763.1286354429642</v>
      </c>
      <c r="EO109" s="60">
        <f ca="1">AVERAGE(OFFSET($EN$3,0,0,'Données projet'!$E$15+1,1))-AVERAGE(OFFSET($H$3,0,0,'Données projet'!$E$15+1,1))</f>
        <v>375.49921531693559</v>
      </c>
      <c r="EP109" s="60">
        <f t="shared" si="100"/>
        <v>306.93934681565599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5.6843418860808015E-14</v>
      </c>
      <c r="FF109" s="18">
        <f>FE109*VLOOKUP('Données projet'!$B$16,Paramètres!$A$1:$I$89,3,0)*VLOOKUP('Données projet'!$B$16,Paramètres!$A$1:$I$89,5,0)</f>
        <v>4.6111381379887463E-14</v>
      </c>
      <c r="FG109" s="14">
        <f t="shared" si="101"/>
        <v>7.5804141040779151E-13</v>
      </c>
      <c r="FH109" s="22">
        <f t="shared" si="76"/>
        <v>1.4005661123635408E-12</v>
      </c>
      <c r="FI109" s="60">
        <f t="shared" si="77"/>
        <v>278.99181358813053</v>
      </c>
      <c r="FJ109" s="60">
        <f ca="1">AVERAGE(OFFSET($FI$3,0,0,'Données projet'!$E$16+1,1))-AVERAGE(OFFSET($H$3,0,0,'Données projet'!$E$16+1,1))</f>
        <v>308.58270639204238</v>
      </c>
      <c r="FK109" s="60">
        <f t="shared" si="102"/>
        <v>258.90832875500325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4</v>
      </c>
      <c r="FZ109" s="13">
        <f>IF('Données projet'!$A$244&gt;35,FZ108+FY109-GH108,IF(A109&lt;'Données projet'!$A$244,$FW$205^A109,IF(A109='Données projet'!$A$244,'Données projet'!$B$244,FZ108+FY109-GH108)))</f>
        <v>267.99999999999972</v>
      </c>
      <c r="GA109" s="18">
        <f>FZ109*VLOOKUP('Données projet'!$B$17,Paramètres!$A$1:$I$89,3,0)*VLOOKUP('Données projet'!$B$17,Paramètres!$A$1:$I$89,5,0)</f>
        <v>259.20959999999974</v>
      </c>
      <c r="GB109" s="14">
        <f t="shared" si="103"/>
        <v>62.553866774106652</v>
      </c>
      <c r="GC109" s="22">
        <f t="shared" si="79"/>
        <v>560.40470463156862</v>
      </c>
      <c r="GD109" s="60">
        <f t="shared" si="80"/>
        <v>839.39651821969778</v>
      </c>
      <c r="GE109" s="60">
        <f ca="1">AVERAGE(OFFSET($GD$3,0,0,'Données projet'!$E$17+1,1))-AVERAGE(OFFSET($H$3,0,0,'Données projet'!$E$17+1,1))</f>
        <v>495.77880062178235</v>
      </c>
      <c r="GF109" s="60">
        <f t="shared" si="104"/>
        <v>263.55891737750301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6.1</v>
      </c>
      <c r="N110" s="14">
        <f>IF('Données projet'!$A$36&gt;35,N109+M110-V109,IF(A110&lt;'Données projet'!$A$36,$K$205^A110,IF(A110='Données projet'!$A$36,'Données projet'!$B$36,N109+M110-V109)))</f>
        <v>399.20000000000022</v>
      </c>
      <c r="O110" s="14">
        <f>N110*VLOOKUP('Données projet'!$B$9,Paramètres!$A$1:$I$89,3,0)*VLOOKUP('Données projet'!$B$9,Paramètres!$A$1:$I$89,5,0)</f>
        <v>342.51360000000022</v>
      </c>
      <c r="P110" s="14">
        <f t="shared" si="87"/>
        <v>80.019049258793942</v>
      </c>
      <c r="Q110" s="22">
        <f t="shared" si="107"/>
        <v>735.91103079239974</v>
      </c>
      <c r="R110" s="60">
        <f t="shared" si="55"/>
        <v>1015.1516376852734</v>
      </c>
      <c r="S110" s="60">
        <f ca="1">AVERAGE(OFFSET($R$3,0,0,'Données projet'!$E$9+1,1))-AVERAGE(OFFSET($H$3,0,0,'Données projet'!$E$9+1,1))</f>
        <v>598.73855311281966</v>
      </c>
      <c r="T110" s="60">
        <f t="shared" si="88"/>
        <v>275.88160405468193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271.99999999999972</v>
      </c>
      <c r="AJ110" s="14">
        <f>AI110*VLOOKUP('Données projet'!$B$10,Paramètres!$A$1:$I$89,3,0)*VLOOKUP('Données projet'!$B$10,Paramètres!$A$1:$I$89,5,0)</f>
        <v>275.80799999999971</v>
      </c>
      <c r="AK110" s="14">
        <f t="shared" si="89"/>
        <v>66.080342531440593</v>
      </c>
      <c r="AL110" s="22">
        <f t="shared" si="58"/>
        <v>595.4555299089252</v>
      </c>
      <c r="AM110" s="60">
        <f t="shared" si="59"/>
        <v>874.69613680179884</v>
      </c>
      <c r="AN110" s="60">
        <f ca="1">AVERAGE(OFFSET($AM$3,0,0,'Données projet'!$E$10+1,1))-AVERAGE(OFFSET($H$3,0,0,'Données projet'!$E$10+1,1))</f>
        <v>515.72324585399997</v>
      </c>
      <c r="AO110" s="60">
        <f t="shared" si="90"/>
        <v>273.35778700650792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2.7134774427395314E-13</v>
      </c>
      <c r="BF110" s="14">
        <f t="shared" si="91"/>
        <v>3.6292411711343559E-12</v>
      </c>
      <c r="BG110" s="22">
        <f t="shared" si="61"/>
        <v>6.7935256943361388E-12</v>
      </c>
      <c r="BH110" s="60">
        <f t="shared" si="62"/>
        <v>279.24060689288046</v>
      </c>
      <c r="BI110" s="60">
        <f ca="1">AVERAGE(OFFSET($BH$3,0,0,'Données projet'!$E$11+1,1))-AVERAGE(OFFSET($H$3,0,0,'Données projet'!$E$11+1,1))</f>
        <v>336.25341821407534</v>
      </c>
      <c r="BJ110" s="60">
        <f t="shared" si="92"/>
        <v>360.3246221345039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0.61496448060581399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0.61496448060581399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3.3974358974359005</v>
      </c>
      <c r="BY110" s="13">
        <f>IF('Données projet'!$A$114&gt;35,BY109+BX110-CG109,IF(A110&lt;'Données projet'!$A$114,$BV$205^A110,IF(A110='Données projet'!$A$114,'Données projet'!$B$114,BY109+BX110-CG109)))</f>
        <v>269.29487179487194</v>
      </c>
      <c r="BZ110" s="14">
        <f>BY110*VLOOKUP('Données projet'!$B$12,Paramètres!$A$1:$I$89,3,0)*VLOOKUP('Données projet'!$B$12,Paramètres!$A$1:$I$89,5,0)</f>
        <v>256.26100000000014</v>
      </c>
      <c r="CA110" s="14">
        <f t="shared" si="93"/>
        <v>61.924703594514909</v>
      </c>
      <c r="CB110" s="22">
        <f t="shared" si="64"/>
        <v>554.1734337604471</v>
      </c>
      <c r="CC110" s="60">
        <f t="shared" si="65"/>
        <v>833.41404065332074</v>
      </c>
      <c r="CD110" s="60">
        <f ca="1">AVERAGE(OFFSET($CC$3,0,0,'Données projet'!$E$12+1,1))-AVERAGE(OFFSET($H$3,0,0,'Données projet'!$E$12+1,1))</f>
        <v>438.41611139377829</v>
      </c>
      <c r="CE110" s="60">
        <f t="shared" si="94"/>
        <v>345.17417065809605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-4.5224624045658861E-14</v>
      </c>
      <c r="CV110" s="14" t="e">
        <f t="shared" si="95"/>
        <v>#NUM!</v>
      </c>
      <c r="CW110" s="22" t="e">
        <f t="shared" si="67"/>
        <v>#NUM!</v>
      </c>
      <c r="CX110" s="60" t="e">
        <f t="shared" si="68"/>
        <v>#NUM!</v>
      </c>
      <c r="CY110" s="60">
        <f ca="1">AVERAGE(OFFSET($CX$3,0,0,'Données projet'!$E$13+1,1))-AVERAGE(OFFSET($H$3,0,0,'Données projet'!$E$13+1,1))</f>
        <v>395.27840703467933</v>
      </c>
      <c r="CZ110" s="60">
        <f t="shared" si="96"/>
        <v>364.24192380053944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-2.8421709430404007E-13</v>
      </c>
      <c r="DP110" s="18">
        <f>DO110*VLOOKUP('Données projet'!$B$14,Paramètres!$A$1:$I$89,3,0)*VLOOKUP('Données projet'!$B$14,Paramètres!$A$1:$I$89,5,0)</f>
        <v>-2.2168933355715128E-13</v>
      </c>
      <c r="DQ110" s="14" t="e">
        <f t="shared" si="97"/>
        <v>#NUM!</v>
      </c>
      <c r="DR110" s="22" t="e">
        <f t="shared" si="70"/>
        <v>#NUM!</v>
      </c>
      <c r="DS110" s="60" t="e">
        <f t="shared" si="71"/>
        <v>#NUM!</v>
      </c>
      <c r="DT110" s="60">
        <f ca="1">AVERAGE(OFFSET($DS$3,0,0,'Données projet'!$E$14+1,1))-AVERAGE(OFFSET($H$3,0,0,'Données projet'!$E$14+1,1))</f>
        <v>308.76306523144956</v>
      </c>
      <c r="DU110" s="60">
        <f t="shared" si="98"/>
        <v>283.28099819802776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3.5256410256410278</v>
      </c>
      <c r="EJ110" s="13">
        <f>IF('Données projet'!$A$192&gt;35,EJ109+EI110-ER109,IF(A110&lt;'Données projet'!$A$192,$EG$205^A110,IF(A110='Données projet'!$A$192,'Données projet'!$B$192,EJ109+EI110-ER109)))</f>
        <v>336.21794871794884</v>
      </c>
      <c r="EK110" s="18">
        <f>EJ110*VLOOKUP('Données projet'!$B$15,Paramètres!$A$1:$I$89,3,0)*VLOOKUP('Données projet'!$B$15,Paramètres!$A$1:$I$89,5,0)</f>
        <v>225.53500000000011</v>
      </c>
      <c r="EL110" s="14">
        <f t="shared" si="99"/>
        <v>55.316145388425589</v>
      </c>
      <c r="EM110" s="22">
        <f t="shared" si="73"/>
        <v>489.14907821817474</v>
      </c>
      <c r="EN110" s="60">
        <f t="shared" si="74"/>
        <v>768.38968511104838</v>
      </c>
      <c r="EO110" s="60">
        <f ca="1">AVERAGE(OFFSET($EN$3,0,0,'Données projet'!$E$15+1,1))-AVERAGE(OFFSET($H$3,0,0,'Données projet'!$E$15+1,1))</f>
        <v>375.49921531693559</v>
      </c>
      <c r="EP110" s="60">
        <f t="shared" si="100"/>
        <v>306.93934681565599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5.6843418860808015E-14</v>
      </c>
      <c r="FF110" s="18">
        <f>FE110*VLOOKUP('Données projet'!$B$16,Paramètres!$A$1:$I$89,3,0)*VLOOKUP('Données projet'!$B$16,Paramètres!$A$1:$I$89,5,0)</f>
        <v>4.6111381379887463E-14</v>
      </c>
      <c r="FG110" s="14">
        <f t="shared" si="101"/>
        <v>7.5804141040779151E-13</v>
      </c>
      <c r="FH110" s="22">
        <f t="shared" si="76"/>
        <v>1.4005661123635408E-12</v>
      </c>
      <c r="FI110" s="60">
        <f t="shared" si="77"/>
        <v>279.24060689287506</v>
      </c>
      <c r="FJ110" s="60">
        <f ca="1">AVERAGE(OFFSET($FI$3,0,0,'Données projet'!$E$16+1,1))-AVERAGE(OFFSET($H$3,0,0,'Données projet'!$E$16+1,1))</f>
        <v>308.58270639204238</v>
      </c>
      <c r="FK110" s="60">
        <f t="shared" si="102"/>
        <v>258.90832875500325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4</v>
      </c>
      <c r="FZ110" s="13">
        <f>IF('Données projet'!$A$244&gt;35,FZ109+FY110-GH109,IF(A110&lt;'Données projet'!$A$244,$FW$205^A110,IF(A110='Données projet'!$A$244,'Données projet'!$B$244,FZ109+FY110-GH109)))</f>
        <v>271.99999999999972</v>
      </c>
      <c r="GA110" s="18">
        <f>FZ110*VLOOKUP('Données projet'!$B$17,Paramètres!$A$1:$I$89,3,0)*VLOOKUP('Données projet'!$B$17,Paramètres!$A$1:$I$89,5,0)</f>
        <v>263.0783999999997</v>
      </c>
      <c r="GB110" s="14">
        <f t="shared" si="103"/>
        <v>63.378118242127854</v>
      </c>
      <c r="GC110" s="22">
        <f t="shared" si="79"/>
        <v>568.57843593837208</v>
      </c>
      <c r="GD110" s="60">
        <f t="shared" si="80"/>
        <v>847.81904283124572</v>
      </c>
      <c r="GE110" s="60">
        <f ca="1">AVERAGE(OFFSET($GD$3,0,0,'Données projet'!$E$17+1,1))-AVERAGE(OFFSET($H$3,0,0,'Données projet'!$E$17+1,1))</f>
        <v>495.77880062178235</v>
      </c>
      <c r="GF110" s="60">
        <f t="shared" si="104"/>
        <v>263.55891737750301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6.1</v>
      </c>
      <c r="N111" s="14">
        <f>IF('Données projet'!$A$36&gt;35,N110+M111-V110,IF(A111&lt;'Données projet'!$A$36,$K$205^A111,IF(A111='Données projet'!$A$36,'Données projet'!$B$36,N110+M111-V110)))</f>
        <v>405.30000000000024</v>
      </c>
      <c r="O111" s="14">
        <f>N111*VLOOKUP('Données projet'!$B$9,Paramètres!$A$1:$I$89,3,0)*VLOOKUP('Données projet'!$B$9,Paramètres!$A$1:$I$89,5,0)</f>
        <v>347.74740000000025</v>
      </c>
      <c r="P111" s="14">
        <f t="shared" si="87"/>
        <v>81.098503345491807</v>
      </c>
      <c r="Q111" s="22">
        <f t="shared" si="107"/>
        <v>746.90661499339865</v>
      </c>
      <c r="R111" s="60">
        <f t="shared" si="55"/>
        <v>1026.391699183398</v>
      </c>
      <c r="S111" s="60">
        <f ca="1">AVERAGE(OFFSET($R$3,0,0,'Données projet'!$E$9+1,1))-AVERAGE(OFFSET($H$3,0,0,'Données projet'!$E$9+1,1))</f>
        <v>598.73855311281966</v>
      </c>
      <c r="T111" s="60">
        <f t="shared" si="88"/>
        <v>275.88160405468193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275.99999999999972</v>
      </c>
      <c r="AJ111" s="14">
        <f>AI111*VLOOKUP('Données projet'!$B$10,Paramètres!$A$1:$I$89,3,0)*VLOOKUP('Données projet'!$B$10,Paramètres!$A$1:$I$89,5,0)</f>
        <v>279.86399999999975</v>
      </c>
      <c r="AK111" s="14">
        <f t="shared" si="89"/>
        <v>66.938267358965007</v>
      </c>
      <c r="AL111" s="22">
        <f t="shared" si="58"/>
        <v>604.01394898353021</v>
      </c>
      <c r="AM111" s="60">
        <f t="shared" si="59"/>
        <v>883.4990331735296</v>
      </c>
      <c r="AN111" s="60">
        <f ca="1">AVERAGE(OFFSET($AM$3,0,0,'Données projet'!$E$10+1,1))-AVERAGE(OFFSET($H$3,0,0,'Données projet'!$E$10+1,1))</f>
        <v>515.72324585399997</v>
      </c>
      <c r="AO111" s="60">
        <f t="shared" si="90"/>
        <v>273.35778700650792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2.7134774427395314E-13</v>
      </c>
      <c r="BF111" s="14">
        <f t="shared" si="91"/>
        <v>3.6292411711343559E-12</v>
      </c>
      <c r="BG111" s="22">
        <f t="shared" si="61"/>
        <v>6.7935256943361388E-12</v>
      </c>
      <c r="BH111" s="60">
        <f t="shared" si="62"/>
        <v>279.48508419000615</v>
      </c>
      <c r="BI111" s="60">
        <f ca="1">AVERAGE(OFFSET($BH$3,0,0,'Données projet'!$E$11+1,1))-AVERAGE(OFFSET($H$3,0,0,'Données projet'!$E$11+1,1))</f>
        <v>336.25341821407534</v>
      </c>
      <c r="BJ111" s="60">
        <f t="shared" si="92"/>
        <v>360.3246221345039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0.59814824454407145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0.59814824454407145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3.3974358974359005</v>
      </c>
      <c r="BY111" s="13">
        <f>IF('Données projet'!$A$114&gt;35,BY110+BX111-CG110,IF(A111&lt;'Données projet'!$A$114,$BV$205^A111,IF(A111='Données projet'!$A$114,'Données projet'!$B$114,BY110+BX111-CG110)))</f>
        <v>272.69230769230785</v>
      </c>
      <c r="BZ111" s="14">
        <f>BY111*VLOOKUP('Données projet'!$B$12,Paramètres!$A$1:$I$89,3,0)*VLOOKUP('Données projet'!$B$12,Paramètres!$A$1:$I$89,5,0)</f>
        <v>259.4940000000002</v>
      </c>
      <c r="CA111" s="14">
        <f t="shared" si="93"/>
        <v>62.614506978482915</v>
      </c>
      <c r="CB111" s="22">
        <f t="shared" si="64"/>
        <v>561.00564965419142</v>
      </c>
      <c r="CC111" s="60">
        <f t="shared" si="65"/>
        <v>840.4907338441908</v>
      </c>
      <c r="CD111" s="60">
        <f ca="1">AVERAGE(OFFSET($CC$3,0,0,'Données projet'!$E$12+1,1))-AVERAGE(OFFSET($H$3,0,0,'Données projet'!$E$12+1,1))</f>
        <v>438.41611139377829</v>
      </c>
      <c r="CE111" s="60">
        <f t="shared" si="94"/>
        <v>345.17417065809605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-4.5224624045658861E-14</v>
      </c>
      <c r="CV111" s="14" t="e">
        <f t="shared" si="95"/>
        <v>#NUM!</v>
      </c>
      <c r="CW111" s="22" t="e">
        <f t="shared" si="67"/>
        <v>#NUM!</v>
      </c>
      <c r="CX111" s="60" t="e">
        <f t="shared" si="68"/>
        <v>#NUM!</v>
      </c>
      <c r="CY111" s="60">
        <f ca="1">AVERAGE(OFFSET($CX$3,0,0,'Données projet'!$E$13+1,1))-AVERAGE(OFFSET($H$3,0,0,'Données projet'!$E$13+1,1))</f>
        <v>395.27840703467933</v>
      </c>
      <c r="CZ111" s="60">
        <f t="shared" si="96"/>
        <v>364.24192380053944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-2.8421709430404007E-13</v>
      </c>
      <c r="DP111" s="18">
        <f>DO111*VLOOKUP('Données projet'!$B$14,Paramètres!$A$1:$I$89,3,0)*VLOOKUP('Données projet'!$B$14,Paramètres!$A$1:$I$89,5,0)</f>
        <v>-2.2168933355715128E-13</v>
      </c>
      <c r="DQ111" s="14" t="e">
        <f t="shared" si="97"/>
        <v>#NUM!</v>
      </c>
      <c r="DR111" s="22" t="e">
        <f t="shared" si="70"/>
        <v>#NUM!</v>
      </c>
      <c r="DS111" s="60" t="e">
        <f t="shared" si="71"/>
        <v>#NUM!</v>
      </c>
      <c r="DT111" s="60">
        <f ca="1">AVERAGE(OFFSET($DS$3,0,0,'Données projet'!$E$14+1,1))-AVERAGE(OFFSET($H$3,0,0,'Données projet'!$E$14+1,1))</f>
        <v>308.76306523144956</v>
      </c>
      <c r="DU111" s="60">
        <f t="shared" si="98"/>
        <v>283.28099819802776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3.5256410256410278</v>
      </c>
      <c r="EJ111" s="13">
        <f>IF('Données projet'!$A$192&gt;35,EJ110+EI111-ER110,IF(A111&lt;'Données projet'!$A$192,$EG$205^A111,IF(A111='Données projet'!$A$192,'Données projet'!$B$192,EJ110+EI111-ER110)))</f>
        <v>339.74358974358989</v>
      </c>
      <c r="EK111" s="18">
        <f>EJ111*VLOOKUP('Données projet'!$B$15,Paramètres!$A$1:$I$89,3,0)*VLOOKUP('Données projet'!$B$15,Paramètres!$A$1:$I$89,5,0)</f>
        <v>227.90000000000009</v>
      </c>
      <c r="EL111" s="14">
        <f t="shared" si="99"/>
        <v>55.828370320944281</v>
      </c>
      <c r="EM111" s="22">
        <f t="shared" si="73"/>
        <v>494.16024497564467</v>
      </c>
      <c r="EN111" s="60">
        <f t="shared" si="74"/>
        <v>773.64532916564394</v>
      </c>
      <c r="EO111" s="60">
        <f ca="1">AVERAGE(OFFSET($EN$3,0,0,'Données projet'!$E$15+1,1))-AVERAGE(OFFSET($H$3,0,0,'Données projet'!$E$15+1,1))</f>
        <v>375.49921531693559</v>
      </c>
      <c r="EP111" s="60">
        <f t="shared" si="100"/>
        <v>306.93934681565599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5.6843418860808015E-14</v>
      </c>
      <c r="FF111" s="18">
        <f>FE111*VLOOKUP('Données projet'!$B$16,Paramètres!$A$1:$I$89,3,0)*VLOOKUP('Données projet'!$B$16,Paramètres!$A$1:$I$89,5,0)</f>
        <v>4.6111381379887463E-14</v>
      </c>
      <c r="FG111" s="14">
        <f t="shared" si="101"/>
        <v>7.5804141040779151E-13</v>
      </c>
      <c r="FH111" s="22">
        <f t="shared" si="76"/>
        <v>1.4005661123635408E-12</v>
      </c>
      <c r="FI111" s="60">
        <f t="shared" si="77"/>
        <v>279.48508419000075</v>
      </c>
      <c r="FJ111" s="60">
        <f ca="1">AVERAGE(OFFSET($FI$3,0,0,'Données projet'!$E$16+1,1))-AVERAGE(OFFSET($H$3,0,0,'Données projet'!$E$16+1,1))</f>
        <v>308.58270639204238</v>
      </c>
      <c r="FK111" s="60">
        <f t="shared" si="102"/>
        <v>258.90832875500325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4</v>
      </c>
      <c r="FZ111" s="13">
        <f>IF('Données projet'!$A$244&gt;35,FZ110+FY111-GH110,IF(A111&lt;'Données projet'!$A$244,$FW$205^A111,IF(A111='Données projet'!$A$244,'Données projet'!$B$244,FZ110+FY111-GH110)))</f>
        <v>275.99999999999972</v>
      </c>
      <c r="GA111" s="18">
        <f>FZ111*VLOOKUP('Données projet'!$B$17,Paramètres!$A$1:$I$89,3,0)*VLOOKUP('Données projet'!$B$17,Paramètres!$A$1:$I$89,5,0)</f>
        <v>266.94719999999973</v>
      </c>
      <c r="GB111" s="14">
        <f t="shared" si="103"/>
        <v>64.200959938746323</v>
      </c>
      <c r="GC111" s="22">
        <f t="shared" si="79"/>
        <v>576.74971189331598</v>
      </c>
      <c r="GD111" s="60">
        <f t="shared" si="80"/>
        <v>856.23479608331536</v>
      </c>
      <c r="GE111" s="60">
        <f ca="1">AVERAGE(OFFSET($GD$3,0,0,'Données projet'!$E$17+1,1))-AVERAGE(OFFSET($H$3,0,0,'Données projet'!$E$17+1,1))</f>
        <v>495.77880062178235</v>
      </c>
      <c r="GF111" s="60">
        <f t="shared" si="104"/>
        <v>263.55891737750301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6.1</v>
      </c>
      <c r="N112" s="14">
        <f>IF('Données projet'!$A$36&gt;35,N111+M112-V111,IF(A112&lt;'Données projet'!$A$36,$K$205^A112,IF(A112='Données projet'!$A$36,'Données projet'!$B$36,N111+M112-V111)))</f>
        <v>411.40000000000026</v>
      </c>
      <c r="O112" s="14">
        <f>N112*VLOOKUP('Données projet'!$B$9,Paramètres!$A$1:$I$89,3,0)*VLOOKUP('Données projet'!$B$9,Paramètres!$A$1:$I$89,5,0)</f>
        <v>352.98120000000023</v>
      </c>
      <c r="P112" s="14">
        <f t="shared" si="87"/>
        <v>82.176067930168301</v>
      </c>
      <c r="Q112" s="22">
        <f t="shared" si="107"/>
        <v>757.89890831171022</v>
      </c>
      <c r="R112" s="60">
        <f t="shared" si="55"/>
        <v>1037.6242286642996</v>
      </c>
      <c r="S112" s="60">
        <f ca="1">AVERAGE(OFFSET($R$3,0,0,'Données projet'!$E$9+1,1))-AVERAGE(OFFSET($H$3,0,0,'Données projet'!$E$9+1,1))</f>
        <v>598.73855311281966</v>
      </c>
      <c r="T112" s="60">
        <f t="shared" si="88"/>
        <v>275.88160405468193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279.99999999999972</v>
      </c>
      <c r="AJ112" s="14">
        <f>AI112*VLOOKUP('Données projet'!$B$10,Paramètres!$A$1:$I$89,3,0)*VLOOKUP('Données projet'!$B$10,Paramètres!$A$1:$I$89,5,0)</f>
        <v>283.91999999999973</v>
      </c>
      <c r="AK112" s="14">
        <f t="shared" si="89"/>
        <v>67.794746071143578</v>
      </c>
      <c r="AL112" s="22">
        <f t="shared" si="58"/>
        <v>612.56984940724124</v>
      </c>
      <c r="AM112" s="60">
        <f t="shared" si="59"/>
        <v>892.29516975983051</v>
      </c>
      <c r="AN112" s="60">
        <f ca="1">AVERAGE(OFFSET($AM$3,0,0,'Données projet'!$E$10+1,1))-AVERAGE(OFFSET($H$3,0,0,'Données projet'!$E$10+1,1))</f>
        <v>515.72324585399997</v>
      </c>
      <c r="AO112" s="60">
        <f t="shared" si="90"/>
        <v>273.35778700650792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2.7134774427395314E-13</v>
      </c>
      <c r="BF112" s="14">
        <f t="shared" si="91"/>
        <v>3.6292411711343559E-12</v>
      </c>
      <c r="BG112" s="22">
        <f t="shared" si="61"/>
        <v>6.7935256943361388E-12</v>
      </c>
      <c r="BH112" s="60">
        <f t="shared" si="62"/>
        <v>279.7253203525961</v>
      </c>
      <c r="BI112" s="60">
        <f ca="1">AVERAGE(OFFSET($BH$3,0,0,'Données projet'!$E$11+1,1))-AVERAGE(OFFSET($H$3,0,0,'Données projet'!$E$11+1,1))</f>
        <v>336.25341821407534</v>
      </c>
      <c r="BJ112" s="60">
        <f t="shared" si="92"/>
        <v>360.3246221345039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0.58179184934176476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0.58179184934176476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3.3974358974359005</v>
      </c>
      <c r="BY112" s="13">
        <f>IF('Données projet'!$A$114&gt;35,BY111+BX112-CG111,IF(A112&lt;'Données projet'!$A$114,$BV$205^A112,IF(A112='Données projet'!$A$114,'Données projet'!$B$114,BY111+BX112-CG111)))</f>
        <v>276.08974358974376</v>
      </c>
      <c r="BZ112" s="14">
        <f>BY112*VLOOKUP('Données projet'!$B$12,Paramètres!$A$1:$I$89,3,0)*VLOOKUP('Données projet'!$B$12,Paramètres!$A$1:$I$89,5,0)</f>
        <v>262.72700000000015</v>
      </c>
      <c r="CA112" s="14">
        <f t="shared" si="93"/>
        <v>63.303310699274213</v>
      </c>
      <c r="CB112" s="22">
        <f t="shared" si="64"/>
        <v>567.83612446790278</v>
      </c>
      <c r="CC112" s="60">
        <f t="shared" si="65"/>
        <v>847.56144482049206</v>
      </c>
      <c r="CD112" s="60">
        <f ca="1">AVERAGE(OFFSET($CC$3,0,0,'Données projet'!$E$12+1,1))-AVERAGE(OFFSET($H$3,0,0,'Données projet'!$E$12+1,1))</f>
        <v>438.41611139377829</v>
      </c>
      <c r="CE112" s="60">
        <f t="shared" si="94"/>
        <v>345.17417065809605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-4.5224624045658861E-14</v>
      </c>
      <c r="CV112" s="14" t="e">
        <f t="shared" si="95"/>
        <v>#NUM!</v>
      </c>
      <c r="CW112" s="22" t="e">
        <f t="shared" si="67"/>
        <v>#NUM!</v>
      </c>
      <c r="CX112" s="60" t="e">
        <f t="shared" si="68"/>
        <v>#NUM!</v>
      </c>
      <c r="CY112" s="60">
        <f ca="1">AVERAGE(OFFSET($CX$3,0,0,'Données projet'!$E$13+1,1))-AVERAGE(OFFSET($H$3,0,0,'Données projet'!$E$13+1,1))</f>
        <v>395.27840703467933</v>
      </c>
      <c r="CZ112" s="60">
        <f t="shared" si="96"/>
        <v>364.24192380053944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-2.8421709430404007E-13</v>
      </c>
      <c r="DP112" s="18">
        <f>DO112*VLOOKUP('Données projet'!$B$14,Paramètres!$A$1:$I$89,3,0)*VLOOKUP('Données projet'!$B$14,Paramètres!$A$1:$I$89,5,0)</f>
        <v>-2.2168933355715128E-13</v>
      </c>
      <c r="DQ112" s="14" t="e">
        <f t="shared" si="97"/>
        <v>#NUM!</v>
      </c>
      <c r="DR112" s="22" t="e">
        <f t="shared" si="70"/>
        <v>#NUM!</v>
      </c>
      <c r="DS112" s="60" t="e">
        <f t="shared" si="71"/>
        <v>#NUM!</v>
      </c>
      <c r="DT112" s="60">
        <f ca="1">AVERAGE(OFFSET($DS$3,0,0,'Données projet'!$E$14+1,1))-AVERAGE(OFFSET($H$3,0,0,'Données projet'!$E$14+1,1))</f>
        <v>308.76306523144956</v>
      </c>
      <c r="DU112" s="60">
        <f t="shared" si="98"/>
        <v>283.28099819802776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3.5256410256410278</v>
      </c>
      <c r="EJ112" s="13">
        <f>IF('Données projet'!$A$192&gt;35,EJ111+EI112-ER111,IF(A112&lt;'Données projet'!$A$192,$EG$205^A112,IF(A112='Données projet'!$A$192,'Données projet'!$B$192,EJ111+EI112-ER111)))</f>
        <v>343.26923076923094</v>
      </c>
      <c r="EK112" s="18">
        <f>EJ112*VLOOKUP('Données projet'!$B$15,Paramètres!$A$1:$I$89,3,0)*VLOOKUP('Données projet'!$B$15,Paramètres!$A$1:$I$89,5,0)</f>
        <v>230.26500000000013</v>
      </c>
      <c r="EL112" s="14">
        <f t="shared" si="99"/>
        <v>56.339976886203779</v>
      </c>
      <c r="EM112" s="22">
        <f t="shared" si="73"/>
        <v>499.17033474347181</v>
      </c>
      <c r="EN112" s="60">
        <f t="shared" si="74"/>
        <v>778.89565509606109</v>
      </c>
      <c r="EO112" s="60">
        <f ca="1">AVERAGE(OFFSET($EN$3,0,0,'Données projet'!$E$15+1,1))-AVERAGE(OFFSET($H$3,0,0,'Données projet'!$E$15+1,1))</f>
        <v>375.49921531693559</v>
      </c>
      <c r="EP112" s="60">
        <f t="shared" si="100"/>
        <v>306.93934681565599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5.6843418860808015E-14</v>
      </c>
      <c r="FF112" s="18">
        <f>FE112*VLOOKUP('Données projet'!$B$16,Paramètres!$A$1:$I$89,3,0)*VLOOKUP('Données projet'!$B$16,Paramètres!$A$1:$I$89,5,0)</f>
        <v>4.6111381379887463E-14</v>
      </c>
      <c r="FG112" s="14">
        <f t="shared" si="101"/>
        <v>7.5804141040779151E-13</v>
      </c>
      <c r="FH112" s="22">
        <f t="shared" si="76"/>
        <v>1.4005661123635408E-12</v>
      </c>
      <c r="FI112" s="60">
        <f t="shared" si="77"/>
        <v>279.7253203525907</v>
      </c>
      <c r="FJ112" s="60">
        <f ca="1">AVERAGE(OFFSET($FI$3,0,0,'Données projet'!$E$16+1,1))-AVERAGE(OFFSET($H$3,0,0,'Données projet'!$E$16+1,1))</f>
        <v>308.58270639204238</v>
      </c>
      <c r="FK112" s="60">
        <f t="shared" si="102"/>
        <v>258.90832875500325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4</v>
      </c>
      <c r="FZ112" s="13">
        <f>IF('Données projet'!$A$244&gt;35,FZ111+FY112-GH111,IF(A112&lt;'Données projet'!$A$244,$FW$205^A112,IF(A112='Données projet'!$A$244,'Données projet'!$B$244,FZ111+FY112-GH111)))</f>
        <v>279.99999999999972</v>
      </c>
      <c r="GA112" s="18">
        <f>FZ112*VLOOKUP('Données projet'!$B$17,Paramètres!$A$1:$I$89,3,0)*VLOOKUP('Données projet'!$B$17,Paramètres!$A$1:$I$89,5,0)</f>
        <v>270.81599999999975</v>
      </c>
      <c r="GB112" s="14">
        <f t="shared" si="103"/>
        <v>65.022414656032254</v>
      </c>
      <c r="GC112" s="22">
        <f t="shared" si="79"/>
        <v>584.91857219258907</v>
      </c>
      <c r="GD112" s="60">
        <f t="shared" si="80"/>
        <v>864.64389254517835</v>
      </c>
      <c r="GE112" s="60">
        <f ca="1">AVERAGE(OFFSET($GD$3,0,0,'Données projet'!$E$17+1,1))-AVERAGE(OFFSET($H$3,0,0,'Données projet'!$E$17+1,1))</f>
        <v>495.77880062178235</v>
      </c>
      <c r="GF112" s="60">
        <f t="shared" si="104"/>
        <v>263.55891737750301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6.1</v>
      </c>
      <c r="N113" s="14">
        <f>IF('Données projet'!$A$36&gt;35,N112+M113-V112,IF(A113&lt;'Données projet'!$A$36,$K$205^A113,IF(A113='Données projet'!$A$36,'Données projet'!$B$36,N112+M113-V112)))</f>
        <v>417.50000000000028</v>
      </c>
      <c r="O113" s="14">
        <f>N113*VLOOKUP('Données projet'!$B$9,Paramètres!$A$1:$I$89,3,0)*VLOOKUP('Données projet'!$B$9,Paramètres!$A$1:$I$89,5,0)</f>
        <v>358.21500000000026</v>
      </c>
      <c r="P113" s="14">
        <f t="shared" si="87"/>
        <v>83.251774265704142</v>
      </c>
      <c r="Q113" s="22">
        <f t="shared" si="107"/>
        <v>768.88796517943513</v>
      </c>
      <c r="R113" s="60">
        <f t="shared" si="55"/>
        <v>1048.8493541342809</v>
      </c>
      <c r="S113" s="60">
        <f ca="1">AVERAGE(OFFSET($R$3,0,0,'Données projet'!$E$9+1,1))-AVERAGE(OFFSET($H$3,0,0,'Données projet'!$E$9+1,1))</f>
        <v>598.73855311281966</v>
      </c>
      <c r="T113" s="60">
        <f t="shared" si="88"/>
        <v>275.88160405468193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283.99999999999972</v>
      </c>
      <c r="AJ113" s="14">
        <f>AI113*VLOOKUP('Données projet'!$B$10,Paramètres!$A$1:$I$89,3,0)*VLOOKUP('Données projet'!$B$10,Paramètres!$A$1:$I$89,5,0)</f>
        <v>287.97599999999971</v>
      </c>
      <c r="AK113" s="14">
        <f t="shared" si="89"/>
        <v>68.649801713863084</v>
      </c>
      <c r="AL113" s="22">
        <f t="shared" si="58"/>
        <v>621.12327131831091</v>
      </c>
      <c r="AM113" s="60">
        <f t="shared" si="59"/>
        <v>901.08466027315671</v>
      </c>
      <c r="AN113" s="60">
        <f ca="1">AVERAGE(OFFSET($AM$3,0,0,'Données projet'!$E$10+1,1))-AVERAGE(OFFSET($H$3,0,0,'Données projet'!$E$10+1,1))</f>
        <v>515.72324585399997</v>
      </c>
      <c r="AO113" s="60">
        <f t="shared" si="90"/>
        <v>273.35778700650792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2.7134774427395314E-13</v>
      </c>
      <c r="BF113" s="14">
        <f t="shared" si="91"/>
        <v>3.6292411711343559E-12</v>
      </c>
      <c r="BG113" s="22">
        <f t="shared" si="61"/>
        <v>6.7935256943361388E-12</v>
      </c>
      <c r="BH113" s="60">
        <f t="shared" si="62"/>
        <v>279.96138895485268</v>
      </c>
      <c r="BI113" s="60">
        <f ca="1">AVERAGE(OFFSET($BH$3,0,0,'Données projet'!$E$11+1,1))-AVERAGE(OFFSET($H$3,0,0,'Données projet'!$E$11+1,1))</f>
        <v>336.25341821407534</v>
      </c>
      <c r="BJ113" s="60">
        <f t="shared" si="92"/>
        <v>360.3246221345039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0.56588272062641054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0.56588272062641054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279.4871794871795</v>
      </c>
      <c r="BW113" s="13">
        <f>VLOOKUP(A113,'Données projet'!$A$113:$I$133,9,0)</f>
        <v>3.3974358974359005</v>
      </c>
      <c r="BX113" s="13">
        <f t="array" ref="BX113">INDEX(BW:BW,MIN(IF(ISNUMBER(BW113:BW309),ROW(BW113:BW309),"")))</f>
        <v>3.3974358974359005</v>
      </c>
      <c r="BY113" s="13">
        <f>IF('Données projet'!$A$114&gt;35,BY112+BX113-CG112,IF(A113&lt;'Données projet'!$A$114,$BV$205^A113,IF(A113='Données projet'!$A$114,'Données projet'!$B$114,BY112+BX113-CG112)))</f>
        <v>279.48717948717967</v>
      </c>
      <c r="BZ113" s="14">
        <f>BY113*VLOOKUP('Données projet'!$B$12,Paramètres!$A$1:$I$89,3,0)*VLOOKUP('Données projet'!$B$12,Paramètres!$A$1:$I$89,5,0)</f>
        <v>265.96000000000015</v>
      </c>
      <c r="CA113" s="14">
        <f t="shared" si="93"/>
        <v>63.991128481042374</v>
      </c>
      <c r="CB113" s="22">
        <f t="shared" si="64"/>
        <v>574.66488210448233</v>
      </c>
      <c r="CC113" s="60">
        <f t="shared" si="65"/>
        <v>854.62627105932825</v>
      </c>
      <c r="CD113" s="60">
        <f ca="1">AVERAGE(OFFSET($CC$3,0,0,'Données projet'!$E$12+1,1))-AVERAGE(OFFSET($H$3,0,0,'Données projet'!$E$12+1,1))</f>
        <v>438.41611139377829</v>
      </c>
      <c r="CE113" s="60">
        <f t="shared" si="94"/>
        <v>345.17417065809605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-4.5224624045658861E-14</v>
      </c>
      <c r="CV113" s="14" t="e">
        <f t="shared" si="95"/>
        <v>#NUM!</v>
      </c>
      <c r="CW113" s="22" t="e">
        <f t="shared" si="67"/>
        <v>#NUM!</v>
      </c>
      <c r="CX113" s="60" t="e">
        <f t="shared" si="68"/>
        <v>#NUM!</v>
      </c>
      <c r="CY113" s="60">
        <f ca="1">AVERAGE(OFFSET($CX$3,0,0,'Données projet'!$E$13+1,1))-AVERAGE(OFFSET($H$3,0,0,'Données projet'!$E$13+1,1))</f>
        <v>395.27840703467933</v>
      </c>
      <c r="CZ113" s="60">
        <f t="shared" si="96"/>
        <v>364.24192380053944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-2.8421709430404007E-13</v>
      </c>
      <c r="DP113" s="18">
        <f>DO113*VLOOKUP('Données projet'!$B$14,Paramètres!$A$1:$I$89,3,0)*VLOOKUP('Données projet'!$B$14,Paramètres!$A$1:$I$89,5,0)</f>
        <v>-2.2168933355715128E-13</v>
      </c>
      <c r="DQ113" s="14" t="e">
        <f t="shared" si="97"/>
        <v>#NUM!</v>
      </c>
      <c r="DR113" s="22" t="e">
        <f t="shared" si="70"/>
        <v>#NUM!</v>
      </c>
      <c r="DS113" s="60" t="e">
        <f t="shared" si="71"/>
        <v>#NUM!</v>
      </c>
      <c r="DT113" s="60">
        <f ca="1">AVERAGE(OFFSET($DS$3,0,0,'Données projet'!$E$14+1,1))-AVERAGE(OFFSET($H$3,0,0,'Données projet'!$E$14+1,1))</f>
        <v>308.76306523144956</v>
      </c>
      <c r="DU113" s="60">
        <f t="shared" si="98"/>
        <v>283.28099819802776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346.79487179487177</v>
      </c>
      <c r="EH113" s="13">
        <f>VLOOKUP(A113,'Données projet'!$A$191:$I$211,9,0)</f>
        <v>3.5256410256410278</v>
      </c>
      <c r="EI113" s="13">
        <f t="array" ref="EI113">INDEX(EH:EH,MIN(IF(ISNUMBER(EH113:EH309),ROW(EH113:EH309),"")))</f>
        <v>3.5256410256410278</v>
      </c>
      <c r="EJ113" s="13">
        <f>IF('Données projet'!$A$192&gt;35,EJ112+EI113-ER112,IF(A113&lt;'Données projet'!$A$192,$EG$205^A113,IF(A113='Données projet'!$A$192,'Données projet'!$B$192,EJ112+EI113-ER112)))</f>
        <v>346.79487179487199</v>
      </c>
      <c r="EK113" s="18">
        <f>EJ113*VLOOKUP('Données projet'!$B$15,Paramètres!$A$1:$I$89,3,0)*VLOOKUP('Données projet'!$B$15,Paramètres!$A$1:$I$89,5,0)</f>
        <v>232.63000000000014</v>
      </c>
      <c r="EL113" s="14">
        <f t="shared" si="99"/>
        <v>56.850972170598048</v>
      </c>
      <c r="EM113" s="22">
        <f t="shared" si="73"/>
        <v>504.17935986379183</v>
      </c>
      <c r="EN113" s="60">
        <f t="shared" si="74"/>
        <v>784.14074881863769</v>
      </c>
      <c r="EO113" s="60">
        <f ca="1">AVERAGE(OFFSET($EN$3,0,0,'Données projet'!$E$15+1,1))-AVERAGE(OFFSET($H$3,0,0,'Données projet'!$E$15+1,1))</f>
        <v>375.49921531693559</v>
      </c>
      <c r="EP113" s="60">
        <f t="shared" si="100"/>
        <v>306.93934681565599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346.79487179487177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5.6843418860808015E-14</v>
      </c>
      <c r="FF113" s="18">
        <f>FE113*VLOOKUP('Données projet'!$B$16,Paramètres!$A$1:$I$89,3,0)*VLOOKUP('Données projet'!$B$16,Paramètres!$A$1:$I$89,5,0)</f>
        <v>4.6111381379887463E-14</v>
      </c>
      <c r="FG113" s="14">
        <f t="shared" si="101"/>
        <v>7.5804141040779151E-13</v>
      </c>
      <c r="FH113" s="22">
        <f t="shared" si="76"/>
        <v>1.4005661123635408E-12</v>
      </c>
      <c r="FI113" s="60">
        <f t="shared" si="77"/>
        <v>279.96138895484728</v>
      </c>
      <c r="FJ113" s="60">
        <f ca="1">AVERAGE(OFFSET($FI$3,0,0,'Données projet'!$E$16+1,1))-AVERAGE(OFFSET($H$3,0,0,'Données projet'!$E$16+1,1))</f>
        <v>308.58270639204238</v>
      </c>
      <c r="FK113" s="60">
        <f t="shared" si="102"/>
        <v>258.90832875500325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4</v>
      </c>
      <c r="FZ113" s="13">
        <f>IF('Données projet'!$A$244&gt;35,FZ112+FY113-GH112,IF(A113&lt;'Données projet'!$A$244,$FW$205^A113,IF(A113='Données projet'!$A$244,'Données projet'!$B$244,FZ112+FY113-GH112)))</f>
        <v>283.99999999999972</v>
      </c>
      <c r="GA113" s="18">
        <f>FZ113*VLOOKUP('Données projet'!$B$17,Paramètres!$A$1:$I$89,3,0)*VLOOKUP('Données projet'!$B$17,Paramètres!$A$1:$I$89,5,0)</f>
        <v>274.68479999999971</v>
      </c>
      <c r="GB113" s="14">
        <f t="shared" si="103"/>
        <v>65.842504497456602</v>
      </c>
      <c r="GC113" s="22">
        <f t="shared" si="79"/>
        <v>593.0850553330697</v>
      </c>
      <c r="GD113" s="60">
        <f t="shared" si="80"/>
        <v>873.04644428791562</v>
      </c>
      <c r="GE113" s="60">
        <f ca="1">AVERAGE(OFFSET($GD$3,0,0,'Données projet'!$E$17+1,1))-AVERAGE(OFFSET($H$3,0,0,'Données projet'!$E$17+1,1))</f>
        <v>495.77880062178235</v>
      </c>
      <c r="GF113" s="60">
        <f t="shared" si="104"/>
        <v>263.55891737750301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6.1</v>
      </c>
      <c r="N114" s="14">
        <f>IF('Données projet'!$A$36&gt;35,N113+M114-V113,IF(A114&lt;'Données projet'!$A$36,$K$205^A114,IF(A114='Données projet'!$A$36,'Données projet'!$B$36,N113+M114-V113)))</f>
        <v>423.60000000000031</v>
      </c>
      <c r="O114" s="14">
        <f>N114*VLOOKUP('Données projet'!$B$9,Paramètres!$A$1:$I$89,3,0)*VLOOKUP('Données projet'!$B$9,Paramètres!$A$1:$I$89,5,0)</f>
        <v>363.44880000000029</v>
      </c>
      <c r="P114" s="14">
        <f t="shared" si="87"/>
        <v>84.325652639289402</v>
      </c>
      <c r="Q114" s="22">
        <f t="shared" si="107"/>
        <v>779.87383834676268</v>
      </c>
      <c r="R114" s="60">
        <f t="shared" si="55"/>
        <v>1060.0672006413863</v>
      </c>
      <c r="S114" s="60">
        <f ca="1">AVERAGE(OFFSET($R$3,0,0,'Données projet'!$E$9+1,1))-AVERAGE(OFFSET($H$3,0,0,'Données projet'!$E$9+1,1))</f>
        <v>598.73855311281966</v>
      </c>
      <c r="T114" s="60">
        <f t="shared" si="88"/>
        <v>275.88160405468193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287.99999999999972</v>
      </c>
      <c r="AJ114" s="14">
        <f>AI114*VLOOKUP('Données projet'!$B$10,Paramètres!$A$1:$I$89,3,0)*VLOOKUP('Données projet'!$B$10,Paramètres!$A$1:$I$89,5,0)</f>
        <v>292.0319999999997</v>
      </c>
      <c r="AK114" s="14">
        <f t="shared" si="89"/>
        <v>69.503456646543242</v>
      </c>
      <c r="AL114" s="22">
        <f t="shared" si="58"/>
        <v>629.6742536593955</v>
      </c>
      <c r="AM114" s="60">
        <f t="shared" si="59"/>
        <v>909.86761595401913</v>
      </c>
      <c r="AN114" s="60">
        <f ca="1">AVERAGE(OFFSET($AM$3,0,0,'Données projet'!$E$10+1,1))-AVERAGE(OFFSET($H$3,0,0,'Données projet'!$E$10+1,1))</f>
        <v>515.72324585399997</v>
      </c>
      <c r="AO114" s="60">
        <f t="shared" si="90"/>
        <v>273.35778700650792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2.7134774427395314E-13</v>
      </c>
      <c r="BF114" s="14">
        <f t="shared" si="91"/>
        <v>3.6292411711343559E-12</v>
      </c>
      <c r="BG114" s="22">
        <f t="shared" si="61"/>
        <v>6.7935256943361388E-12</v>
      </c>
      <c r="BH114" s="60">
        <f t="shared" si="62"/>
        <v>280.19336229463039</v>
      </c>
      <c r="BI114" s="60">
        <f ca="1">AVERAGE(OFFSET($BH$3,0,0,'Données projet'!$E$11+1,1))-AVERAGE(OFFSET($H$3,0,0,'Données projet'!$E$11+1,1))</f>
        <v>336.25341821407534</v>
      </c>
      <c r="BJ114" s="60">
        <f t="shared" si="92"/>
        <v>360.3246221345039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0.55040862787240241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0.55040862787240241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3.141025641025641</v>
      </c>
      <c r="BY114" s="13">
        <f>IF('Données projet'!$A$114&gt;35,BY113+BX114-CG113,IF(A114&lt;'Données projet'!$A$114,$BV$205^A114,IF(A114='Données projet'!$A$114,'Données projet'!$B$114,BY113+BX114-CG113)))</f>
        <v>257.62820512820531</v>
      </c>
      <c r="BZ114" s="14">
        <f>BY114*VLOOKUP('Données projet'!$B$12,Paramètres!$A$1:$I$89,3,0)*VLOOKUP('Données projet'!$B$12,Paramètres!$A$1:$I$89,5,0)</f>
        <v>245.15900000000016</v>
      </c>
      <c r="CA114" s="14">
        <f t="shared" si="93"/>
        <v>59.548136793550292</v>
      </c>
      <c r="CB114" s="22">
        <f t="shared" si="64"/>
        <v>530.69826324876692</v>
      </c>
      <c r="CC114" s="60">
        <f t="shared" si="65"/>
        <v>810.89162554339055</v>
      </c>
      <c r="CD114" s="60">
        <f ca="1">AVERAGE(OFFSET($CC$3,0,0,'Données projet'!$E$12+1,1))-AVERAGE(OFFSET($H$3,0,0,'Données projet'!$E$12+1,1))</f>
        <v>438.41611139377829</v>
      </c>
      <c r="CE114" s="60">
        <f t="shared" si="94"/>
        <v>345.17417065809605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-4.5224624045658861E-14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395.27840703467933</v>
      </c>
      <c r="CZ114" s="60">
        <f t="shared" si="96"/>
        <v>364.24192380053944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-2.8421709430404007E-13</v>
      </c>
      <c r="DP114" s="18">
        <f>DO114*VLOOKUP('Données projet'!$B$14,Paramètres!$A$1:$I$89,3,0)*VLOOKUP('Données projet'!$B$14,Paramètres!$A$1:$I$89,5,0)</f>
        <v>-2.2168933355715128E-13</v>
      </c>
      <c r="DQ114" s="14" t="e">
        <f t="shared" si="97"/>
        <v>#NUM!</v>
      </c>
      <c r="DR114" s="22" t="e">
        <f t="shared" si="70"/>
        <v>#NUM!</v>
      </c>
      <c r="DS114" s="60" t="e">
        <f t="shared" si="71"/>
        <v>#NUM!</v>
      </c>
      <c r="DT114" s="60">
        <f ca="1">AVERAGE(OFFSET($DS$3,0,0,'Données projet'!$E$14+1,1))-AVERAGE(OFFSET($H$3,0,0,'Données projet'!$E$14+1,1))</f>
        <v>308.76306523144956</v>
      </c>
      <c r="DU114" s="60">
        <f t="shared" si="98"/>
        <v>283.28099819802776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2.2737367544323206E-13</v>
      </c>
      <c r="EK114" s="18">
        <f>EJ114*VLOOKUP('Données projet'!$B$15,Paramètres!$A$1:$I$89,3,0)*VLOOKUP('Données projet'!$B$15,Paramètres!$A$1:$I$89,5,0)</f>
        <v>1.5252226148732008E-13</v>
      </c>
      <c r="EL114" s="14">
        <f t="shared" si="99"/>
        <v>2.1814502464536512E-12</v>
      </c>
      <c r="EM114" s="22">
        <f t="shared" si="73"/>
        <v>4.0650021179971913E-12</v>
      </c>
      <c r="EN114" s="60">
        <f t="shared" si="74"/>
        <v>280.19336229462766</v>
      </c>
      <c r="EO114" s="60">
        <f ca="1">AVERAGE(OFFSET($EN$3,0,0,'Données projet'!$E$15+1,1))-AVERAGE(OFFSET($H$3,0,0,'Données projet'!$E$15+1,1))</f>
        <v>375.49921531693559</v>
      </c>
      <c r="EP114" s="60">
        <f t="shared" si="100"/>
        <v>306.93934681565599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5.6843418860808015E-14</v>
      </c>
      <c r="FF114" s="18">
        <f>FE114*VLOOKUP('Données projet'!$B$16,Paramètres!$A$1:$I$89,3,0)*VLOOKUP('Données projet'!$B$16,Paramètres!$A$1:$I$89,5,0)</f>
        <v>4.6111381379887463E-14</v>
      </c>
      <c r="FG114" s="14">
        <f t="shared" si="101"/>
        <v>7.5804141040779151E-13</v>
      </c>
      <c r="FH114" s="22">
        <f t="shared" si="76"/>
        <v>1.4005661123635408E-12</v>
      </c>
      <c r="FI114" s="60">
        <f t="shared" si="77"/>
        <v>280.19336229462499</v>
      </c>
      <c r="FJ114" s="60">
        <f ca="1">AVERAGE(OFFSET($FI$3,0,0,'Données projet'!$E$16+1,1))-AVERAGE(OFFSET($H$3,0,0,'Données projet'!$E$16+1,1))</f>
        <v>308.58270639204238</v>
      </c>
      <c r="FK114" s="60">
        <f t="shared" si="102"/>
        <v>258.90832875500325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4</v>
      </c>
      <c r="FZ114" s="13">
        <f>IF('Données projet'!$A$244&gt;35,FZ113+FY114-GH113,IF(A114&lt;'Données projet'!$A$244,$FW$205^A114,IF(A114='Données projet'!$A$244,'Données projet'!$B$244,FZ113+FY114-GH113)))</f>
        <v>287.99999999999972</v>
      </c>
      <c r="GA114" s="18">
        <f>FZ114*VLOOKUP('Données projet'!$B$17,Paramètres!$A$1:$I$89,3,0)*VLOOKUP('Données projet'!$B$17,Paramètres!$A$1:$I$89,5,0)</f>
        <v>278.55359999999973</v>
      </c>
      <c r="GB114" s="14">
        <f t="shared" si="103"/>
        <v>66.661250908095099</v>
      </c>
      <c r="GC114" s="22">
        <f t="shared" si="79"/>
        <v>601.24919866493178</v>
      </c>
      <c r="GD114" s="60">
        <f t="shared" si="80"/>
        <v>881.44256095955529</v>
      </c>
      <c r="GE114" s="60">
        <f ca="1">AVERAGE(OFFSET($GD$3,0,0,'Données projet'!$E$17+1,1))-AVERAGE(OFFSET($H$3,0,0,'Données projet'!$E$17+1,1))</f>
        <v>495.77880062178235</v>
      </c>
      <c r="GF114" s="60">
        <f t="shared" si="104"/>
        <v>263.55891737750301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6.1</v>
      </c>
      <c r="N115" s="14">
        <f>IF('Données projet'!$A$36&gt;35,N114+M115-V114,IF(A115&lt;'Données projet'!$A$36,$K$205^A115,IF(A115='Données projet'!$A$36,'Données projet'!$B$36,N114+M115-V114)))</f>
        <v>429.70000000000033</v>
      </c>
      <c r="O115" s="14">
        <f>N115*VLOOKUP('Données projet'!$B$9,Paramètres!$A$1:$I$89,3,0)*VLOOKUP('Données projet'!$B$9,Paramètres!$A$1:$I$89,5,0)</f>
        <v>368.68260000000032</v>
      </c>
      <c r="P115" s="14">
        <f t="shared" si="87"/>
        <v>85.397732415730985</v>
      </c>
      <c r="Q115" s="22">
        <f t="shared" si="107"/>
        <v>790.8565789573986</v>
      </c>
      <c r="R115" s="60">
        <f t="shared" si="55"/>
        <v>1071.2778903729695</v>
      </c>
      <c r="S115" s="60">
        <f ca="1">AVERAGE(OFFSET($R$3,0,0,'Données projet'!$E$9+1,1))-AVERAGE(OFFSET($H$3,0,0,'Données projet'!$E$9+1,1))</f>
        <v>598.73855311281966</v>
      </c>
      <c r="T115" s="60">
        <f t="shared" si="88"/>
        <v>275.88160405468193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291.99999999999972</v>
      </c>
      <c r="AJ115" s="14">
        <f>AI115*VLOOKUP('Données projet'!$B$10,Paramètres!$A$1:$I$89,3,0)*VLOOKUP('Données projet'!$B$10,Paramètres!$A$1:$I$89,5,0)</f>
        <v>296.08799999999974</v>
      </c>
      <c r="AK115" s="14">
        <f t="shared" si="89"/>
        <v>70.35573257182898</v>
      </c>
      <c r="AL115" s="22">
        <f t="shared" si="58"/>
        <v>638.2228342292683</v>
      </c>
      <c r="AM115" s="60">
        <f t="shared" si="59"/>
        <v>918.64414564483923</v>
      </c>
      <c r="AN115" s="60">
        <f ca="1">AVERAGE(OFFSET($AM$3,0,0,'Données projet'!$E$10+1,1))-AVERAGE(OFFSET($H$3,0,0,'Données projet'!$E$10+1,1))</f>
        <v>515.72324585399997</v>
      </c>
      <c r="AO115" s="60">
        <f t="shared" si="90"/>
        <v>273.35778700650792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2.7134774427395314E-13</v>
      </c>
      <c r="BF115" s="14">
        <f t="shared" si="91"/>
        <v>3.6292411711343559E-12</v>
      </c>
      <c r="BG115" s="22">
        <f t="shared" si="61"/>
        <v>6.7935256943361388E-12</v>
      </c>
      <c r="BH115" s="60">
        <f t="shared" si="62"/>
        <v>280.42131141557769</v>
      </c>
      <c r="BI115" s="60">
        <f ca="1">AVERAGE(OFFSET($BH$3,0,0,'Données projet'!$E$11+1,1))-AVERAGE(OFFSET($H$3,0,0,'Données projet'!$E$11+1,1))</f>
        <v>336.25341821407534</v>
      </c>
      <c r="BJ115" s="60">
        <f t="shared" si="92"/>
        <v>360.3246221345039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0.53535767499849984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0.53535767499849984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3.141025641025641</v>
      </c>
      <c r="BY115" s="13">
        <f>IF('Données projet'!$A$114&gt;35,BY114+BX115-CG114,IF(A115&lt;'Données projet'!$A$114,$BV$205^A115,IF(A115='Données projet'!$A$114,'Données projet'!$B$114,BY114+BX115-CG114)))</f>
        <v>260.76923076923094</v>
      </c>
      <c r="BZ115" s="14">
        <f>BY115*VLOOKUP('Données projet'!$B$12,Paramètres!$A$1:$I$89,3,0)*VLOOKUP('Données projet'!$B$12,Paramètres!$A$1:$I$89,5,0)</f>
        <v>248.14800000000017</v>
      </c>
      <c r="CA115" s="14">
        <f t="shared" si="93"/>
        <v>60.189191470108021</v>
      </c>
      <c r="CB115" s="22">
        <f t="shared" si="64"/>
        <v>537.02060847710504</v>
      </c>
      <c r="CC115" s="60">
        <f t="shared" si="65"/>
        <v>817.44191989267597</v>
      </c>
      <c r="CD115" s="60">
        <f ca="1">AVERAGE(OFFSET($CC$3,0,0,'Données projet'!$E$12+1,1))-AVERAGE(OFFSET($H$3,0,0,'Données projet'!$E$12+1,1))</f>
        <v>438.41611139377829</v>
      </c>
      <c r="CE115" s="60">
        <f t="shared" si="94"/>
        <v>345.17417065809605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-4.5224624045658861E-14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395.27840703467933</v>
      </c>
      <c r="CZ115" s="60">
        <f t="shared" si="96"/>
        <v>364.24192380053944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-2.8421709430404007E-13</v>
      </c>
      <c r="DP115" s="18">
        <f>DO115*VLOOKUP('Données projet'!$B$14,Paramètres!$A$1:$I$89,3,0)*VLOOKUP('Données projet'!$B$14,Paramètres!$A$1:$I$89,5,0)</f>
        <v>-2.2168933355715128E-13</v>
      </c>
      <c r="DQ115" s="14" t="e">
        <f t="shared" si="97"/>
        <v>#NUM!</v>
      </c>
      <c r="DR115" s="22" t="e">
        <f t="shared" si="70"/>
        <v>#NUM!</v>
      </c>
      <c r="DS115" s="60" t="e">
        <f t="shared" si="71"/>
        <v>#NUM!</v>
      </c>
      <c r="DT115" s="60">
        <f ca="1">AVERAGE(OFFSET($DS$3,0,0,'Données projet'!$E$14+1,1))-AVERAGE(OFFSET($H$3,0,0,'Données projet'!$E$14+1,1))</f>
        <v>308.76306523144956</v>
      </c>
      <c r="DU115" s="60">
        <f t="shared" si="98"/>
        <v>283.28099819802776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2.2737367544323206E-13</v>
      </c>
      <c r="EK115" s="18">
        <f>EJ115*VLOOKUP('Données projet'!$B$15,Paramètres!$A$1:$I$89,3,0)*VLOOKUP('Données projet'!$B$15,Paramètres!$A$1:$I$89,5,0)</f>
        <v>1.5252226148732008E-13</v>
      </c>
      <c r="EL115" s="14">
        <f t="shared" si="99"/>
        <v>2.1814502464536512E-12</v>
      </c>
      <c r="EM115" s="22">
        <f t="shared" si="73"/>
        <v>4.0650021179971913E-12</v>
      </c>
      <c r="EN115" s="60">
        <f t="shared" si="74"/>
        <v>280.42131141557496</v>
      </c>
      <c r="EO115" s="60">
        <f ca="1">AVERAGE(OFFSET($EN$3,0,0,'Données projet'!$E$15+1,1))-AVERAGE(OFFSET($H$3,0,0,'Données projet'!$E$15+1,1))</f>
        <v>375.49921531693559</v>
      </c>
      <c r="EP115" s="60">
        <f t="shared" si="100"/>
        <v>306.93934681565599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5.6843418860808015E-14</v>
      </c>
      <c r="FF115" s="18">
        <f>FE115*VLOOKUP('Données projet'!$B$16,Paramètres!$A$1:$I$89,3,0)*VLOOKUP('Données projet'!$B$16,Paramètres!$A$1:$I$89,5,0)</f>
        <v>4.6111381379887463E-14</v>
      </c>
      <c r="FG115" s="14">
        <f t="shared" si="101"/>
        <v>7.5804141040779151E-13</v>
      </c>
      <c r="FH115" s="22">
        <f t="shared" si="76"/>
        <v>1.4005661123635408E-12</v>
      </c>
      <c r="FI115" s="60">
        <f t="shared" si="77"/>
        <v>280.42131141557229</v>
      </c>
      <c r="FJ115" s="60">
        <f ca="1">AVERAGE(OFFSET($FI$3,0,0,'Données projet'!$E$16+1,1))-AVERAGE(OFFSET($H$3,0,0,'Données projet'!$E$16+1,1))</f>
        <v>308.58270639204238</v>
      </c>
      <c r="FK115" s="60">
        <f t="shared" si="102"/>
        <v>258.90832875500325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4</v>
      </c>
      <c r="FZ115" s="13">
        <f>IF('Données projet'!$A$244&gt;35,FZ114+FY115-GH114,IF(A115&lt;'Données projet'!$A$244,$FW$205^A115,IF(A115='Données projet'!$A$244,'Données projet'!$B$244,FZ114+FY115-GH114)))</f>
        <v>291.99999999999972</v>
      </c>
      <c r="GA115" s="18">
        <f>FZ115*VLOOKUP('Données projet'!$B$17,Paramètres!$A$1:$I$89,3,0)*VLOOKUP('Données projet'!$B$17,Paramètres!$A$1:$I$89,5,0)</f>
        <v>282.42239999999975</v>
      </c>
      <c r="GB115" s="14">
        <f t="shared" si="103"/>
        <v>67.478674703106122</v>
      </c>
      <c r="GC115" s="22">
        <f t="shared" si="79"/>
        <v>609.41103844124279</v>
      </c>
      <c r="GD115" s="60">
        <f t="shared" si="80"/>
        <v>889.83234985681361</v>
      </c>
      <c r="GE115" s="60">
        <f ca="1">AVERAGE(OFFSET($GD$3,0,0,'Données projet'!$E$17+1,1))-AVERAGE(OFFSET($H$3,0,0,'Données projet'!$E$17+1,1))</f>
        <v>495.77880062178235</v>
      </c>
      <c r="GF115" s="60">
        <f t="shared" si="104"/>
        <v>263.55891737750301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6.1</v>
      </c>
      <c r="N116" s="14">
        <f>IF('Données projet'!$A$36&gt;35,N115+M116-V115,IF(A116&lt;'Données projet'!$A$36,$K$205^A116,IF(A116='Données projet'!$A$36,'Données projet'!$B$36,N115+M116-V115)))</f>
        <v>435.80000000000035</v>
      </c>
      <c r="O116" s="14">
        <f>N116*VLOOKUP('Données projet'!$B$9,Paramètres!$A$1:$I$89,3,0)*VLOOKUP('Données projet'!$B$9,Paramètres!$A$1:$I$89,5,0)</f>
        <v>373.91640000000035</v>
      </c>
      <c r="P116" s="14">
        <f t="shared" si="87"/>
        <v>86.468042078230212</v>
      </c>
      <c r="Q116" s="22">
        <f t="shared" si="107"/>
        <v>801.83623661958484</v>
      </c>
      <c r="R116" s="60">
        <f t="shared" si="55"/>
        <v>1082.4815427484725</v>
      </c>
      <c r="S116" s="60">
        <f ca="1">AVERAGE(OFFSET($R$3,0,0,'Données projet'!$E$9+1,1))-AVERAGE(OFFSET($H$3,0,0,'Données projet'!$E$9+1,1))</f>
        <v>598.73855311281966</v>
      </c>
      <c r="T116" s="60">
        <f t="shared" si="88"/>
        <v>275.88160405468193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295.99999999999972</v>
      </c>
      <c r="AJ116" s="14">
        <f>AI116*VLOOKUP('Données projet'!$B$10,Paramètres!$A$1:$I$89,3,0)*VLOOKUP('Données projet'!$B$10,Paramètres!$A$1:$I$89,5,0)</f>
        <v>300.14399999999978</v>
      </c>
      <c r="AK116" s="14">
        <f t="shared" si="89"/>
        <v>71.206650563609855</v>
      </c>
      <c r="AL116" s="22">
        <f t="shared" si="58"/>
        <v>646.76904973162016</v>
      </c>
      <c r="AM116" s="60">
        <f t="shared" si="59"/>
        <v>927.41435586050784</v>
      </c>
      <c r="AN116" s="60">
        <f ca="1">AVERAGE(OFFSET($AM$3,0,0,'Données projet'!$E$10+1,1))-AVERAGE(OFFSET($H$3,0,0,'Données projet'!$E$10+1,1))</f>
        <v>515.72324585399997</v>
      </c>
      <c r="AO116" s="60">
        <f t="shared" si="90"/>
        <v>273.35778700650792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2.7134774427395314E-13</v>
      </c>
      <c r="BF116" s="14">
        <f t="shared" si="91"/>
        <v>3.6292411711343559E-12</v>
      </c>
      <c r="BG116" s="22">
        <f t="shared" si="61"/>
        <v>6.7935256943361388E-12</v>
      </c>
      <c r="BH116" s="60">
        <f t="shared" si="62"/>
        <v>280.64530612889445</v>
      </c>
      <c r="BI116" s="60">
        <f ca="1">AVERAGE(OFFSET($BH$3,0,0,'Données projet'!$E$11+1,1))-AVERAGE(OFFSET($H$3,0,0,'Données projet'!$E$11+1,1))</f>
        <v>336.25341821407534</v>
      </c>
      <c r="BJ116" s="60">
        <f t="shared" si="92"/>
        <v>360.3246221345039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0.5207182912224293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0.5207182912224293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3.141025641025641</v>
      </c>
      <c r="BY116" s="13">
        <f>IF('Données projet'!$A$114&gt;35,BY115+BX116-CG115,IF(A116&lt;'Données projet'!$A$114,$BV$205^A116,IF(A116='Données projet'!$A$114,'Données projet'!$B$114,BY115+BX116-CG115)))</f>
        <v>263.91025641025658</v>
      </c>
      <c r="BZ116" s="14">
        <f>BY116*VLOOKUP('Données projet'!$B$12,Paramètres!$A$1:$I$89,3,0)*VLOOKUP('Données projet'!$B$12,Paramètres!$A$1:$I$89,5,0)</f>
        <v>251.13700000000017</v>
      </c>
      <c r="CA116" s="14">
        <f t="shared" si="93"/>
        <v>60.82934795323235</v>
      </c>
      <c r="CB116" s="22">
        <f t="shared" si="64"/>
        <v>543.34138935187991</v>
      </c>
      <c r="CC116" s="60">
        <f t="shared" si="65"/>
        <v>823.98669548076759</v>
      </c>
      <c r="CD116" s="60">
        <f ca="1">AVERAGE(OFFSET($CC$3,0,0,'Données projet'!$E$12+1,1))-AVERAGE(OFFSET($H$3,0,0,'Données projet'!$E$12+1,1))</f>
        <v>438.41611139377829</v>
      </c>
      <c r="CE116" s="60">
        <f t="shared" si="94"/>
        <v>345.17417065809605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-4.5224624045658861E-14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395.27840703467933</v>
      </c>
      <c r="CZ116" s="60">
        <f t="shared" si="96"/>
        <v>364.24192380053944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-2.8421709430404007E-13</v>
      </c>
      <c r="DP116" s="18">
        <f>DO116*VLOOKUP('Données projet'!$B$14,Paramètres!$A$1:$I$89,3,0)*VLOOKUP('Données projet'!$B$14,Paramètres!$A$1:$I$89,5,0)</f>
        <v>-2.2168933355715128E-13</v>
      </c>
      <c r="DQ116" s="14" t="e">
        <f t="shared" si="97"/>
        <v>#NUM!</v>
      </c>
      <c r="DR116" s="22" t="e">
        <f t="shared" si="70"/>
        <v>#NUM!</v>
      </c>
      <c r="DS116" s="60" t="e">
        <f t="shared" si="71"/>
        <v>#NUM!</v>
      </c>
      <c r="DT116" s="60">
        <f ca="1">AVERAGE(OFFSET($DS$3,0,0,'Données projet'!$E$14+1,1))-AVERAGE(OFFSET($H$3,0,0,'Données projet'!$E$14+1,1))</f>
        <v>308.76306523144956</v>
      </c>
      <c r="DU116" s="60">
        <f t="shared" si="98"/>
        <v>283.28099819802776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2.2737367544323206E-13</v>
      </c>
      <c r="EK116" s="18">
        <f>EJ116*VLOOKUP('Données projet'!$B$15,Paramètres!$A$1:$I$89,3,0)*VLOOKUP('Données projet'!$B$15,Paramètres!$A$1:$I$89,5,0)</f>
        <v>1.5252226148732008E-13</v>
      </c>
      <c r="EL116" s="14">
        <f t="shared" si="99"/>
        <v>2.1814502464536512E-12</v>
      </c>
      <c r="EM116" s="22">
        <f t="shared" si="73"/>
        <v>4.0650021179971913E-12</v>
      </c>
      <c r="EN116" s="60">
        <f t="shared" si="74"/>
        <v>280.64530612889172</v>
      </c>
      <c r="EO116" s="60">
        <f ca="1">AVERAGE(OFFSET($EN$3,0,0,'Données projet'!$E$15+1,1))-AVERAGE(OFFSET($H$3,0,0,'Données projet'!$E$15+1,1))</f>
        <v>375.49921531693559</v>
      </c>
      <c r="EP116" s="60">
        <f t="shared" si="100"/>
        <v>306.93934681565599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5.6843418860808015E-14</v>
      </c>
      <c r="FF116" s="18">
        <f>FE116*VLOOKUP('Données projet'!$B$16,Paramètres!$A$1:$I$89,3,0)*VLOOKUP('Données projet'!$B$16,Paramètres!$A$1:$I$89,5,0)</f>
        <v>4.6111381379887463E-14</v>
      </c>
      <c r="FG116" s="14">
        <f t="shared" si="101"/>
        <v>7.5804141040779151E-13</v>
      </c>
      <c r="FH116" s="22">
        <f t="shared" si="76"/>
        <v>1.4005661123635408E-12</v>
      </c>
      <c r="FI116" s="60">
        <f t="shared" si="77"/>
        <v>280.64530612888905</v>
      </c>
      <c r="FJ116" s="60">
        <f ca="1">AVERAGE(OFFSET($FI$3,0,0,'Données projet'!$E$16+1,1))-AVERAGE(OFFSET($H$3,0,0,'Données projet'!$E$16+1,1))</f>
        <v>308.58270639204238</v>
      </c>
      <c r="FK116" s="60">
        <f t="shared" si="102"/>
        <v>258.90832875500325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4</v>
      </c>
      <c r="FZ116" s="13">
        <f>IF('Données projet'!$A$244&gt;35,FZ115+FY116-GH115,IF(A116&lt;'Données projet'!$A$244,$FW$205^A116,IF(A116='Données projet'!$A$244,'Données projet'!$B$244,FZ115+FY116-GH115)))</f>
        <v>295.99999999999972</v>
      </c>
      <c r="GA116" s="18">
        <f>FZ116*VLOOKUP('Données projet'!$B$17,Paramètres!$A$1:$I$89,3,0)*VLOOKUP('Données projet'!$B$17,Paramètres!$A$1:$I$89,5,0)</f>
        <v>286.29119999999972</v>
      </c>
      <c r="GB116" s="14">
        <f t="shared" si="103"/>
        <v>68.294796094604337</v>
      </c>
      <c r="GC116" s="22">
        <f t="shared" si="79"/>
        <v>617.5706098647687</v>
      </c>
      <c r="GD116" s="60">
        <f t="shared" si="80"/>
        <v>898.21591599365638</v>
      </c>
      <c r="GE116" s="60">
        <f ca="1">AVERAGE(OFFSET($GD$3,0,0,'Données projet'!$E$17+1,1))-AVERAGE(OFFSET($H$3,0,0,'Données projet'!$E$17+1,1))</f>
        <v>495.77880062178235</v>
      </c>
      <c r="GF116" s="60">
        <f t="shared" si="104"/>
        <v>263.55891737750301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6.1</v>
      </c>
      <c r="N117" s="14">
        <f>IF('Données projet'!$A$36&gt;35,N116+M117-V116,IF(A117&lt;'Données projet'!$A$36,$K$205^A117,IF(A117='Données projet'!$A$36,'Données projet'!$B$36,N116+M117-V116)))</f>
        <v>441.90000000000038</v>
      </c>
      <c r="O117" s="14">
        <f>N117*VLOOKUP('Données projet'!$B$9,Paramètres!$A$1:$I$89,3,0)*VLOOKUP('Données projet'!$B$9,Paramètres!$A$1:$I$89,5,0)</f>
        <v>379.15020000000032</v>
      </c>
      <c r="P117" s="14">
        <f t="shared" si="87"/>
        <v>87.536609266813898</v>
      </c>
      <c r="Q117" s="22">
        <f t="shared" si="107"/>
        <v>812.81285947303479</v>
      </c>
      <c r="R117" s="60">
        <f t="shared" si="55"/>
        <v>1093.6782745077403</v>
      </c>
      <c r="S117" s="60">
        <f ca="1">AVERAGE(OFFSET($R$3,0,0,'Données projet'!$E$9+1,1))-AVERAGE(OFFSET($H$3,0,0,'Données projet'!$E$9+1,1))</f>
        <v>598.73855311281966</v>
      </c>
      <c r="T117" s="60">
        <f t="shared" si="88"/>
        <v>275.88160405468193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299.99999999999972</v>
      </c>
      <c r="AJ117" s="14">
        <f>AI117*VLOOKUP('Données projet'!$B$10,Paramètres!$A$1:$I$89,3,0)*VLOOKUP('Données projet'!$B$10,Paramètres!$A$1:$I$89,5,0)</f>
        <v>304.19999999999976</v>
      </c>
      <c r="AK117" s="14">
        <f t="shared" si="89"/>
        <v>72.056231093481074</v>
      </c>
      <c r="AL117" s="22">
        <f t="shared" si="58"/>
        <v>655.31293582114574</v>
      </c>
      <c r="AM117" s="60">
        <f t="shared" si="59"/>
        <v>936.17835085585125</v>
      </c>
      <c r="AN117" s="60">
        <f ca="1">AVERAGE(OFFSET($AM$3,0,0,'Données projet'!$E$10+1,1))-AVERAGE(OFFSET($H$3,0,0,'Données projet'!$E$10+1,1))</f>
        <v>515.72324585399997</v>
      </c>
      <c r="AO117" s="60">
        <f t="shared" si="90"/>
        <v>273.35778700650792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2.7134774427395314E-13</v>
      </c>
      <c r="BF117" s="14">
        <f t="shared" si="91"/>
        <v>3.6292411711343559E-12</v>
      </c>
      <c r="BG117" s="22">
        <f t="shared" si="61"/>
        <v>6.7935256943361388E-12</v>
      </c>
      <c r="BH117" s="60">
        <f t="shared" si="62"/>
        <v>280.86541503471227</v>
      </c>
      <c r="BI117" s="60">
        <f ca="1">AVERAGE(OFFSET($BH$3,0,0,'Données projet'!$E$11+1,1))-AVERAGE(OFFSET($H$3,0,0,'Données projet'!$E$11+1,1))</f>
        <v>336.25341821407534</v>
      </c>
      <c r="BJ117" s="60">
        <f t="shared" si="92"/>
        <v>360.3246221345039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0.50647922216556718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0.50647922216556718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3.141025641025641</v>
      </c>
      <c r="BY117" s="13">
        <f>IF('Données projet'!$A$114&gt;35,BY116+BX117-CG116,IF(A117&lt;'Données projet'!$A$114,$BV$205^A117,IF(A117='Données projet'!$A$114,'Données projet'!$B$114,BY116+BX117-CG116)))</f>
        <v>267.05128205128221</v>
      </c>
      <c r="BZ117" s="14">
        <f>BY117*VLOOKUP('Données projet'!$B$12,Paramètres!$A$1:$I$89,3,0)*VLOOKUP('Données projet'!$B$12,Paramètres!$A$1:$I$89,5,0)</f>
        <v>254.12600000000018</v>
      </c>
      <c r="CA117" s="14">
        <f t="shared" si="93"/>
        <v>61.46861816974539</v>
      </c>
      <c r="CB117" s="22">
        <f t="shared" si="64"/>
        <v>549.66062664564015</v>
      </c>
      <c r="CC117" s="60">
        <f t="shared" si="65"/>
        <v>830.52604168034554</v>
      </c>
      <c r="CD117" s="60">
        <f ca="1">AVERAGE(OFFSET($CC$3,0,0,'Données projet'!$E$12+1,1))-AVERAGE(OFFSET($H$3,0,0,'Données projet'!$E$12+1,1))</f>
        <v>438.41611139377829</v>
      </c>
      <c r="CE117" s="60">
        <f t="shared" si="94"/>
        <v>345.17417065809605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-4.5224624045658861E-14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395.27840703467933</v>
      </c>
      <c r="CZ117" s="60">
        <f t="shared" si="96"/>
        <v>364.24192380053944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-2.8421709430404007E-13</v>
      </c>
      <c r="DP117" s="18">
        <f>DO117*VLOOKUP('Données projet'!$B$14,Paramètres!$A$1:$I$89,3,0)*VLOOKUP('Données projet'!$B$14,Paramètres!$A$1:$I$89,5,0)</f>
        <v>-2.2168933355715128E-13</v>
      </c>
      <c r="DQ117" s="14" t="e">
        <f t="shared" si="97"/>
        <v>#NUM!</v>
      </c>
      <c r="DR117" s="22" t="e">
        <f t="shared" si="70"/>
        <v>#NUM!</v>
      </c>
      <c r="DS117" s="60" t="e">
        <f t="shared" si="71"/>
        <v>#NUM!</v>
      </c>
      <c r="DT117" s="60">
        <f ca="1">AVERAGE(OFFSET($DS$3,0,0,'Données projet'!$E$14+1,1))-AVERAGE(OFFSET($H$3,0,0,'Données projet'!$E$14+1,1))</f>
        <v>308.76306523144956</v>
      </c>
      <c r="DU117" s="60">
        <f t="shared" si="98"/>
        <v>283.28099819802776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2.2737367544323206E-13</v>
      </c>
      <c r="EK117" s="18">
        <f>EJ117*VLOOKUP('Données projet'!$B$15,Paramètres!$A$1:$I$89,3,0)*VLOOKUP('Données projet'!$B$15,Paramètres!$A$1:$I$89,5,0)</f>
        <v>1.5252226148732008E-13</v>
      </c>
      <c r="EL117" s="14">
        <f t="shared" si="99"/>
        <v>2.1814502464536512E-12</v>
      </c>
      <c r="EM117" s="22">
        <f t="shared" si="73"/>
        <v>4.0650021179971913E-12</v>
      </c>
      <c r="EN117" s="60">
        <f t="shared" si="74"/>
        <v>280.86541503470954</v>
      </c>
      <c r="EO117" s="60">
        <f ca="1">AVERAGE(OFFSET($EN$3,0,0,'Données projet'!$E$15+1,1))-AVERAGE(OFFSET($H$3,0,0,'Données projet'!$E$15+1,1))</f>
        <v>375.49921531693559</v>
      </c>
      <c r="EP117" s="60">
        <f t="shared" si="100"/>
        <v>306.93934681565599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5.6843418860808015E-14</v>
      </c>
      <c r="FF117" s="18">
        <f>FE117*VLOOKUP('Données projet'!$B$16,Paramètres!$A$1:$I$89,3,0)*VLOOKUP('Données projet'!$B$16,Paramètres!$A$1:$I$89,5,0)</f>
        <v>4.6111381379887463E-14</v>
      </c>
      <c r="FG117" s="14">
        <f t="shared" si="101"/>
        <v>7.5804141040779151E-13</v>
      </c>
      <c r="FH117" s="22">
        <f t="shared" si="76"/>
        <v>1.4005661123635408E-12</v>
      </c>
      <c r="FI117" s="60">
        <f t="shared" si="77"/>
        <v>280.86541503470687</v>
      </c>
      <c r="FJ117" s="60">
        <f ca="1">AVERAGE(OFFSET($FI$3,0,0,'Données projet'!$E$16+1,1))-AVERAGE(OFFSET($H$3,0,0,'Données projet'!$E$16+1,1))</f>
        <v>308.58270639204238</v>
      </c>
      <c r="FK117" s="60">
        <f t="shared" si="102"/>
        <v>258.90832875500325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4</v>
      </c>
      <c r="FZ117" s="13">
        <f>IF('Données projet'!$A$244&gt;35,FZ116+FY117-GH116,IF(A117&lt;'Données projet'!$A$244,$FW$205^A117,IF(A117='Données projet'!$A$244,'Données projet'!$B$244,FZ116+FY117-GH116)))</f>
        <v>299.99999999999972</v>
      </c>
      <c r="GA117" s="18">
        <f>FZ117*VLOOKUP('Données projet'!$B$17,Paramètres!$A$1:$I$89,3,0)*VLOOKUP('Données projet'!$B$17,Paramètres!$A$1:$I$89,5,0)</f>
        <v>290.15999999999974</v>
      </c>
      <c r="GB117" s="14">
        <f t="shared" si="103"/>
        <v>69.109634717039867</v>
      </c>
      <c r="GC117" s="22">
        <f t="shared" si="79"/>
        <v>625.72794713217729</v>
      </c>
      <c r="GD117" s="60">
        <f t="shared" si="80"/>
        <v>906.5933621668828</v>
      </c>
      <c r="GE117" s="60">
        <f ca="1">AVERAGE(OFFSET($GD$3,0,0,'Données projet'!$E$17+1,1))-AVERAGE(OFFSET($H$3,0,0,'Données projet'!$E$17+1,1))</f>
        <v>495.77880062178235</v>
      </c>
      <c r="GF117" s="60">
        <f t="shared" si="104"/>
        <v>263.55891737750301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448</v>
      </c>
      <c r="L118" s="13">
        <f>VLOOKUP(A118,'Données projet'!$A$35:$I$55,9,0)</f>
        <v>6.1</v>
      </c>
      <c r="M118" s="13">
        <f t="array" ref="M118">INDEX(L:L,MIN(IF(ISNUMBER(L118:L314),ROW(L118:L314),"")))</f>
        <v>6.1</v>
      </c>
      <c r="N118" s="14">
        <f>IF('Données projet'!$A$36&gt;35,N117+M118-V117,IF(A118&lt;'Données projet'!$A$36,$K$205^A118,IF(A118='Données projet'!$A$36,'Données projet'!$B$36,N117+M118-V117)))</f>
        <v>448.0000000000004</v>
      </c>
      <c r="O118" s="14">
        <f>N118*VLOOKUP('Données projet'!$B$9,Paramètres!$A$1:$I$89,3,0)*VLOOKUP('Données projet'!$B$9,Paramètres!$A$1:$I$89,5,0)</f>
        <v>384.38400000000036</v>
      </c>
      <c r="P118" s="14">
        <f t="shared" si="87"/>
        <v>88.603460814581595</v>
      </c>
      <c r="Q118" s="22">
        <f t="shared" si="107"/>
        <v>823.78649425206356</v>
      </c>
      <c r="R118" s="60">
        <f t="shared" si="55"/>
        <v>1104.8681997951608</v>
      </c>
      <c r="S118" s="60">
        <f ca="1">AVERAGE(OFFSET($R$3,0,0,'Données projet'!$E$9+1,1))-AVERAGE(OFFSET($H$3,0,0,'Données projet'!$E$9+1,1))</f>
        <v>598.73855311281966</v>
      </c>
      <c r="T118" s="60">
        <f t="shared" si="88"/>
        <v>275.88160405468193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44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303.99999999999972</v>
      </c>
      <c r="AJ118" s="14">
        <f>AI118*VLOOKUP('Données projet'!$B$10,Paramètres!$A$1:$I$89,3,0)*VLOOKUP('Données projet'!$B$10,Paramètres!$A$1:$I$89,5,0)</f>
        <v>308.25599999999974</v>
      </c>
      <c r="AK118" s="14">
        <f t="shared" si="89"/>
        <v>72.904494055753887</v>
      </c>
      <c r="AL118" s="22">
        <f t="shared" si="58"/>
        <v>663.85452714710425</v>
      </c>
      <c r="AM118" s="60">
        <f t="shared" si="59"/>
        <v>944.93623269020145</v>
      </c>
      <c r="AN118" s="60">
        <f ca="1">AVERAGE(OFFSET($AM$3,0,0,'Données projet'!$E$10+1,1))-AVERAGE(OFFSET($H$3,0,0,'Données projet'!$E$10+1,1))</f>
        <v>515.72324585399997</v>
      </c>
      <c r="AO118" s="60">
        <f t="shared" si="90"/>
        <v>273.35778700650792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2.7134774427395314E-13</v>
      </c>
      <c r="BF118" s="14">
        <f t="shared" si="91"/>
        <v>3.6292411711343559E-12</v>
      </c>
      <c r="BG118" s="22">
        <f t="shared" si="61"/>
        <v>6.7935256943361388E-12</v>
      </c>
      <c r="BH118" s="60">
        <f t="shared" si="62"/>
        <v>281.08170554310408</v>
      </c>
      <c r="BI118" s="60">
        <f ca="1">AVERAGE(OFFSET($BH$3,0,0,'Données projet'!$E$11+1,1))-AVERAGE(OFFSET($H$3,0,0,'Données projet'!$E$11+1,1))</f>
        <v>336.25341821407534</v>
      </c>
      <c r="BJ118" s="60">
        <f t="shared" si="92"/>
        <v>360.3246221345039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0.49262952120086501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0.49262952120086501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3.141025641025641</v>
      </c>
      <c r="BY118" s="13">
        <f>IF('Données projet'!$A$114&gt;35,BY117+BX118-CG117,IF(A118&lt;'Données projet'!$A$114,$BV$205^A118,IF(A118='Données projet'!$A$114,'Données projet'!$B$114,BY117+BX118-CG117)))</f>
        <v>270.19230769230785</v>
      </c>
      <c r="BZ118" s="14">
        <f>BY118*VLOOKUP('Données projet'!$B$12,Paramètres!$A$1:$I$89,3,0)*VLOOKUP('Données projet'!$B$12,Paramètres!$A$1:$I$89,5,0)</f>
        <v>257.11500000000018</v>
      </c>
      <c r="CA118" s="14">
        <f t="shared" si="93"/>
        <v>62.107013749759211</v>
      </c>
      <c r="CB118" s="22">
        <f t="shared" si="64"/>
        <v>555.97834061416427</v>
      </c>
      <c r="CC118" s="60">
        <f t="shared" si="65"/>
        <v>837.06004615726147</v>
      </c>
      <c r="CD118" s="60">
        <f ca="1">AVERAGE(OFFSET($CC$3,0,0,'Données projet'!$E$12+1,1))-AVERAGE(OFFSET($H$3,0,0,'Données projet'!$E$12+1,1))</f>
        <v>438.41611139377829</v>
      </c>
      <c r="CE118" s="60">
        <f t="shared" si="94"/>
        <v>345.17417065809605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-4.5224624045658861E-14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395.27840703467933</v>
      </c>
      <c r="CZ118" s="60">
        <f t="shared" si="96"/>
        <v>364.24192380053944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-2.8421709430404007E-13</v>
      </c>
      <c r="DP118" s="18">
        <f>DO118*VLOOKUP('Données projet'!$B$14,Paramètres!$A$1:$I$89,3,0)*VLOOKUP('Données projet'!$B$14,Paramètres!$A$1:$I$89,5,0)</f>
        <v>-2.2168933355715128E-13</v>
      </c>
      <c r="DQ118" s="14" t="e">
        <f t="shared" si="97"/>
        <v>#NUM!</v>
      </c>
      <c r="DR118" s="22" t="e">
        <f t="shared" si="70"/>
        <v>#NUM!</v>
      </c>
      <c r="DS118" s="60" t="e">
        <f t="shared" si="71"/>
        <v>#NUM!</v>
      </c>
      <c r="DT118" s="60">
        <f ca="1">AVERAGE(OFFSET($DS$3,0,0,'Données projet'!$E$14+1,1))-AVERAGE(OFFSET($H$3,0,0,'Données projet'!$E$14+1,1))</f>
        <v>308.76306523144956</v>
      </c>
      <c r="DU118" s="60">
        <f t="shared" si="98"/>
        <v>283.28099819802776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2.2737367544323206E-13</v>
      </c>
      <c r="EK118" s="18">
        <f>EJ118*VLOOKUP('Données projet'!$B$15,Paramètres!$A$1:$I$89,3,0)*VLOOKUP('Données projet'!$B$15,Paramètres!$A$1:$I$89,5,0)</f>
        <v>1.5252226148732008E-13</v>
      </c>
      <c r="EL118" s="14">
        <f t="shared" si="99"/>
        <v>2.1814502464536512E-12</v>
      </c>
      <c r="EM118" s="22">
        <f t="shared" si="73"/>
        <v>4.0650021179971913E-12</v>
      </c>
      <c r="EN118" s="60">
        <f t="shared" si="74"/>
        <v>281.08170554310135</v>
      </c>
      <c r="EO118" s="60">
        <f ca="1">AVERAGE(OFFSET($EN$3,0,0,'Données projet'!$E$15+1,1))-AVERAGE(OFFSET($H$3,0,0,'Données projet'!$E$15+1,1))</f>
        <v>375.49921531693559</v>
      </c>
      <c r="EP118" s="60">
        <f t="shared" si="100"/>
        <v>306.93934681565599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5.6843418860808015E-14</v>
      </c>
      <c r="FF118" s="18">
        <f>FE118*VLOOKUP('Données projet'!$B$16,Paramètres!$A$1:$I$89,3,0)*VLOOKUP('Données projet'!$B$16,Paramètres!$A$1:$I$89,5,0)</f>
        <v>4.6111381379887463E-14</v>
      </c>
      <c r="FG118" s="14">
        <f t="shared" si="101"/>
        <v>7.5804141040779151E-13</v>
      </c>
      <c r="FH118" s="22">
        <f t="shared" si="76"/>
        <v>1.4005661123635408E-12</v>
      </c>
      <c r="FI118" s="60">
        <f t="shared" si="77"/>
        <v>281.08170554309868</v>
      </c>
      <c r="FJ118" s="60">
        <f ca="1">AVERAGE(OFFSET($FI$3,0,0,'Données projet'!$E$16+1,1))-AVERAGE(OFFSET($H$3,0,0,'Données projet'!$E$16+1,1))</f>
        <v>308.58270639204238</v>
      </c>
      <c r="FK118" s="60">
        <f t="shared" si="102"/>
        <v>258.90832875500325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>
        <f>VLOOKUP(A118,'Données projet'!$A$243:$I$263,2,0)</f>
        <v>304</v>
      </c>
      <c r="FX118" s="13">
        <f>VLOOKUP(A118,'Données projet'!$A$243:$I$263,9,0)</f>
        <v>4</v>
      </c>
      <c r="FY118" s="13">
        <f t="array" ref="FY118">INDEX(FX:FX,MIN(IF(ISNUMBER(FX118:FX314),ROW(FX118:FX314),"")))</f>
        <v>4</v>
      </c>
      <c r="FZ118" s="13">
        <f>IF('Données projet'!$A$244&gt;35,FZ117+FY118-GH117,IF(A118&lt;'Données projet'!$A$244,$FW$205^A118,IF(A118='Données projet'!$A$244,'Données projet'!$B$244,FZ117+FY118-GH117)))</f>
        <v>303.99999999999972</v>
      </c>
      <c r="GA118" s="18">
        <f>FZ118*VLOOKUP('Données projet'!$B$17,Paramètres!$A$1:$I$89,3,0)*VLOOKUP('Données projet'!$B$17,Paramètres!$A$1:$I$89,5,0)</f>
        <v>294.02879999999971</v>
      </c>
      <c r="GB118" s="14">
        <f t="shared" si="103"/>
        <v>69.923209651185601</v>
      </c>
      <c r="GC118" s="22">
        <f t="shared" si="79"/>
        <v>633.88308347581449</v>
      </c>
      <c r="GD118" s="60">
        <f t="shared" si="80"/>
        <v>914.96478901891169</v>
      </c>
      <c r="GE118" s="60">
        <f ca="1">AVERAGE(OFFSET($GD$3,0,0,'Données projet'!$E$17+1,1))-AVERAGE(OFFSET($H$3,0,0,'Données projet'!$E$17+1,1))</f>
        <v>495.77880062178235</v>
      </c>
      <c r="GF118" s="60">
        <f t="shared" si="104"/>
        <v>263.55891737750301</v>
      </c>
      <c r="GG118" s="16">
        <f>IF(ISNA(VLOOKUP(A118,'Données projet'!$A$243:$I$263,3,0)),0,VLOOKUP(A118,'Données projet'!$A$243:$I$263,3,0))</f>
        <v>10</v>
      </c>
      <c r="GH118" s="16">
        <f>IF(ISNA(VLOOKUP(A118,'Données projet'!$A$243:$I$263,4,0)),0,VLOOKUP(A118,'Données projet'!$A$243:$I$263,4,0))</f>
        <v>37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5.4</v>
      </c>
      <c r="N119" s="14">
        <f>IF('Données projet'!$A$36&gt;35,N118+M119-V118,IF(A119&lt;'Données projet'!$A$36,$K$205^A119,IF(A119='Données projet'!$A$36,'Données projet'!$B$36,N118+M119-V118)))</f>
        <v>409.40000000000038</v>
      </c>
      <c r="O119" s="14">
        <f>N119*VLOOKUP('Données projet'!$B$9,Paramètres!$A$1:$I$89,3,0)*VLOOKUP('Données projet'!$B$9,Paramètres!$A$1:$I$89,5,0)</f>
        <v>351.26520000000033</v>
      </c>
      <c r="P119" s="14">
        <f t="shared" si="87"/>
        <v>81.822974322436693</v>
      </c>
      <c r="Q119" s="22">
        <f t="shared" si="107"/>
        <v>754.29523694491115</v>
      </c>
      <c r="R119" s="60">
        <f t="shared" si="55"/>
        <v>1035.5894808396326</v>
      </c>
      <c r="S119" s="60">
        <f ca="1">AVERAGE(OFFSET($R$3,0,0,'Données projet'!$E$9+1,1))-AVERAGE(OFFSET($H$3,0,0,'Données projet'!$E$9+1,1))</f>
        <v>598.73855311281966</v>
      </c>
      <c r="T119" s="60">
        <f t="shared" si="88"/>
        <v>275.88160405468193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270.39999999999969</v>
      </c>
      <c r="AJ119" s="14">
        <f>AI119*VLOOKUP('Données projet'!$B$10,Paramètres!$A$1:$I$89,3,0)*VLOOKUP('Données projet'!$B$10,Paramètres!$A$1:$I$89,5,0)</f>
        <v>274.18559999999974</v>
      </c>
      <c r="AK119" s="14">
        <f t="shared" si="89"/>
        <v>65.736762389907383</v>
      </c>
      <c r="AL119" s="22">
        <f t="shared" si="58"/>
        <v>592.03144782908828</v>
      </c>
      <c r="AM119" s="60">
        <f t="shared" si="59"/>
        <v>873.32569172380977</v>
      </c>
      <c r="AN119" s="60">
        <f ca="1">AVERAGE(OFFSET($AM$3,0,0,'Données projet'!$E$10+1,1))-AVERAGE(OFFSET($H$3,0,0,'Données projet'!$E$10+1,1))</f>
        <v>515.72324585399997</v>
      </c>
      <c r="AO119" s="60">
        <f t="shared" si="90"/>
        <v>273.35778700650792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2.7134774427395314E-13</v>
      </c>
      <c r="BF119" s="14">
        <f t="shared" si="91"/>
        <v>3.6292411711343559E-12</v>
      </c>
      <c r="BG119" s="22">
        <f t="shared" si="61"/>
        <v>6.7935256943361388E-12</v>
      </c>
      <c r="BH119" s="60">
        <f t="shared" si="62"/>
        <v>281.29424389472831</v>
      </c>
      <c r="BI119" s="60">
        <f ca="1">AVERAGE(OFFSET($BH$3,0,0,'Données projet'!$E$11+1,1))-AVERAGE(OFFSET($H$3,0,0,'Données projet'!$E$11+1,1))</f>
        <v>336.25341821407534</v>
      </c>
      <c r="BJ119" s="60">
        <f t="shared" si="92"/>
        <v>360.3246221345039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0.47915854103736677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0.47915854103736677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3.141025641025641</v>
      </c>
      <c r="BY119" s="13">
        <f>IF('Données projet'!$A$114&gt;35,BY118+BX119-CG118,IF(A119&lt;'Données projet'!$A$114,$BV$205^A119,IF(A119='Données projet'!$A$114,'Données projet'!$B$114,BY118+BX119-CG118)))</f>
        <v>273.33333333333348</v>
      </c>
      <c r="BZ119" s="14">
        <f>BY119*VLOOKUP('Données projet'!$B$12,Paramètres!$A$1:$I$89,3,0)*VLOOKUP('Données projet'!$B$12,Paramètres!$A$1:$I$89,5,0)</f>
        <v>260.10400000000016</v>
      </c>
      <c r="CA119" s="14">
        <f t="shared" si="93"/>
        <v>62.744546037419411</v>
      </c>
      <c r="CB119" s="22">
        <f t="shared" si="64"/>
        <v>562.29455101517237</v>
      </c>
      <c r="CC119" s="60">
        <f t="shared" si="65"/>
        <v>843.58879490989386</v>
      </c>
      <c r="CD119" s="60">
        <f ca="1">AVERAGE(OFFSET($CC$3,0,0,'Données projet'!$E$12+1,1))-AVERAGE(OFFSET($H$3,0,0,'Données projet'!$E$12+1,1))</f>
        <v>438.41611139377829</v>
      </c>
      <c r="CE119" s="60">
        <f t="shared" si="94"/>
        <v>345.17417065809605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-4.5224624045658861E-14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395.27840703467933</v>
      </c>
      <c r="CZ119" s="60">
        <f t="shared" si="96"/>
        <v>364.24192380053944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-2.8421709430404007E-13</v>
      </c>
      <c r="DP119" s="18">
        <f>DO119*VLOOKUP('Données projet'!$B$14,Paramètres!$A$1:$I$89,3,0)*VLOOKUP('Données projet'!$B$14,Paramètres!$A$1:$I$89,5,0)</f>
        <v>-2.2168933355715128E-13</v>
      </c>
      <c r="DQ119" s="14" t="e">
        <f t="shared" si="97"/>
        <v>#NUM!</v>
      </c>
      <c r="DR119" s="22" t="e">
        <f t="shared" si="70"/>
        <v>#NUM!</v>
      </c>
      <c r="DS119" s="60" t="e">
        <f t="shared" si="71"/>
        <v>#NUM!</v>
      </c>
      <c r="DT119" s="60">
        <f ca="1">AVERAGE(OFFSET($DS$3,0,0,'Données projet'!$E$14+1,1))-AVERAGE(OFFSET($H$3,0,0,'Données projet'!$E$14+1,1))</f>
        <v>308.76306523144956</v>
      </c>
      <c r="DU119" s="60">
        <f t="shared" si="98"/>
        <v>283.28099819802776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2.2737367544323206E-13</v>
      </c>
      <c r="EK119" s="18">
        <f>EJ119*VLOOKUP('Données projet'!$B$15,Paramètres!$A$1:$I$89,3,0)*VLOOKUP('Données projet'!$B$15,Paramètres!$A$1:$I$89,5,0)</f>
        <v>1.5252226148732008E-13</v>
      </c>
      <c r="EL119" s="14">
        <f t="shared" si="99"/>
        <v>2.1814502464536512E-12</v>
      </c>
      <c r="EM119" s="22">
        <f t="shared" si="73"/>
        <v>4.0650021179971913E-12</v>
      </c>
      <c r="EN119" s="60">
        <f t="shared" si="74"/>
        <v>281.29424389472558</v>
      </c>
      <c r="EO119" s="60">
        <f ca="1">AVERAGE(OFFSET($EN$3,0,0,'Données projet'!$E$15+1,1))-AVERAGE(OFFSET($H$3,0,0,'Données projet'!$E$15+1,1))</f>
        <v>375.49921531693559</v>
      </c>
      <c r="EP119" s="60">
        <f t="shared" si="100"/>
        <v>306.93934681565599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5.6843418860808015E-14</v>
      </c>
      <c r="FF119" s="18">
        <f>FE119*VLOOKUP('Données projet'!$B$16,Paramètres!$A$1:$I$89,3,0)*VLOOKUP('Données projet'!$B$16,Paramètres!$A$1:$I$89,5,0)</f>
        <v>4.6111381379887463E-14</v>
      </c>
      <c r="FG119" s="14">
        <f t="shared" si="101"/>
        <v>7.5804141040779151E-13</v>
      </c>
      <c r="FH119" s="22">
        <f t="shared" si="76"/>
        <v>1.4005661123635408E-12</v>
      </c>
      <c r="FI119" s="60">
        <f t="shared" si="77"/>
        <v>281.29424389472291</v>
      </c>
      <c r="FJ119" s="60">
        <f ca="1">AVERAGE(OFFSET($FI$3,0,0,'Données projet'!$E$16+1,1))-AVERAGE(OFFSET($H$3,0,0,'Données projet'!$E$16+1,1))</f>
        <v>308.58270639204238</v>
      </c>
      <c r="FK119" s="60">
        <f t="shared" si="102"/>
        <v>258.90832875500325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3.4</v>
      </c>
      <c r="FZ119" s="13">
        <f>IF('Données projet'!$A$244&gt;35,FZ118+FY119-GH118,IF(A119&lt;'Données projet'!$A$244,$FW$205^A119,IF(A119='Données projet'!$A$244,'Données projet'!$B$244,FZ118+FY119-GH118)))</f>
        <v>270.39999999999969</v>
      </c>
      <c r="GA119" s="18">
        <f>FZ119*VLOOKUP('Données projet'!$B$17,Paramètres!$A$1:$I$89,3,0)*VLOOKUP('Données projet'!$B$17,Paramètres!$A$1:$I$89,5,0)</f>
        <v>261.53087999999968</v>
      </c>
      <c r="GB119" s="14">
        <f t="shared" si="103"/>
        <v>63.048588127701258</v>
      </c>
      <c r="GC119" s="22">
        <f t="shared" si="79"/>
        <v>565.30924032241239</v>
      </c>
      <c r="GD119" s="60">
        <f t="shared" si="80"/>
        <v>846.60348421713388</v>
      </c>
      <c r="GE119" s="60">
        <f ca="1">AVERAGE(OFFSET($GD$3,0,0,'Données projet'!$E$17+1,1))-AVERAGE(OFFSET($H$3,0,0,'Données projet'!$E$17+1,1))</f>
        <v>495.77880062178235</v>
      </c>
      <c r="GF119" s="60">
        <f t="shared" si="104"/>
        <v>263.55891737750301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5.4</v>
      </c>
      <c r="N120" s="14">
        <f>IF('Données projet'!$A$36&gt;35,N119+M120-V119,IF(A120&lt;'Données projet'!$A$36,$K$205^A120,IF(A120='Données projet'!$A$36,'Données projet'!$B$36,N119+M120-V119)))</f>
        <v>414.80000000000035</v>
      </c>
      <c r="O120" s="14">
        <f>N120*VLOOKUP('Données projet'!$B$9,Paramètres!$A$1:$I$89,3,0)*VLOOKUP('Données projet'!$B$9,Paramètres!$A$1:$I$89,5,0)</f>
        <v>355.89840000000032</v>
      </c>
      <c r="P120" s="14">
        <f t="shared" si="87"/>
        <v>82.775869214346599</v>
      </c>
      <c r="Q120" s="22">
        <f t="shared" si="107"/>
        <v>764.02435221498752</v>
      </c>
      <c r="R120" s="60">
        <f t="shared" si="55"/>
        <v>1045.5274473960972</v>
      </c>
      <c r="S120" s="60">
        <f ca="1">AVERAGE(OFFSET($R$3,0,0,'Données projet'!$E$9+1,1))-AVERAGE(OFFSET($H$3,0,0,'Données projet'!$E$9+1,1))</f>
        <v>598.73855311281966</v>
      </c>
      <c r="T120" s="60">
        <f t="shared" si="88"/>
        <v>275.88160405468193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273.79999999999967</v>
      </c>
      <c r="AJ120" s="14">
        <f>AI120*VLOOKUP('Données projet'!$B$10,Paramètres!$A$1:$I$89,3,0)*VLOOKUP('Données projet'!$B$10,Paramètres!$A$1:$I$89,5,0)</f>
        <v>277.6331999999997</v>
      </c>
      <c r="AK120" s="14">
        <f t="shared" si="89"/>
        <v>66.466589162975581</v>
      </c>
      <c r="AL120" s="22">
        <f t="shared" si="58"/>
        <v>599.30713279218196</v>
      </c>
      <c r="AM120" s="60">
        <f t="shared" si="59"/>
        <v>880.8102279732916</v>
      </c>
      <c r="AN120" s="60">
        <f ca="1">AVERAGE(OFFSET($AM$3,0,0,'Données projet'!$E$10+1,1))-AVERAGE(OFFSET($H$3,0,0,'Données projet'!$E$10+1,1))</f>
        <v>515.72324585399997</v>
      </c>
      <c r="AO120" s="60">
        <f t="shared" si="90"/>
        <v>273.35778700650792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2.7134774427395314E-13</v>
      </c>
      <c r="BF120" s="14">
        <f t="shared" si="91"/>
        <v>3.6292411711343559E-12</v>
      </c>
      <c r="BG120" s="22">
        <f t="shared" si="61"/>
        <v>6.7935256943361388E-12</v>
      </c>
      <c r="BH120" s="60">
        <f t="shared" si="62"/>
        <v>281.50309518111646</v>
      </c>
      <c r="BI120" s="60">
        <f ca="1">AVERAGE(OFFSET($BH$3,0,0,'Données projet'!$E$11+1,1))-AVERAGE(OFFSET($H$3,0,0,'Données projet'!$E$11+1,1))</f>
        <v>336.25341821407534</v>
      </c>
      <c r="BJ120" s="60">
        <f t="shared" si="92"/>
        <v>360.3246221345039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0.46605592553484743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0.46605592553484743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3.141025641025641</v>
      </c>
      <c r="BY120" s="13">
        <f>IF('Données projet'!$A$114&gt;35,BY119+BX120-CG119,IF(A120&lt;'Données projet'!$A$114,$BV$205^A120,IF(A120='Données projet'!$A$114,'Données projet'!$B$114,BY119+BX120-CG119)))</f>
        <v>276.47435897435912</v>
      </c>
      <c r="BZ120" s="14">
        <f>BY120*VLOOKUP('Données projet'!$B$12,Paramètres!$A$1:$I$89,3,0)*VLOOKUP('Données projet'!$B$12,Paramètres!$A$1:$I$89,5,0)</f>
        <v>263.09300000000013</v>
      </c>
      <c r="CA120" s="14">
        <f t="shared" si="93"/>
        <v>63.381226101139966</v>
      </c>
      <c r="CB120" s="22">
        <f t="shared" si="64"/>
        <v>568.60927712615228</v>
      </c>
      <c r="CC120" s="60">
        <f t="shared" si="65"/>
        <v>850.11237230726192</v>
      </c>
      <c r="CD120" s="60">
        <f ca="1">AVERAGE(OFFSET($CC$3,0,0,'Données projet'!$E$12+1,1))-AVERAGE(OFFSET($H$3,0,0,'Données projet'!$E$12+1,1))</f>
        <v>438.41611139377829</v>
      </c>
      <c r="CE120" s="60">
        <f t="shared" si="94"/>
        <v>345.17417065809605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-4.5224624045658861E-14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395.27840703467933</v>
      </c>
      <c r="CZ120" s="60">
        <f t="shared" si="96"/>
        <v>364.24192380053944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-2.8421709430404007E-13</v>
      </c>
      <c r="DP120" s="18">
        <f>DO120*VLOOKUP('Données projet'!$B$14,Paramètres!$A$1:$I$89,3,0)*VLOOKUP('Données projet'!$B$14,Paramètres!$A$1:$I$89,5,0)</f>
        <v>-2.2168933355715128E-13</v>
      </c>
      <c r="DQ120" s="14" t="e">
        <f t="shared" si="97"/>
        <v>#NUM!</v>
      </c>
      <c r="DR120" s="22" t="e">
        <f t="shared" si="70"/>
        <v>#NUM!</v>
      </c>
      <c r="DS120" s="60" t="e">
        <f t="shared" si="71"/>
        <v>#NUM!</v>
      </c>
      <c r="DT120" s="60">
        <f ca="1">AVERAGE(OFFSET($DS$3,0,0,'Données projet'!$E$14+1,1))-AVERAGE(OFFSET($H$3,0,0,'Données projet'!$E$14+1,1))</f>
        <v>308.76306523144956</v>
      </c>
      <c r="DU120" s="60">
        <f t="shared" si="98"/>
        <v>283.28099819802776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2.2737367544323206E-13</v>
      </c>
      <c r="EK120" s="18">
        <f>EJ120*VLOOKUP('Données projet'!$B$15,Paramètres!$A$1:$I$89,3,0)*VLOOKUP('Données projet'!$B$15,Paramètres!$A$1:$I$89,5,0)</f>
        <v>1.5252226148732008E-13</v>
      </c>
      <c r="EL120" s="14">
        <f t="shared" si="99"/>
        <v>2.1814502464536512E-12</v>
      </c>
      <c r="EM120" s="22">
        <f t="shared" si="73"/>
        <v>4.0650021179971913E-12</v>
      </c>
      <c r="EN120" s="60">
        <f t="shared" si="74"/>
        <v>281.50309518111374</v>
      </c>
      <c r="EO120" s="60">
        <f ca="1">AVERAGE(OFFSET($EN$3,0,0,'Données projet'!$E$15+1,1))-AVERAGE(OFFSET($H$3,0,0,'Données projet'!$E$15+1,1))</f>
        <v>375.49921531693559</v>
      </c>
      <c r="EP120" s="60">
        <f t="shared" si="100"/>
        <v>306.93934681565599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5.6843418860808015E-14</v>
      </c>
      <c r="FF120" s="18">
        <f>FE120*VLOOKUP('Données projet'!$B$16,Paramètres!$A$1:$I$89,3,0)*VLOOKUP('Données projet'!$B$16,Paramètres!$A$1:$I$89,5,0)</f>
        <v>4.6111381379887463E-14</v>
      </c>
      <c r="FG120" s="14">
        <f t="shared" si="101"/>
        <v>7.5804141040779151E-13</v>
      </c>
      <c r="FH120" s="22">
        <f t="shared" si="76"/>
        <v>1.4005661123635408E-12</v>
      </c>
      <c r="FI120" s="60">
        <f t="shared" si="77"/>
        <v>281.50309518111106</v>
      </c>
      <c r="FJ120" s="60">
        <f ca="1">AVERAGE(OFFSET($FI$3,0,0,'Données projet'!$E$16+1,1))-AVERAGE(OFFSET($H$3,0,0,'Données projet'!$E$16+1,1))</f>
        <v>308.58270639204238</v>
      </c>
      <c r="FK120" s="60">
        <f t="shared" si="102"/>
        <v>258.90832875500325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3.4</v>
      </c>
      <c r="FZ120" s="13">
        <f>IF('Données projet'!$A$244&gt;35,FZ119+FY120-GH119,IF(A120&lt;'Données projet'!$A$244,$FW$205^A120,IF(A120='Données projet'!$A$244,'Données projet'!$B$244,FZ119+FY120-GH119)))</f>
        <v>273.79999999999967</v>
      </c>
      <c r="GA120" s="18">
        <f>FZ120*VLOOKUP('Données projet'!$B$17,Paramètres!$A$1:$I$89,3,0)*VLOOKUP('Données projet'!$B$17,Paramètres!$A$1:$I$89,5,0)</f>
        <v>264.81935999999968</v>
      </c>
      <c r="GB120" s="14">
        <f t="shared" si="103"/>
        <v>63.748570085237006</v>
      </c>
      <c r="GC120" s="22">
        <f t="shared" si="79"/>
        <v>572.25581156512055</v>
      </c>
      <c r="GD120" s="60">
        <f t="shared" si="80"/>
        <v>853.7589067462302</v>
      </c>
      <c r="GE120" s="60">
        <f ca="1">AVERAGE(OFFSET($GD$3,0,0,'Données projet'!$E$17+1,1))-AVERAGE(OFFSET($H$3,0,0,'Données projet'!$E$17+1,1))</f>
        <v>495.77880062178235</v>
      </c>
      <c r="GF120" s="60">
        <f t="shared" si="104"/>
        <v>263.55891737750301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5.4</v>
      </c>
      <c r="N121" s="14">
        <f>IF('Données projet'!$A$36&gt;35,N120+M121-V120,IF(A121&lt;'Données projet'!$A$36,$K$205^A121,IF(A121='Données projet'!$A$36,'Données projet'!$B$36,N120+M121-V120)))</f>
        <v>420.20000000000033</v>
      </c>
      <c r="O121" s="14">
        <f>N121*VLOOKUP('Données projet'!$B$9,Paramètres!$A$1:$I$89,3,0)*VLOOKUP('Données projet'!$B$9,Paramètres!$A$1:$I$89,5,0)</f>
        <v>360.53160000000037</v>
      </c>
      <c r="P121" s="14">
        <f t="shared" si="87"/>
        <v>83.727321203860839</v>
      </c>
      <c r="Q121" s="22">
        <f t="shared" si="107"/>
        <v>773.75095443005819</v>
      </c>
      <c r="R121" s="60">
        <f t="shared" si="55"/>
        <v>1055.4592777946586</v>
      </c>
      <c r="S121" s="60">
        <f ca="1">AVERAGE(OFFSET($R$3,0,0,'Données projet'!$E$9+1,1))-AVERAGE(OFFSET($H$3,0,0,'Données projet'!$E$9+1,1))</f>
        <v>598.73855311281966</v>
      </c>
      <c r="T121" s="60">
        <f t="shared" si="88"/>
        <v>275.88160405468193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277.19999999999965</v>
      </c>
      <c r="AJ121" s="14">
        <f>AI121*VLOOKUP('Données projet'!$B$10,Paramètres!$A$1:$I$89,3,0)*VLOOKUP('Données projet'!$B$10,Paramètres!$A$1:$I$89,5,0)</f>
        <v>281.08079999999967</v>
      </c>
      <c r="AK121" s="14">
        <f t="shared" si="89"/>
        <v>67.195361752546063</v>
      </c>
      <c r="AL121" s="22">
        <f t="shared" si="58"/>
        <v>606.58098171901713</v>
      </c>
      <c r="AM121" s="60">
        <f t="shared" si="59"/>
        <v>888.28930508361759</v>
      </c>
      <c r="AN121" s="60">
        <f ca="1">AVERAGE(OFFSET($AM$3,0,0,'Données projet'!$E$10+1,1))-AVERAGE(OFFSET($H$3,0,0,'Données projet'!$E$10+1,1))</f>
        <v>515.72324585399997</v>
      </c>
      <c r="AO121" s="60">
        <f t="shared" si="90"/>
        <v>273.35778700650792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2.7134774427395314E-13</v>
      </c>
      <c r="BF121" s="14">
        <f t="shared" si="91"/>
        <v>3.6292411711343559E-12</v>
      </c>
      <c r="BG121" s="22">
        <f t="shared" si="61"/>
        <v>6.7935256943361388E-12</v>
      </c>
      <c r="BH121" s="60">
        <f t="shared" si="62"/>
        <v>281.70832336460722</v>
      </c>
      <c r="BI121" s="60">
        <f ca="1">AVERAGE(OFFSET($BH$3,0,0,'Données projet'!$E$11+1,1))-AVERAGE(OFFSET($H$3,0,0,'Données projet'!$E$11+1,1))</f>
        <v>336.25341821407534</v>
      </c>
      <c r="BJ121" s="60">
        <f t="shared" si="92"/>
        <v>360.3246221345039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0.45331160174228108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0.45331160174228108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3.141025641025641</v>
      </c>
      <c r="BY121" s="13">
        <f>IF('Données projet'!$A$114&gt;35,BY120+BX121-CG120,IF(A121&lt;'Données projet'!$A$114,$BV$205^A121,IF(A121='Données projet'!$A$114,'Données projet'!$B$114,BY120+BX121-CG120)))</f>
        <v>279.61538461538476</v>
      </c>
      <c r="BZ121" s="14">
        <f>BY121*VLOOKUP('Données projet'!$B$12,Paramètres!$A$1:$I$89,3,0)*VLOOKUP('Données projet'!$B$12,Paramètres!$A$1:$I$89,5,0)</f>
        <v>266.08200000000011</v>
      </c>
      <c r="CA121" s="14">
        <f t="shared" si="93"/>
        <v>64.017064743360152</v>
      </c>
      <c r="CB121" s="22">
        <f t="shared" si="64"/>
        <v>574.92253776135237</v>
      </c>
      <c r="CC121" s="60">
        <f t="shared" si="65"/>
        <v>856.63086112595283</v>
      </c>
      <c r="CD121" s="60">
        <f ca="1">AVERAGE(OFFSET($CC$3,0,0,'Données projet'!$E$12+1,1))-AVERAGE(OFFSET($H$3,0,0,'Données projet'!$E$12+1,1))</f>
        <v>438.41611139377829</v>
      </c>
      <c r="CE121" s="60">
        <f t="shared" si="94"/>
        <v>345.17417065809605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-4.5224624045658861E-14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395.27840703467933</v>
      </c>
      <c r="CZ121" s="60">
        <f t="shared" si="96"/>
        <v>364.24192380053944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-2.8421709430404007E-13</v>
      </c>
      <c r="DP121" s="18">
        <f>DO121*VLOOKUP('Données projet'!$B$14,Paramètres!$A$1:$I$89,3,0)*VLOOKUP('Données projet'!$B$14,Paramètres!$A$1:$I$89,5,0)</f>
        <v>-2.2168933355715128E-13</v>
      </c>
      <c r="DQ121" s="14" t="e">
        <f t="shared" si="97"/>
        <v>#NUM!</v>
      </c>
      <c r="DR121" s="22" t="e">
        <f t="shared" si="70"/>
        <v>#NUM!</v>
      </c>
      <c r="DS121" s="60" t="e">
        <f t="shared" si="71"/>
        <v>#NUM!</v>
      </c>
      <c r="DT121" s="60">
        <f ca="1">AVERAGE(OFFSET($DS$3,0,0,'Données projet'!$E$14+1,1))-AVERAGE(OFFSET($H$3,0,0,'Données projet'!$E$14+1,1))</f>
        <v>308.76306523144956</v>
      </c>
      <c r="DU121" s="60">
        <f t="shared" si="98"/>
        <v>283.28099819802776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2.2737367544323206E-13</v>
      </c>
      <c r="EK121" s="18">
        <f>EJ121*VLOOKUP('Données projet'!$B$15,Paramètres!$A$1:$I$89,3,0)*VLOOKUP('Données projet'!$B$15,Paramètres!$A$1:$I$89,5,0)</f>
        <v>1.5252226148732008E-13</v>
      </c>
      <c r="EL121" s="14">
        <f t="shared" si="99"/>
        <v>2.1814502464536512E-12</v>
      </c>
      <c r="EM121" s="22">
        <f t="shared" si="73"/>
        <v>4.0650021179971913E-12</v>
      </c>
      <c r="EN121" s="60">
        <f t="shared" si="74"/>
        <v>281.7083233646045</v>
      </c>
      <c r="EO121" s="60">
        <f ca="1">AVERAGE(OFFSET($EN$3,0,0,'Données projet'!$E$15+1,1))-AVERAGE(OFFSET($H$3,0,0,'Données projet'!$E$15+1,1))</f>
        <v>375.49921531693559</v>
      </c>
      <c r="EP121" s="60">
        <f t="shared" si="100"/>
        <v>306.93934681565599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5.6843418860808015E-14</v>
      </c>
      <c r="FF121" s="18">
        <f>FE121*VLOOKUP('Données projet'!$B$16,Paramètres!$A$1:$I$89,3,0)*VLOOKUP('Données projet'!$B$16,Paramètres!$A$1:$I$89,5,0)</f>
        <v>4.6111381379887463E-14</v>
      </c>
      <c r="FG121" s="14">
        <f t="shared" si="101"/>
        <v>7.5804141040779151E-13</v>
      </c>
      <c r="FH121" s="22">
        <f t="shared" si="76"/>
        <v>1.4005661123635408E-12</v>
      </c>
      <c r="FI121" s="60">
        <f t="shared" si="77"/>
        <v>281.70832336460182</v>
      </c>
      <c r="FJ121" s="60">
        <f ca="1">AVERAGE(OFFSET($FI$3,0,0,'Données projet'!$E$16+1,1))-AVERAGE(OFFSET($H$3,0,0,'Données projet'!$E$16+1,1))</f>
        <v>308.58270639204238</v>
      </c>
      <c r="FK121" s="60">
        <f t="shared" si="102"/>
        <v>258.90832875500325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3.4</v>
      </c>
      <c r="FZ121" s="13">
        <f>IF('Données projet'!$A$244&gt;35,FZ120+FY121-GH120,IF(A121&lt;'Données projet'!$A$244,$FW$205^A121,IF(A121='Données projet'!$A$244,'Données projet'!$B$244,FZ120+FY121-GH120)))</f>
        <v>277.19999999999965</v>
      </c>
      <c r="GA121" s="18">
        <f>FZ121*VLOOKUP('Données projet'!$B$17,Paramètres!$A$1:$I$89,3,0)*VLOOKUP('Données projet'!$B$17,Paramètres!$A$1:$I$89,5,0)</f>
        <v>268.10783999999967</v>
      </c>
      <c r="GB121" s="14">
        <f t="shared" si="103"/>
        <v>64.447540968014124</v>
      </c>
      <c r="GC121" s="22">
        <f t="shared" si="79"/>
        <v>579.20062185262395</v>
      </c>
      <c r="GD121" s="60">
        <f t="shared" si="80"/>
        <v>860.9089452172243</v>
      </c>
      <c r="GE121" s="60">
        <f ca="1">AVERAGE(OFFSET($GD$3,0,0,'Données projet'!$E$17+1,1))-AVERAGE(OFFSET($H$3,0,0,'Données projet'!$E$17+1,1))</f>
        <v>495.77880062178235</v>
      </c>
      <c r="GF121" s="60">
        <f t="shared" si="104"/>
        <v>263.55891737750301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5.4</v>
      </c>
      <c r="N122" s="14">
        <f>IF('Données projet'!$A$36&gt;35,N121+M122-V121,IF(A122&lt;'Données projet'!$A$36,$K$205^A122,IF(A122='Données projet'!$A$36,'Données projet'!$B$36,N121+M122-V121)))</f>
        <v>425.60000000000031</v>
      </c>
      <c r="O122" s="14">
        <f>N122*VLOOKUP('Données projet'!$B$9,Paramètres!$A$1:$I$89,3,0)*VLOOKUP('Données projet'!$B$9,Paramètres!$A$1:$I$89,5,0)</f>
        <v>365.1648000000003</v>
      </c>
      <c r="P122" s="14">
        <f t="shared" si="87"/>
        <v>84.677350977800302</v>
      </c>
      <c r="Q122" s="22">
        <f t="shared" si="107"/>
        <v>783.47507961966937</v>
      </c>
      <c r="R122" s="60">
        <f t="shared" si="55"/>
        <v>1065.3850709175986</v>
      </c>
      <c r="S122" s="60">
        <f ca="1">AVERAGE(OFFSET($R$3,0,0,'Données projet'!$E$9+1,1))-AVERAGE(OFFSET($H$3,0,0,'Données projet'!$E$9+1,1))</f>
        <v>598.73855311281966</v>
      </c>
      <c r="T122" s="60">
        <f t="shared" si="88"/>
        <v>275.88160405468193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280.59999999999962</v>
      </c>
      <c r="AJ122" s="14">
        <f>AI122*VLOOKUP('Données projet'!$B$10,Paramètres!$A$1:$I$89,3,0)*VLOOKUP('Données projet'!$B$10,Paramètres!$A$1:$I$89,5,0)</f>
        <v>284.52839999999964</v>
      </c>
      <c r="AK122" s="14">
        <f t="shared" si="89"/>
        <v>67.923094584210816</v>
      </c>
      <c r="AL122" s="22">
        <f t="shared" si="58"/>
        <v>613.85301973416642</v>
      </c>
      <c r="AM122" s="60">
        <f t="shared" si="59"/>
        <v>895.76301103209562</v>
      </c>
      <c r="AN122" s="60">
        <f ca="1">AVERAGE(OFFSET($AM$3,0,0,'Données projet'!$E$10+1,1))-AVERAGE(OFFSET($H$3,0,0,'Données projet'!$E$10+1,1))</f>
        <v>515.72324585399997</v>
      </c>
      <c r="AO122" s="60">
        <f t="shared" si="90"/>
        <v>273.35778700650792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2.7134774427395314E-13</v>
      </c>
      <c r="BF122" s="14">
        <f t="shared" si="91"/>
        <v>3.6292411711343559E-12</v>
      </c>
      <c r="BG122" s="22">
        <f t="shared" si="61"/>
        <v>6.7935256943361388E-12</v>
      </c>
      <c r="BH122" s="60">
        <f t="shared" si="62"/>
        <v>281.90999129793596</v>
      </c>
      <c r="BI122" s="60">
        <f ca="1">AVERAGE(OFFSET($BH$3,0,0,'Données projet'!$E$11+1,1))-AVERAGE(OFFSET($H$3,0,0,'Données projet'!$E$11+1,1))</f>
        <v>336.25341821407534</v>
      </c>
      <c r="BJ122" s="60">
        <f t="shared" si="92"/>
        <v>360.3246221345039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0.44091577215401734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0.44091577215401734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3.141025641025641</v>
      </c>
      <c r="BY122" s="13">
        <f>IF('Données projet'!$A$114&gt;35,BY121+BX122-CG121,IF(A122&lt;'Données projet'!$A$114,$BV$205^A122,IF(A122='Données projet'!$A$114,'Données projet'!$B$114,BY121+BX122-CG121)))</f>
        <v>282.75641025641039</v>
      </c>
      <c r="BZ122" s="14">
        <f>BY122*VLOOKUP('Données projet'!$B$12,Paramètres!$A$1:$I$89,3,0)*VLOOKUP('Données projet'!$B$12,Paramètres!$A$1:$I$89,5,0)</f>
        <v>269.07100000000014</v>
      </c>
      <c r="CA122" s="14">
        <f t="shared" si="93"/>
        <v>64.652072509850228</v>
      </c>
      <c r="CB122" s="22">
        <f t="shared" si="64"/>
        <v>581.2343512879894</v>
      </c>
      <c r="CC122" s="60">
        <f t="shared" si="65"/>
        <v>863.14434258591859</v>
      </c>
      <c r="CD122" s="60">
        <f ca="1">AVERAGE(OFFSET($CC$3,0,0,'Données projet'!$E$12+1,1))-AVERAGE(OFFSET($H$3,0,0,'Données projet'!$E$12+1,1))</f>
        <v>438.41611139377829</v>
      </c>
      <c r="CE122" s="60">
        <f t="shared" si="94"/>
        <v>345.17417065809605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-4.5224624045658861E-14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395.27840703467933</v>
      </c>
      <c r="CZ122" s="60">
        <f t="shared" si="96"/>
        <v>364.24192380053944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-2.8421709430404007E-13</v>
      </c>
      <c r="DP122" s="18">
        <f>DO122*VLOOKUP('Données projet'!$B$14,Paramètres!$A$1:$I$89,3,0)*VLOOKUP('Données projet'!$B$14,Paramètres!$A$1:$I$89,5,0)</f>
        <v>-2.2168933355715128E-13</v>
      </c>
      <c r="DQ122" s="14" t="e">
        <f t="shared" si="97"/>
        <v>#NUM!</v>
      </c>
      <c r="DR122" s="22" t="e">
        <f t="shared" si="70"/>
        <v>#NUM!</v>
      </c>
      <c r="DS122" s="60" t="e">
        <f t="shared" si="71"/>
        <v>#NUM!</v>
      </c>
      <c r="DT122" s="60">
        <f ca="1">AVERAGE(OFFSET($DS$3,0,0,'Données projet'!$E$14+1,1))-AVERAGE(OFFSET($H$3,0,0,'Données projet'!$E$14+1,1))</f>
        <v>308.76306523144956</v>
      </c>
      <c r="DU122" s="60">
        <f t="shared" si="98"/>
        <v>283.28099819802776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2.2737367544323206E-13</v>
      </c>
      <c r="EK122" s="18">
        <f>EJ122*VLOOKUP('Données projet'!$B$15,Paramètres!$A$1:$I$89,3,0)*VLOOKUP('Données projet'!$B$15,Paramètres!$A$1:$I$89,5,0)</f>
        <v>1.5252226148732008E-13</v>
      </c>
      <c r="EL122" s="14">
        <f t="shared" si="99"/>
        <v>2.1814502464536512E-12</v>
      </c>
      <c r="EM122" s="22">
        <f t="shared" si="73"/>
        <v>4.0650021179971913E-12</v>
      </c>
      <c r="EN122" s="60">
        <f t="shared" si="74"/>
        <v>281.90999129793323</v>
      </c>
      <c r="EO122" s="60">
        <f ca="1">AVERAGE(OFFSET($EN$3,0,0,'Données projet'!$E$15+1,1))-AVERAGE(OFFSET($H$3,0,0,'Données projet'!$E$15+1,1))</f>
        <v>375.49921531693559</v>
      </c>
      <c r="EP122" s="60">
        <f t="shared" si="100"/>
        <v>306.93934681565599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5.6843418860808015E-14</v>
      </c>
      <c r="FF122" s="18">
        <f>FE122*VLOOKUP('Données projet'!$B$16,Paramètres!$A$1:$I$89,3,0)*VLOOKUP('Données projet'!$B$16,Paramètres!$A$1:$I$89,5,0)</f>
        <v>4.6111381379887463E-14</v>
      </c>
      <c r="FG122" s="14">
        <f t="shared" si="101"/>
        <v>7.5804141040779151E-13</v>
      </c>
      <c r="FH122" s="22">
        <f t="shared" si="76"/>
        <v>1.4005661123635408E-12</v>
      </c>
      <c r="FI122" s="60">
        <f t="shared" si="77"/>
        <v>281.90999129793056</v>
      </c>
      <c r="FJ122" s="60">
        <f ca="1">AVERAGE(OFFSET($FI$3,0,0,'Données projet'!$E$16+1,1))-AVERAGE(OFFSET($H$3,0,0,'Données projet'!$E$16+1,1))</f>
        <v>308.58270639204238</v>
      </c>
      <c r="FK122" s="60">
        <f t="shared" si="102"/>
        <v>258.90832875500325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3.4</v>
      </c>
      <c r="FZ122" s="13">
        <f>IF('Données projet'!$A$244&gt;35,FZ121+FY122-GH121,IF(A122&lt;'Données projet'!$A$244,$FW$205^A122,IF(A122='Données projet'!$A$244,'Données projet'!$B$244,FZ121+FY122-GH121)))</f>
        <v>280.59999999999962</v>
      </c>
      <c r="GA122" s="18">
        <f>FZ122*VLOOKUP('Données projet'!$B$17,Paramètres!$A$1:$I$89,3,0)*VLOOKUP('Données projet'!$B$17,Paramètres!$A$1:$I$89,5,0)</f>
        <v>271.3963199999996</v>
      </c>
      <c r="GB122" s="14">
        <f t="shared" si="103"/>
        <v>65.145514611718866</v>
      </c>
      <c r="GC122" s="22">
        <f t="shared" si="79"/>
        <v>586.14369528207624</v>
      </c>
      <c r="GD122" s="60">
        <f t="shared" si="80"/>
        <v>868.05368658000543</v>
      </c>
      <c r="GE122" s="60">
        <f ca="1">AVERAGE(OFFSET($GD$3,0,0,'Données projet'!$E$17+1,1))-AVERAGE(OFFSET($H$3,0,0,'Données projet'!$E$17+1,1))</f>
        <v>495.77880062178235</v>
      </c>
      <c r="GF122" s="60">
        <f t="shared" si="104"/>
        <v>263.55891737750301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5.4</v>
      </c>
      <c r="N123" s="14">
        <f>IF('Données projet'!$A$36&gt;35,N122+M123-V122,IF(A123&lt;'Données projet'!$A$36,$K$205^A123,IF(A123='Données projet'!$A$36,'Données projet'!$B$36,N122+M123-V122)))</f>
        <v>431.00000000000028</v>
      </c>
      <c r="O123" s="14">
        <f>N123*VLOOKUP('Données projet'!$B$9,Paramètres!$A$1:$I$89,3,0)*VLOOKUP('Données projet'!$B$9,Paramètres!$A$1:$I$89,5,0)</f>
        <v>369.79800000000029</v>
      </c>
      <c r="P123" s="14">
        <f t="shared" si="87"/>
        <v>85.625978667852593</v>
      </c>
      <c r="Q123" s="22">
        <f t="shared" si="107"/>
        <v>793.19676284651041</v>
      </c>
      <c r="R123" s="60">
        <f t="shared" si="55"/>
        <v>1075.3049235899871</v>
      </c>
      <c r="S123" s="60">
        <f ca="1">AVERAGE(OFFSET($R$3,0,0,'Données projet'!$E$9+1,1))-AVERAGE(OFFSET($H$3,0,0,'Données projet'!$E$9+1,1))</f>
        <v>598.73855311281966</v>
      </c>
      <c r="T123" s="60">
        <f t="shared" si="88"/>
        <v>275.88160405468193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283.9999999999996</v>
      </c>
      <c r="AJ123" s="14">
        <f>AI123*VLOOKUP('Données projet'!$B$10,Paramètres!$A$1:$I$89,3,0)*VLOOKUP('Données projet'!$B$10,Paramètres!$A$1:$I$89,5,0)</f>
        <v>287.9759999999996</v>
      </c>
      <c r="AK123" s="14">
        <f t="shared" si="89"/>
        <v>68.649801713863027</v>
      </c>
      <c r="AL123" s="22">
        <f t="shared" si="58"/>
        <v>621.1232713183108</v>
      </c>
      <c r="AM123" s="60">
        <f t="shared" si="59"/>
        <v>903.23143206178747</v>
      </c>
      <c r="AN123" s="60">
        <f ca="1">AVERAGE(OFFSET($AM$3,0,0,'Données projet'!$E$10+1,1))-AVERAGE(OFFSET($H$3,0,0,'Données projet'!$E$10+1,1))</f>
        <v>515.72324585399997</v>
      </c>
      <c r="AO123" s="60">
        <f t="shared" si="90"/>
        <v>273.35778700650792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2.7134774427395314E-13</v>
      </c>
      <c r="BF123" s="14">
        <f t="shared" si="91"/>
        <v>3.6292411711343559E-12</v>
      </c>
      <c r="BG123" s="22">
        <f t="shared" si="61"/>
        <v>6.7935256943361388E-12</v>
      </c>
      <c r="BH123" s="60">
        <f t="shared" si="62"/>
        <v>282.10816074348344</v>
      </c>
      <c r="BI123" s="60">
        <f ca="1">AVERAGE(OFFSET($BH$3,0,0,'Données projet'!$E$11+1,1))-AVERAGE(OFFSET($H$3,0,0,'Données projet'!$E$11+1,1))</f>
        <v>336.25341821407534</v>
      </c>
      <c r="BJ123" s="60">
        <f t="shared" si="92"/>
        <v>360.3246221345039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0.42885890717771302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0.42885890717771302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285.89743589743591</v>
      </c>
      <c r="BW123" s="13">
        <f>VLOOKUP(A123,'Données projet'!$A$113:$I$133,9,0)</f>
        <v>3.141025641025641</v>
      </c>
      <c r="BX123" s="13">
        <f t="array" ref="BX123">INDEX(BW:BW,MIN(IF(ISNUMBER(BW123:BW319),ROW(BW123:BW319),"")))</f>
        <v>3.141025641025641</v>
      </c>
      <c r="BY123" s="13">
        <f>IF('Données projet'!$A$114&gt;35,BY122+BX123-CG122,IF(A123&lt;'Données projet'!$A$114,$BV$205^A123,IF(A123='Données projet'!$A$114,'Données projet'!$B$114,BY122+BX123-CG122)))</f>
        <v>285.89743589743603</v>
      </c>
      <c r="BZ123" s="14">
        <f>BY123*VLOOKUP('Données projet'!$B$12,Paramètres!$A$1:$I$89,3,0)*VLOOKUP('Données projet'!$B$12,Paramètres!$A$1:$I$89,5,0)</f>
        <v>272.06000000000012</v>
      </c>
      <c r="CA123" s="14">
        <f t="shared" si="93"/>
        <v>65.286259698592175</v>
      </c>
      <c r="CB123" s="22">
        <f t="shared" si="64"/>
        <v>587.54473564171485</v>
      </c>
      <c r="CC123" s="60">
        <f t="shared" si="65"/>
        <v>869.65289638519153</v>
      </c>
      <c r="CD123" s="60">
        <f ca="1">AVERAGE(OFFSET($CC$3,0,0,'Données projet'!$E$12+1,1))-AVERAGE(OFFSET($H$3,0,0,'Données projet'!$E$12+1,1))</f>
        <v>438.41611139377829</v>
      </c>
      <c r="CE123" s="60">
        <f t="shared" si="94"/>
        <v>345.17417065809605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285.89743589743591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-4.5224624045658861E-14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395.27840703467933</v>
      </c>
      <c r="CZ123" s="60">
        <f t="shared" si="96"/>
        <v>364.24192380053944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-2.8421709430404007E-13</v>
      </c>
      <c r="DP123" s="18">
        <f>DO123*VLOOKUP('Données projet'!$B$14,Paramètres!$A$1:$I$89,3,0)*VLOOKUP('Données projet'!$B$14,Paramètres!$A$1:$I$89,5,0)</f>
        <v>-2.2168933355715128E-13</v>
      </c>
      <c r="DQ123" s="14" t="e">
        <f t="shared" si="97"/>
        <v>#NUM!</v>
      </c>
      <c r="DR123" s="22" t="e">
        <f t="shared" si="70"/>
        <v>#NUM!</v>
      </c>
      <c r="DS123" s="60" t="e">
        <f t="shared" si="71"/>
        <v>#NUM!</v>
      </c>
      <c r="DT123" s="60">
        <f ca="1">AVERAGE(OFFSET($DS$3,0,0,'Données projet'!$E$14+1,1))-AVERAGE(OFFSET($H$3,0,0,'Données projet'!$E$14+1,1))</f>
        <v>308.76306523144956</v>
      </c>
      <c r="DU123" s="60">
        <f t="shared" si="98"/>
        <v>283.28099819802776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2.2737367544323206E-13</v>
      </c>
      <c r="EK123" s="18">
        <f>EJ123*VLOOKUP('Données projet'!$B$15,Paramètres!$A$1:$I$89,3,0)*VLOOKUP('Données projet'!$B$15,Paramètres!$A$1:$I$89,5,0)</f>
        <v>1.5252226148732008E-13</v>
      </c>
      <c r="EL123" s="14">
        <f t="shared" si="99"/>
        <v>2.1814502464536512E-12</v>
      </c>
      <c r="EM123" s="22">
        <f t="shared" si="73"/>
        <v>4.0650021179971913E-12</v>
      </c>
      <c r="EN123" s="60">
        <f t="shared" si="74"/>
        <v>282.10816074348071</v>
      </c>
      <c r="EO123" s="60">
        <f ca="1">AVERAGE(OFFSET($EN$3,0,0,'Données projet'!$E$15+1,1))-AVERAGE(OFFSET($H$3,0,0,'Données projet'!$E$15+1,1))</f>
        <v>375.49921531693559</v>
      </c>
      <c r="EP123" s="60">
        <f t="shared" si="100"/>
        <v>306.93934681565599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5.6843418860808015E-14</v>
      </c>
      <c r="FF123" s="18">
        <f>FE123*VLOOKUP('Données projet'!$B$16,Paramètres!$A$1:$I$89,3,0)*VLOOKUP('Données projet'!$B$16,Paramètres!$A$1:$I$89,5,0)</f>
        <v>4.6111381379887463E-14</v>
      </c>
      <c r="FG123" s="14">
        <f t="shared" si="101"/>
        <v>7.5804141040779151E-13</v>
      </c>
      <c r="FH123" s="22">
        <f t="shared" si="76"/>
        <v>1.4005661123635408E-12</v>
      </c>
      <c r="FI123" s="60">
        <f t="shared" si="77"/>
        <v>282.10816074347804</v>
      </c>
      <c r="FJ123" s="60">
        <f ca="1">AVERAGE(OFFSET($FI$3,0,0,'Données projet'!$E$16+1,1))-AVERAGE(OFFSET($H$3,0,0,'Données projet'!$E$16+1,1))</f>
        <v>308.58270639204238</v>
      </c>
      <c r="FK123" s="60">
        <f t="shared" si="102"/>
        <v>258.90832875500325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3.4</v>
      </c>
      <c r="FZ123" s="13">
        <f>IF('Données projet'!$A$244&gt;35,FZ122+FY123-GH122,IF(A123&lt;'Données projet'!$A$244,$FW$205^A123,IF(A123='Données projet'!$A$244,'Données projet'!$B$244,FZ122+FY123-GH122)))</f>
        <v>283.9999999999996</v>
      </c>
      <c r="GA123" s="18">
        <f>FZ123*VLOOKUP('Données projet'!$B$17,Paramètres!$A$1:$I$89,3,0)*VLOOKUP('Données projet'!$B$17,Paramètres!$A$1:$I$89,5,0)</f>
        <v>274.68479999999965</v>
      </c>
      <c r="GB123" s="14">
        <f t="shared" si="103"/>
        <v>65.842504497456602</v>
      </c>
      <c r="GC123" s="22">
        <f t="shared" si="79"/>
        <v>593.08505533306959</v>
      </c>
      <c r="GD123" s="60">
        <f t="shared" si="80"/>
        <v>875.19321607654615</v>
      </c>
      <c r="GE123" s="60">
        <f ca="1">AVERAGE(OFFSET($GD$3,0,0,'Données projet'!$E$17+1,1))-AVERAGE(OFFSET($H$3,0,0,'Données projet'!$E$17+1,1))</f>
        <v>495.77880062178235</v>
      </c>
      <c r="GF123" s="60">
        <f t="shared" si="104"/>
        <v>263.55891737750301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5.4</v>
      </c>
      <c r="N124" s="14">
        <f>IF('Données projet'!$A$36&gt;35,N123+M124-V123,IF(A124&lt;'Données projet'!$A$36,$K$205^A124,IF(A124='Données projet'!$A$36,'Données projet'!$B$36,N123+M124-V123)))</f>
        <v>436.40000000000026</v>
      </c>
      <c r="O124" s="14">
        <f>N124*VLOOKUP('Données projet'!$B$9,Paramètres!$A$1:$I$89,3,0)*VLOOKUP('Données projet'!$B$9,Paramètres!$A$1:$I$89,5,0)</f>
        <v>374.43120000000027</v>
      </c>
      <c r="P124" s="14">
        <f t="shared" si="87"/>
        <v>86.57322387223293</v>
      </c>
      <c r="Q124" s="22">
        <f t="shared" si="107"/>
        <v>802.91603824413949</v>
      </c>
      <c r="R124" s="60">
        <f t="shared" si="55"/>
        <v>1085.2189306363239</v>
      </c>
      <c r="S124" s="60">
        <f ca="1">AVERAGE(OFFSET($R$3,0,0,'Données projet'!$E$9+1,1))-AVERAGE(OFFSET($H$3,0,0,'Données projet'!$E$9+1,1))</f>
        <v>598.73855311281966</v>
      </c>
      <c r="T124" s="60">
        <f t="shared" si="88"/>
        <v>275.88160405468193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287.39999999999958</v>
      </c>
      <c r="AJ124" s="14">
        <f>AI124*VLOOKUP('Données projet'!$B$10,Paramètres!$A$1:$I$89,3,0)*VLOOKUP('Données projet'!$B$10,Paramètres!$A$1:$I$89,5,0)</f>
        <v>291.42359999999962</v>
      </c>
      <c r="AK124" s="14">
        <f t="shared" si="89"/>
        <v>69.375496841482104</v>
      </c>
      <c r="AL124" s="22">
        <f t="shared" si="58"/>
        <v>628.39176033224737</v>
      </c>
      <c r="AM124" s="60">
        <f t="shared" si="59"/>
        <v>910.69465272443176</v>
      </c>
      <c r="AN124" s="60">
        <f ca="1">AVERAGE(OFFSET($AM$3,0,0,'Données projet'!$E$10+1,1))-AVERAGE(OFFSET($H$3,0,0,'Données projet'!$E$10+1,1))</f>
        <v>515.72324585399997</v>
      </c>
      <c r="AO124" s="60">
        <f t="shared" si="90"/>
        <v>273.35778700650792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2.7134774427395314E-13</v>
      </c>
      <c r="BF124" s="14">
        <f t="shared" si="91"/>
        <v>3.6292411711343559E-12</v>
      </c>
      <c r="BG124" s="22">
        <f t="shared" si="61"/>
        <v>6.7935256943361388E-12</v>
      </c>
      <c r="BH124" s="60">
        <f t="shared" si="62"/>
        <v>282.30289239219121</v>
      </c>
      <c r="BI124" s="60">
        <f ca="1">AVERAGE(OFFSET($BH$3,0,0,'Données projet'!$E$11+1,1))-AVERAGE(OFFSET($H$3,0,0,'Données projet'!$E$11+1,1))</f>
        <v>336.25341821407534</v>
      </c>
      <c r="BJ124" s="60">
        <f t="shared" si="92"/>
        <v>360.3246221345039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0.41713173780822871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0.41713173780822871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1.0818439477588981E-13</v>
      </c>
      <c r="CA124" s="14">
        <f t="shared" si="93"/>
        <v>1.6104228458716316E-12</v>
      </c>
      <c r="CB124" s="22">
        <f t="shared" si="64"/>
        <v>2.9932409441277661E-12</v>
      </c>
      <c r="CC124" s="60">
        <f t="shared" si="65"/>
        <v>282.3028923921874</v>
      </c>
      <c r="CD124" s="60">
        <f ca="1">AVERAGE(OFFSET($CC$3,0,0,'Données projet'!$E$12+1,1))-AVERAGE(OFFSET($H$3,0,0,'Données projet'!$E$12+1,1))</f>
        <v>438.41611139377829</v>
      </c>
      <c r="CE124" s="60">
        <f t="shared" si="94"/>
        <v>345.17417065809605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-4.5224624045658861E-14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395.27840703467933</v>
      </c>
      <c r="CZ124" s="60">
        <f t="shared" si="96"/>
        <v>364.24192380053944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-2.8421709430404007E-13</v>
      </c>
      <c r="DP124" s="18">
        <f>DO124*VLOOKUP('Données projet'!$B$14,Paramètres!$A$1:$I$89,3,0)*VLOOKUP('Données projet'!$B$14,Paramètres!$A$1:$I$89,5,0)</f>
        <v>-2.2168933355715128E-13</v>
      </c>
      <c r="DQ124" s="14" t="e">
        <f t="shared" si="97"/>
        <v>#NUM!</v>
      </c>
      <c r="DR124" s="22" t="e">
        <f t="shared" si="70"/>
        <v>#NUM!</v>
      </c>
      <c r="DS124" s="60" t="e">
        <f t="shared" si="71"/>
        <v>#NUM!</v>
      </c>
      <c r="DT124" s="60">
        <f ca="1">AVERAGE(OFFSET($DS$3,0,0,'Données projet'!$E$14+1,1))-AVERAGE(OFFSET($H$3,0,0,'Données projet'!$E$14+1,1))</f>
        <v>308.76306523144956</v>
      </c>
      <c r="DU124" s="60">
        <f t="shared" si="98"/>
        <v>283.28099819802776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2.2737367544323206E-13</v>
      </c>
      <c r="EK124" s="18">
        <f>EJ124*VLOOKUP('Données projet'!$B$15,Paramètres!$A$1:$I$89,3,0)*VLOOKUP('Données projet'!$B$15,Paramètres!$A$1:$I$89,5,0)</f>
        <v>1.5252226148732008E-13</v>
      </c>
      <c r="EL124" s="14">
        <f t="shared" si="99"/>
        <v>2.1814502464536512E-12</v>
      </c>
      <c r="EM124" s="22">
        <f t="shared" si="73"/>
        <v>4.0650021179971913E-12</v>
      </c>
      <c r="EN124" s="60">
        <f t="shared" si="74"/>
        <v>282.30289239218848</v>
      </c>
      <c r="EO124" s="60">
        <f ca="1">AVERAGE(OFFSET($EN$3,0,0,'Données projet'!$E$15+1,1))-AVERAGE(OFFSET($H$3,0,0,'Données projet'!$E$15+1,1))</f>
        <v>375.49921531693559</v>
      </c>
      <c r="EP124" s="60">
        <f t="shared" si="100"/>
        <v>306.93934681565599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5.6843418860808015E-14</v>
      </c>
      <c r="FF124" s="18">
        <f>FE124*VLOOKUP('Données projet'!$B$16,Paramètres!$A$1:$I$89,3,0)*VLOOKUP('Données projet'!$B$16,Paramètres!$A$1:$I$89,5,0)</f>
        <v>4.6111381379887463E-14</v>
      </c>
      <c r="FG124" s="14">
        <f t="shared" si="101"/>
        <v>7.5804141040779151E-13</v>
      </c>
      <c r="FH124" s="22">
        <f t="shared" si="76"/>
        <v>1.4005661123635408E-12</v>
      </c>
      <c r="FI124" s="60">
        <f t="shared" si="77"/>
        <v>282.30289239218581</v>
      </c>
      <c r="FJ124" s="60">
        <f ca="1">AVERAGE(OFFSET($FI$3,0,0,'Données projet'!$E$16+1,1))-AVERAGE(OFFSET($H$3,0,0,'Données projet'!$E$16+1,1))</f>
        <v>308.58270639204238</v>
      </c>
      <c r="FK124" s="60">
        <f t="shared" si="102"/>
        <v>258.90832875500325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3.4</v>
      </c>
      <c r="FZ124" s="13">
        <f>IF('Données projet'!$A$244&gt;35,FZ123+FY124-GH123,IF(A124&lt;'Données projet'!$A$244,$FW$205^A124,IF(A124='Données projet'!$A$244,'Données projet'!$B$244,FZ123+FY124-GH123)))</f>
        <v>287.39999999999958</v>
      </c>
      <c r="GA124" s="18">
        <f>FZ124*VLOOKUP('Données projet'!$B$17,Paramètres!$A$1:$I$89,3,0)*VLOOKUP('Données projet'!$B$17,Paramètres!$A$1:$I$89,5,0)</f>
        <v>277.97327999999959</v>
      </c>
      <c r="GB124" s="14">
        <f t="shared" si="103"/>
        <v>66.538523764973078</v>
      </c>
      <c r="GC124" s="22">
        <f t="shared" si="79"/>
        <v>600.02472489066076</v>
      </c>
      <c r="GD124" s="60">
        <f t="shared" si="80"/>
        <v>882.32761728284515</v>
      </c>
      <c r="GE124" s="60">
        <f ca="1">AVERAGE(OFFSET($GD$3,0,0,'Données projet'!$E$17+1,1))-AVERAGE(OFFSET($H$3,0,0,'Données projet'!$E$17+1,1))</f>
        <v>495.77880062178235</v>
      </c>
      <c r="GF124" s="60">
        <f t="shared" si="104"/>
        <v>263.55891737750301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5.4</v>
      </c>
      <c r="N125" s="14">
        <f>IF('Données projet'!$A$36&gt;35,N124+M125-V124,IF(A125&lt;'Données projet'!$A$36,$K$205^A125,IF(A125='Données projet'!$A$36,'Données projet'!$B$36,N124+M125-V124)))</f>
        <v>441.80000000000024</v>
      </c>
      <c r="O125" s="14">
        <f>N125*VLOOKUP('Données projet'!$B$9,Paramètres!$A$1:$I$89,3,0)*VLOOKUP('Données projet'!$B$9,Paramètres!$A$1:$I$89,5,0)</f>
        <v>379.06440000000026</v>
      </c>
      <c r="P125" s="14">
        <f t="shared" si="87"/>
        <v>87.519105676243782</v>
      </c>
      <c r="Q125" s="22">
        <f t="shared" si="107"/>
        <v>812.6329390527917</v>
      </c>
      <c r="R125" s="60">
        <f t="shared" si="55"/>
        <v>1095.1271849349334</v>
      </c>
      <c r="S125" s="60">
        <f ca="1">AVERAGE(OFFSET($R$3,0,0,'Données projet'!$E$9+1,1))-AVERAGE(OFFSET($H$3,0,0,'Données projet'!$E$9+1,1))</f>
        <v>598.73855311281966</v>
      </c>
      <c r="T125" s="60">
        <f t="shared" si="88"/>
        <v>275.88160405468193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290.79999999999956</v>
      </c>
      <c r="AJ125" s="14">
        <f>AI125*VLOOKUP('Données projet'!$B$10,Paramètres!$A$1:$I$89,3,0)*VLOOKUP('Données projet'!$B$10,Paramètres!$A$1:$I$89,5,0)</f>
        <v>294.87119999999959</v>
      </c>
      <c r="AK125" s="14">
        <f t="shared" si="89"/>
        <v>70.100193324247002</v>
      </c>
      <c r="AL125" s="22">
        <f t="shared" si="58"/>
        <v>635.65851003972955</v>
      </c>
      <c r="AM125" s="60">
        <f t="shared" si="59"/>
        <v>918.1527559218714</v>
      </c>
      <c r="AN125" s="60">
        <f ca="1">AVERAGE(OFFSET($AM$3,0,0,'Données projet'!$E$10+1,1))-AVERAGE(OFFSET($H$3,0,0,'Données projet'!$E$10+1,1))</f>
        <v>515.72324585399997</v>
      </c>
      <c r="AO125" s="60">
        <f t="shared" si="90"/>
        <v>273.35778700650792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2.7134774427395314E-13</v>
      </c>
      <c r="BF125" s="14">
        <f t="shared" si="91"/>
        <v>3.6292411711343559E-12</v>
      </c>
      <c r="BG125" s="22">
        <f t="shared" si="61"/>
        <v>6.7935256943361388E-12</v>
      </c>
      <c r="BH125" s="60">
        <f t="shared" si="62"/>
        <v>282.49424588214862</v>
      </c>
      <c r="BI125" s="60">
        <f ca="1">AVERAGE(OFFSET($BH$3,0,0,'Données projet'!$E$11+1,1))-AVERAGE(OFFSET($H$3,0,0,'Données projet'!$E$11+1,1))</f>
        <v>336.25341821407534</v>
      </c>
      <c r="BJ125" s="60">
        <f t="shared" si="92"/>
        <v>360.3246221345039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0.40572524850185798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0.40572524850185798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1.0818439477588981E-13</v>
      </c>
      <c r="CA125" s="14">
        <f t="shared" si="93"/>
        <v>1.6104228458716316E-12</v>
      </c>
      <c r="CB125" s="22">
        <f t="shared" si="64"/>
        <v>2.9932409441277661E-12</v>
      </c>
      <c r="CC125" s="60">
        <f t="shared" si="65"/>
        <v>282.49424588214481</v>
      </c>
      <c r="CD125" s="60">
        <f ca="1">AVERAGE(OFFSET($CC$3,0,0,'Données projet'!$E$12+1,1))-AVERAGE(OFFSET($H$3,0,0,'Données projet'!$E$12+1,1))</f>
        <v>438.41611139377829</v>
      </c>
      <c r="CE125" s="60">
        <f t="shared" si="94"/>
        <v>345.17417065809605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-4.5224624045658861E-14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395.27840703467933</v>
      </c>
      <c r="CZ125" s="60">
        <f t="shared" si="96"/>
        <v>364.24192380053944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-2.8421709430404007E-13</v>
      </c>
      <c r="DP125" s="18">
        <f>DO125*VLOOKUP('Données projet'!$B$14,Paramètres!$A$1:$I$89,3,0)*VLOOKUP('Données projet'!$B$14,Paramètres!$A$1:$I$89,5,0)</f>
        <v>-2.2168933355715128E-13</v>
      </c>
      <c r="DQ125" s="14" t="e">
        <f t="shared" si="97"/>
        <v>#NUM!</v>
      </c>
      <c r="DR125" s="22" t="e">
        <f t="shared" si="70"/>
        <v>#NUM!</v>
      </c>
      <c r="DS125" s="60" t="e">
        <f t="shared" si="71"/>
        <v>#NUM!</v>
      </c>
      <c r="DT125" s="60">
        <f ca="1">AVERAGE(OFFSET($DS$3,0,0,'Données projet'!$E$14+1,1))-AVERAGE(OFFSET($H$3,0,0,'Données projet'!$E$14+1,1))</f>
        <v>308.76306523144956</v>
      </c>
      <c r="DU125" s="60">
        <f t="shared" si="98"/>
        <v>283.28099819802776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2.2737367544323206E-13</v>
      </c>
      <c r="EK125" s="18">
        <f>EJ125*VLOOKUP('Données projet'!$B$15,Paramètres!$A$1:$I$89,3,0)*VLOOKUP('Données projet'!$B$15,Paramètres!$A$1:$I$89,5,0)</f>
        <v>1.5252226148732008E-13</v>
      </c>
      <c r="EL125" s="14">
        <f t="shared" si="99"/>
        <v>2.1814502464536512E-12</v>
      </c>
      <c r="EM125" s="22">
        <f t="shared" si="73"/>
        <v>4.0650021179971913E-12</v>
      </c>
      <c r="EN125" s="60">
        <f t="shared" si="74"/>
        <v>282.49424588214589</v>
      </c>
      <c r="EO125" s="60">
        <f ca="1">AVERAGE(OFFSET($EN$3,0,0,'Données projet'!$E$15+1,1))-AVERAGE(OFFSET($H$3,0,0,'Données projet'!$E$15+1,1))</f>
        <v>375.49921531693559</v>
      </c>
      <c r="EP125" s="60">
        <f t="shared" si="100"/>
        <v>306.93934681565599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5.6843418860808015E-14</v>
      </c>
      <c r="FF125" s="18">
        <f>FE125*VLOOKUP('Données projet'!$B$16,Paramètres!$A$1:$I$89,3,0)*VLOOKUP('Données projet'!$B$16,Paramètres!$A$1:$I$89,5,0)</f>
        <v>4.6111381379887463E-14</v>
      </c>
      <c r="FG125" s="14">
        <f t="shared" si="101"/>
        <v>7.5804141040779151E-13</v>
      </c>
      <c r="FH125" s="22">
        <f t="shared" si="76"/>
        <v>1.4005661123635408E-12</v>
      </c>
      <c r="FI125" s="60">
        <f t="shared" si="77"/>
        <v>282.49424588214322</v>
      </c>
      <c r="FJ125" s="60">
        <f ca="1">AVERAGE(OFFSET($FI$3,0,0,'Données projet'!$E$16+1,1))-AVERAGE(OFFSET($H$3,0,0,'Données projet'!$E$16+1,1))</f>
        <v>308.58270639204238</v>
      </c>
      <c r="FK125" s="60">
        <f t="shared" si="102"/>
        <v>258.90832875500325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3.4</v>
      </c>
      <c r="FZ125" s="13">
        <f>IF('Données projet'!$A$244&gt;35,FZ124+FY125-GH124,IF(A125&lt;'Données projet'!$A$244,$FW$205^A125,IF(A125='Données projet'!$A$244,'Données projet'!$B$244,FZ124+FY125-GH124)))</f>
        <v>290.79999999999956</v>
      </c>
      <c r="GA125" s="18">
        <f>FZ125*VLOOKUP('Données projet'!$B$17,Paramètres!$A$1:$I$89,3,0)*VLOOKUP('Données projet'!$B$17,Paramètres!$A$1:$I$89,5,0)</f>
        <v>281.26175999999958</v>
      </c>
      <c r="GB125" s="14">
        <f t="shared" si="103"/>
        <v>67.233585225232218</v>
      </c>
      <c r="GC125" s="22">
        <f t="shared" si="79"/>
        <v>606.96272626727875</v>
      </c>
      <c r="GD125" s="60">
        <f t="shared" si="80"/>
        <v>889.45697214942061</v>
      </c>
      <c r="GE125" s="60">
        <f ca="1">AVERAGE(OFFSET($GD$3,0,0,'Données projet'!$E$17+1,1))-AVERAGE(OFFSET($H$3,0,0,'Données projet'!$E$17+1,1))</f>
        <v>495.77880062178235</v>
      </c>
      <c r="GF125" s="60">
        <f t="shared" si="104"/>
        <v>263.55891737750301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5.4</v>
      </c>
      <c r="N126" s="14">
        <f>IF('Données projet'!$A$36&gt;35,N125+M126-V125,IF(A126&lt;'Données projet'!$A$36,$K$205^A126,IF(A126='Données projet'!$A$36,'Données projet'!$B$36,N125+M126-V125)))</f>
        <v>447.20000000000022</v>
      </c>
      <c r="O126" s="14">
        <f>N126*VLOOKUP('Données projet'!$B$9,Paramètres!$A$1:$I$89,3,0)*VLOOKUP('Données projet'!$B$9,Paramètres!$A$1:$I$89,5,0)</f>
        <v>383.69760000000025</v>
      </c>
      <c r="P126" s="14">
        <f t="shared" si="87"/>
        <v>88.463642671800201</v>
      </c>
      <c r="Q126" s="22">
        <f t="shared" si="107"/>
        <v>822.34749765338574</v>
      </c>
      <c r="R126" s="60">
        <f t="shared" si="55"/>
        <v>1105.0297774702365</v>
      </c>
      <c r="S126" s="60">
        <f ca="1">AVERAGE(OFFSET($R$3,0,0,'Données projet'!$E$9+1,1))-AVERAGE(OFFSET($H$3,0,0,'Données projet'!$E$9+1,1))</f>
        <v>598.73855311281966</v>
      </c>
      <c r="T126" s="60">
        <f t="shared" si="88"/>
        <v>275.88160405468193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294.19999999999953</v>
      </c>
      <c r="AJ126" s="14">
        <f>AI126*VLOOKUP('Données projet'!$B$10,Paramètres!$A$1:$I$89,3,0)*VLOOKUP('Données projet'!$B$10,Paramètres!$A$1:$I$89,5,0)</f>
        <v>298.31879999999956</v>
      </c>
      <c r="AK126" s="14">
        <f t="shared" si="89"/>
        <v>70.823904189019785</v>
      </c>
      <c r="AL126" s="22">
        <f t="shared" si="58"/>
        <v>642.92354312920872</v>
      </c>
      <c r="AM126" s="60">
        <f t="shared" si="59"/>
        <v>925.60582294605933</v>
      </c>
      <c r="AN126" s="60">
        <f ca="1">AVERAGE(OFFSET($AM$3,0,0,'Données projet'!$E$10+1,1))-AVERAGE(OFFSET($H$3,0,0,'Données projet'!$E$10+1,1))</f>
        <v>515.72324585399997</v>
      </c>
      <c r="AO126" s="60">
        <f t="shared" si="90"/>
        <v>273.35778700650792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2.7134774427395314E-13</v>
      </c>
      <c r="BF126" s="14">
        <f t="shared" si="91"/>
        <v>3.6292411711343559E-12</v>
      </c>
      <c r="BG126" s="22">
        <f t="shared" si="61"/>
        <v>6.7935256943361388E-12</v>
      </c>
      <c r="BH126" s="60">
        <f t="shared" si="62"/>
        <v>282.68227981685749</v>
      </c>
      <c r="BI126" s="60">
        <f ca="1">AVERAGE(OFFSET($BH$3,0,0,'Données projet'!$E$11+1,1))-AVERAGE(OFFSET($H$3,0,0,'Données projet'!$E$11+1,1))</f>
        <v>336.25341821407534</v>
      </c>
      <c r="BJ126" s="60">
        <f t="shared" si="92"/>
        <v>360.3246221345039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0.39463067024541115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0.39463067024541115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1.0818439477588981E-13</v>
      </c>
      <c r="CA126" s="14">
        <f t="shared" si="93"/>
        <v>1.6104228458716316E-12</v>
      </c>
      <c r="CB126" s="22">
        <f t="shared" si="64"/>
        <v>2.9932409441277661E-12</v>
      </c>
      <c r="CC126" s="60">
        <f t="shared" si="65"/>
        <v>282.68227981685368</v>
      </c>
      <c r="CD126" s="60">
        <f ca="1">AVERAGE(OFFSET($CC$3,0,0,'Données projet'!$E$12+1,1))-AVERAGE(OFFSET($H$3,0,0,'Données projet'!$E$12+1,1))</f>
        <v>438.41611139377829</v>
      </c>
      <c r="CE126" s="60">
        <f t="shared" si="94"/>
        <v>345.17417065809605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-4.5224624045658861E-14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395.27840703467933</v>
      </c>
      <c r="CZ126" s="60">
        <f t="shared" si="96"/>
        <v>364.24192380053944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-2.8421709430404007E-13</v>
      </c>
      <c r="DP126" s="18">
        <f>DO126*VLOOKUP('Données projet'!$B$14,Paramètres!$A$1:$I$89,3,0)*VLOOKUP('Données projet'!$B$14,Paramètres!$A$1:$I$89,5,0)</f>
        <v>-2.2168933355715128E-13</v>
      </c>
      <c r="DQ126" s="14" t="e">
        <f t="shared" si="97"/>
        <v>#NUM!</v>
      </c>
      <c r="DR126" s="22" t="e">
        <f t="shared" si="70"/>
        <v>#NUM!</v>
      </c>
      <c r="DS126" s="60" t="e">
        <f t="shared" si="71"/>
        <v>#NUM!</v>
      </c>
      <c r="DT126" s="60">
        <f ca="1">AVERAGE(OFFSET($DS$3,0,0,'Données projet'!$E$14+1,1))-AVERAGE(OFFSET($H$3,0,0,'Données projet'!$E$14+1,1))</f>
        <v>308.76306523144956</v>
      </c>
      <c r="DU126" s="60">
        <f t="shared" si="98"/>
        <v>283.28099819802776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2.2737367544323206E-13</v>
      </c>
      <c r="EK126" s="18">
        <f>EJ126*VLOOKUP('Données projet'!$B$15,Paramètres!$A$1:$I$89,3,0)*VLOOKUP('Données projet'!$B$15,Paramètres!$A$1:$I$89,5,0)</f>
        <v>1.5252226148732008E-13</v>
      </c>
      <c r="EL126" s="14">
        <f t="shared" si="99"/>
        <v>2.1814502464536512E-12</v>
      </c>
      <c r="EM126" s="22">
        <f t="shared" si="73"/>
        <v>4.0650021179971913E-12</v>
      </c>
      <c r="EN126" s="60">
        <f t="shared" si="74"/>
        <v>282.68227981685476</v>
      </c>
      <c r="EO126" s="60">
        <f ca="1">AVERAGE(OFFSET($EN$3,0,0,'Données projet'!$E$15+1,1))-AVERAGE(OFFSET($H$3,0,0,'Données projet'!$E$15+1,1))</f>
        <v>375.49921531693559</v>
      </c>
      <c r="EP126" s="60">
        <f t="shared" si="100"/>
        <v>306.93934681565599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5.6843418860808015E-14</v>
      </c>
      <c r="FF126" s="18">
        <f>FE126*VLOOKUP('Données projet'!$B$16,Paramètres!$A$1:$I$89,3,0)*VLOOKUP('Données projet'!$B$16,Paramètres!$A$1:$I$89,5,0)</f>
        <v>4.6111381379887463E-14</v>
      </c>
      <c r="FG126" s="14">
        <f t="shared" si="101"/>
        <v>7.5804141040779151E-13</v>
      </c>
      <c r="FH126" s="22">
        <f t="shared" si="76"/>
        <v>1.4005661123635408E-12</v>
      </c>
      <c r="FI126" s="60">
        <f t="shared" si="77"/>
        <v>282.68227981685209</v>
      </c>
      <c r="FJ126" s="60">
        <f ca="1">AVERAGE(OFFSET($FI$3,0,0,'Données projet'!$E$16+1,1))-AVERAGE(OFFSET($H$3,0,0,'Données projet'!$E$16+1,1))</f>
        <v>308.58270639204238</v>
      </c>
      <c r="FK126" s="60">
        <f t="shared" si="102"/>
        <v>258.90832875500325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3.4</v>
      </c>
      <c r="FZ126" s="13">
        <f>IF('Données projet'!$A$244&gt;35,FZ125+FY126-GH125,IF(A126&lt;'Données projet'!$A$244,$FW$205^A126,IF(A126='Données projet'!$A$244,'Données projet'!$B$244,FZ125+FY126-GH125)))</f>
        <v>294.19999999999953</v>
      </c>
      <c r="GA126" s="18">
        <f>FZ126*VLOOKUP('Données projet'!$B$17,Paramètres!$A$1:$I$89,3,0)*VLOOKUP('Données projet'!$B$17,Paramètres!$A$1:$I$89,5,0)</f>
        <v>284.55023999999958</v>
      </c>
      <c r="GB126" s="14">
        <f t="shared" si="103"/>
        <v>67.927701372388498</v>
      </c>
      <c r="GC126" s="22">
        <f t="shared" si="79"/>
        <v>613.89908122357576</v>
      </c>
      <c r="GD126" s="60">
        <f t="shared" si="80"/>
        <v>896.58136104042637</v>
      </c>
      <c r="GE126" s="60">
        <f ca="1">AVERAGE(OFFSET($GD$3,0,0,'Données projet'!$E$17+1,1))-AVERAGE(OFFSET($H$3,0,0,'Données projet'!$E$17+1,1))</f>
        <v>495.77880062178235</v>
      </c>
      <c r="GF126" s="60">
        <f t="shared" si="104"/>
        <v>263.55891737750301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5.4</v>
      </c>
      <c r="N127" s="14">
        <f>IF('Données projet'!$A$36&gt;35,N126+M127-V126,IF(A127&lt;'Données projet'!$A$36,$K$205^A127,IF(A127='Données projet'!$A$36,'Données projet'!$B$36,N126+M127-V126)))</f>
        <v>452.60000000000019</v>
      </c>
      <c r="O127" s="14">
        <f>N127*VLOOKUP('Données projet'!$B$9,Paramètres!$A$1:$I$89,3,0)*VLOOKUP('Données projet'!$B$9,Paramètres!$A$1:$I$89,5,0)</f>
        <v>388.33080000000018</v>
      </c>
      <c r="P127" s="14">
        <f t="shared" si="87"/>
        <v>89.40685297598516</v>
      </c>
      <c r="Q127" s="22">
        <f t="shared" si="107"/>
        <v>832.05974559984099</v>
      </c>
      <c r="R127" s="60">
        <f t="shared" si="55"/>
        <v>1114.9267973830142</v>
      </c>
      <c r="S127" s="60">
        <f ca="1">AVERAGE(OFFSET($R$3,0,0,'Données projet'!$E$9+1,1))-AVERAGE(OFFSET($H$3,0,0,'Données projet'!$E$9+1,1))</f>
        <v>598.73855311281966</v>
      </c>
      <c r="T127" s="60">
        <f t="shared" si="88"/>
        <v>275.88160405468193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297.59999999999951</v>
      </c>
      <c r="AJ127" s="14">
        <f>AI127*VLOOKUP('Données projet'!$B$10,Paramètres!$A$1:$I$89,3,0)*VLOOKUP('Données projet'!$B$10,Paramètres!$A$1:$I$89,5,0)</f>
        <v>301.76639999999952</v>
      </c>
      <c r="AK127" s="14">
        <f t="shared" si="89"/>
        <v>71.546642144235236</v>
      </c>
      <c r="AL127" s="22">
        <f t="shared" si="58"/>
        <v>650.18688173454223</v>
      </c>
      <c r="AM127" s="60">
        <f t="shared" si="59"/>
        <v>933.05393351771556</v>
      </c>
      <c r="AN127" s="60">
        <f ca="1">AVERAGE(OFFSET($AM$3,0,0,'Données projet'!$E$10+1,1))-AVERAGE(OFFSET($H$3,0,0,'Données projet'!$E$10+1,1))</f>
        <v>515.72324585399997</v>
      </c>
      <c r="AO127" s="60">
        <f t="shared" si="90"/>
        <v>273.35778700650792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2.7134774427395314E-13</v>
      </c>
      <c r="BF127" s="14">
        <f t="shared" si="91"/>
        <v>3.6292411711343559E-12</v>
      </c>
      <c r="BG127" s="22">
        <f t="shared" si="61"/>
        <v>6.7935256943361388E-12</v>
      </c>
      <c r="BH127" s="60">
        <f t="shared" si="62"/>
        <v>282.86705178318016</v>
      </c>
      <c r="BI127" s="60">
        <f ca="1">AVERAGE(OFFSET($BH$3,0,0,'Données projet'!$E$11+1,1))-AVERAGE(OFFSET($H$3,0,0,'Données projet'!$E$11+1,1))</f>
        <v>336.25341821407534</v>
      </c>
      <c r="BJ127" s="60">
        <f t="shared" si="92"/>
        <v>360.3246221345039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0.38383947381482536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0.38383947381482536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1.0818439477588981E-13</v>
      </c>
      <c r="CA127" s="14">
        <f t="shared" si="93"/>
        <v>1.6104228458716316E-12</v>
      </c>
      <c r="CB127" s="22">
        <f t="shared" si="64"/>
        <v>2.9932409441277661E-12</v>
      </c>
      <c r="CC127" s="60">
        <f t="shared" si="65"/>
        <v>282.86705178317635</v>
      </c>
      <c r="CD127" s="60">
        <f ca="1">AVERAGE(OFFSET($CC$3,0,0,'Données projet'!$E$12+1,1))-AVERAGE(OFFSET($H$3,0,0,'Données projet'!$E$12+1,1))</f>
        <v>438.41611139377829</v>
      </c>
      <c r="CE127" s="60">
        <f t="shared" si="94"/>
        <v>345.17417065809605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-4.5224624045658861E-14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395.27840703467933</v>
      </c>
      <c r="CZ127" s="60">
        <f t="shared" si="96"/>
        <v>364.24192380053944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-2.8421709430404007E-13</v>
      </c>
      <c r="DP127" s="18">
        <f>DO127*VLOOKUP('Données projet'!$B$14,Paramètres!$A$1:$I$89,3,0)*VLOOKUP('Données projet'!$B$14,Paramètres!$A$1:$I$89,5,0)</f>
        <v>-2.2168933355715128E-13</v>
      </c>
      <c r="DQ127" s="14" t="e">
        <f t="shared" si="97"/>
        <v>#NUM!</v>
      </c>
      <c r="DR127" s="22" t="e">
        <f t="shared" si="70"/>
        <v>#NUM!</v>
      </c>
      <c r="DS127" s="60" t="e">
        <f t="shared" si="71"/>
        <v>#NUM!</v>
      </c>
      <c r="DT127" s="60">
        <f ca="1">AVERAGE(OFFSET($DS$3,0,0,'Données projet'!$E$14+1,1))-AVERAGE(OFFSET($H$3,0,0,'Données projet'!$E$14+1,1))</f>
        <v>308.76306523144956</v>
      </c>
      <c r="DU127" s="60">
        <f t="shared" si="98"/>
        <v>283.28099819802776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2.2737367544323206E-13</v>
      </c>
      <c r="EK127" s="18">
        <f>EJ127*VLOOKUP('Données projet'!$B$15,Paramètres!$A$1:$I$89,3,0)*VLOOKUP('Données projet'!$B$15,Paramètres!$A$1:$I$89,5,0)</f>
        <v>1.5252226148732008E-13</v>
      </c>
      <c r="EL127" s="14">
        <f t="shared" si="99"/>
        <v>2.1814502464536512E-12</v>
      </c>
      <c r="EM127" s="22">
        <f t="shared" si="73"/>
        <v>4.0650021179971913E-12</v>
      </c>
      <c r="EN127" s="60">
        <f t="shared" si="74"/>
        <v>282.86705178317743</v>
      </c>
      <c r="EO127" s="60">
        <f ca="1">AVERAGE(OFFSET($EN$3,0,0,'Données projet'!$E$15+1,1))-AVERAGE(OFFSET($H$3,0,0,'Données projet'!$E$15+1,1))</f>
        <v>375.49921531693559</v>
      </c>
      <c r="EP127" s="60">
        <f t="shared" si="100"/>
        <v>306.93934681565599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5.6843418860808015E-14</v>
      </c>
      <c r="FF127" s="18">
        <f>FE127*VLOOKUP('Données projet'!$B$16,Paramètres!$A$1:$I$89,3,0)*VLOOKUP('Données projet'!$B$16,Paramètres!$A$1:$I$89,5,0)</f>
        <v>4.6111381379887463E-14</v>
      </c>
      <c r="FG127" s="14">
        <f t="shared" si="101"/>
        <v>7.5804141040779151E-13</v>
      </c>
      <c r="FH127" s="22">
        <f t="shared" si="76"/>
        <v>1.4005661123635408E-12</v>
      </c>
      <c r="FI127" s="60">
        <f t="shared" si="77"/>
        <v>282.86705178317476</v>
      </c>
      <c r="FJ127" s="60">
        <f ca="1">AVERAGE(OFFSET($FI$3,0,0,'Données projet'!$E$16+1,1))-AVERAGE(OFFSET($H$3,0,0,'Données projet'!$E$16+1,1))</f>
        <v>308.58270639204238</v>
      </c>
      <c r="FK127" s="60">
        <f t="shared" si="102"/>
        <v>258.90832875500325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3.4</v>
      </c>
      <c r="FZ127" s="13">
        <f>IF('Données projet'!$A$244&gt;35,FZ126+FY127-GH126,IF(A127&lt;'Données projet'!$A$244,$FW$205^A127,IF(A127='Données projet'!$A$244,'Données projet'!$B$244,FZ126+FY127-GH126)))</f>
        <v>297.59999999999951</v>
      </c>
      <c r="GA127" s="18">
        <f>FZ127*VLOOKUP('Données projet'!$B$17,Paramètres!$A$1:$I$89,3,0)*VLOOKUP('Données projet'!$B$17,Paramètres!$A$1:$I$89,5,0)</f>
        <v>287.83871999999951</v>
      </c>
      <c r="GB127" s="14">
        <f t="shared" si="103"/>
        <v>68.620884395190174</v>
      </c>
      <c r="GC127" s="22">
        <f t="shared" si="79"/>
        <v>620.83381098828875</v>
      </c>
      <c r="GD127" s="60">
        <f t="shared" si="80"/>
        <v>903.70086277146208</v>
      </c>
      <c r="GE127" s="60">
        <f ca="1">AVERAGE(OFFSET($GD$3,0,0,'Données projet'!$E$17+1,1))-AVERAGE(OFFSET($H$3,0,0,'Données projet'!$E$17+1,1))</f>
        <v>495.77880062178235</v>
      </c>
      <c r="GF127" s="60">
        <f t="shared" si="104"/>
        <v>263.55891737750301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458</v>
      </c>
      <c r="L128" s="13">
        <f>VLOOKUP(A128,'Données projet'!$A$35:$I$55,9,0)</f>
        <v>5.4</v>
      </c>
      <c r="M128" s="13">
        <f t="array" ref="M128">INDEX(L:L,MIN(IF(ISNUMBER(L128:L324),ROW(L128:L324),"")))</f>
        <v>5.4</v>
      </c>
      <c r="N128" s="14">
        <f>IF('Données projet'!$A$36&gt;35,N127+M128-V127,IF(A128&lt;'Données projet'!$A$36,$K$205^A128,IF(A128='Données projet'!$A$36,'Données projet'!$B$36,N127+M128-V127)))</f>
        <v>458.00000000000017</v>
      </c>
      <c r="O128" s="14">
        <f>N128*VLOOKUP('Données projet'!$B$9,Paramètres!$A$1:$I$89,3,0)*VLOOKUP('Données projet'!$B$9,Paramètres!$A$1:$I$89,5,0)</f>
        <v>392.96400000000023</v>
      </c>
      <c r="P128" s="14">
        <f t="shared" si="87"/>
        <v>90.348754248694107</v>
      </c>
      <c r="Q128" s="22">
        <f t="shared" si="107"/>
        <v>841.7697136498092</v>
      </c>
      <c r="R128" s="60">
        <f t="shared" si="55"/>
        <v>1124.8183320187777</v>
      </c>
      <c r="S128" s="60">
        <f ca="1">AVERAGE(OFFSET($R$3,0,0,'Données projet'!$E$9+1,1))-AVERAGE(OFFSET($H$3,0,0,'Données projet'!$E$9+1,1))</f>
        <v>598.73855311281966</v>
      </c>
      <c r="T128" s="60">
        <f t="shared" si="88"/>
        <v>275.88160405468193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42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300.99999999999949</v>
      </c>
      <c r="AJ128" s="14">
        <f>AI128*VLOOKUP('Données projet'!$B$10,Paramètres!$A$1:$I$89,3,0)*VLOOKUP('Données projet'!$B$10,Paramètres!$A$1:$I$89,5,0)</f>
        <v>305.21399999999949</v>
      </c>
      <c r="AK128" s="14">
        <f t="shared" si="89"/>
        <v>72.268419591231208</v>
      </c>
      <c r="AL128" s="22">
        <f t="shared" si="58"/>
        <v>657.44854745472685</v>
      </c>
      <c r="AM128" s="60">
        <f t="shared" si="59"/>
        <v>940.49716582369535</v>
      </c>
      <c r="AN128" s="60">
        <f ca="1">AVERAGE(OFFSET($AM$3,0,0,'Données projet'!$E$10+1,1))-AVERAGE(OFFSET($H$3,0,0,'Données projet'!$E$10+1,1))</f>
        <v>515.72324585399997</v>
      </c>
      <c r="AO128" s="60">
        <f t="shared" si="90"/>
        <v>273.35778700650792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2.7134774427395314E-13</v>
      </c>
      <c r="BF128" s="14">
        <f t="shared" si="91"/>
        <v>3.6292411711343559E-12</v>
      </c>
      <c r="BG128" s="22">
        <f t="shared" si="61"/>
        <v>6.7935256943361388E-12</v>
      </c>
      <c r="BH128" s="60">
        <f t="shared" si="62"/>
        <v>283.04861836897533</v>
      </c>
      <c r="BI128" s="60">
        <f ca="1">AVERAGE(OFFSET($BH$3,0,0,'Données projet'!$E$11+1,1))-AVERAGE(OFFSET($H$3,0,0,'Données projet'!$E$11+1,1))</f>
        <v>336.25341821407534</v>
      </c>
      <c r="BJ128" s="60">
        <f t="shared" si="92"/>
        <v>360.3246221345039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0.37334336321811828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0.37334336321811828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1.0818439477588981E-13</v>
      </c>
      <c r="CA128" s="14">
        <f t="shared" si="93"/>
        <v>1.6104228458716316E-12</v>
      </c>
      <c r="CB128" s="22">
        <f t="shared" si="64"/>
        <v>2.9932409441277661E-12</v>
      </c>
      <c r="CC128" s="60">
        <f t="shared" si="65"/>
        <v>283.04861836897152</v>
      </c>
      <c r="CD128" s="60">
        <f ca="1">AVERAGE(OFFSET($CC$3,0,0,'Données projet'!$E$12+1,1))-AVERAGE(OFFSET($H$3,0,0,'Données projet'!$E$12+1,1))</f>
        <v>438.41611139377829</v>
      </c>
      <c r="CE128" s="60">
        <f t="shared" si="94"/>
        <v>345.17417065809605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-4.5224624045658861E-14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395.27840703467933</v>
      </c>
      <c r="CZ128" s="60">
        <f t="shared" si="96"/>
        <v>364.24192380053944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-2.8421709430404007E-13</v>
      </c>
      <c r="DP128" s="18">
        <f>DO128*VLOOKUP('Données projet'!$B$14,Paramètres!$A$1:$I$89,3,0)*VLOOKUP('Données projet'!$B$14,Paramètres!$A$1:$I$89,5,0)</f>
        <v>-2.2168933355715128E-13</v>
      </c>
      <c r="DQ128" s="14" t="e">
        <f t="shared" si="97"/>
        <v>#NUM!</v>
      </c>
      <c r="DR128" s="22" t="e">
        <f t="shared" si="70"/>
        <v>#NUM!</v>
      </c>
      <c r="DS128" s="60" t="e">
        <f t="shared" si="71"/>
        <v>#NUM!</v>
      </c>
      <c r="DT128" s="60">
        <f ca="1">AVERAGE(OFFSET($DS$3,0,0,'Données projet'!$E$14+1,1))-AVERAGE(OFFSET($H$3,0,0,'Données projet'!$E$14+1,1))</f>
        <v>308.76306523144956</v>
      </c>
      <c r="DU128" s="60">
        <f t="shared" si="98"/>
        <v>283.28099819802776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2.2737367544323206E-13</v>
      </c>
      <c r="EK128" s="18">
        <f>EJ128*VLOOKUP('Données projet'!$B$15,Paramètres!$A$1:$I$89,3,0)*VLOOKUP('Données projet'!$B$15,Paramètres!$A$1:$I$89,5,0)</f>
        <v>1.5252226148732008E-13</v>
      </c>
      <c r="EL128" s="14">
        <f t="shared" si="99"/>
        <v>2.1814502464536512E-12</v>
      </c>
      <c r="EM128" s="22">
        <f t="shared" si="73"/>
        <v>4.0650021179971913E-12</v>
      </c>
      <c r="EN128" s="60">
        <f t="shared" si="74"/>
        <v>283.0486183689726</v>
      </c>
      <c r="EO128" s="60">
        <f ca="1">AVERAGE(OFFSET($EN$3,0,0,'Données projet'!$E$15+1,1))-AVERAGE(OFFSET($H$3,0,0,'Données projet'!$E$15+1,1))</f>
        <v>375.49921531693559</v>
      </c>
      <c r="EP128" s="60">
        <f t="shared" si="100"/>
        <v>306.93934681565599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5.6843418860808015E-14</v>
      </c>
      <c r="FF128" s="18">
        <f>FE128*VLOOKUP('Données projet'!$B$16,Paramètres!$A$1:$I$89,3,0)*VLOOKUP('Données projet'!$B$16,Paramètres!$A$1:$I$89,5,0)</f>
        <v>4.6111381379887463E-14</v>
      </c>
      <c r="FG128" s="14">
        <f t="shared" si="101"/>
        <v>7.5804141040779151E-13</v>
      </c>
      <c r="FH128" s="22">
        <f t="shared" si="76"/>
        <v>1.4005661123635408E-12</v>
      </c>
      <c r="FI128" s="60">
        <f t="shared" si="77"/>
        <v>283.04861836896993</v>
      </c>
      <c r="FJ128" s="60">
        <f ca="1">AVERAGE(OFFSET($FI$3,0,0,'Données projet'!$E$16+1,1))-AVERAGE(OFFSET($H$3,0,0,'Données projet'!$E$16+1,1))</f>
        <v>308.58270639204238</v>
      </c>
      <c r="FK128" s="60">
        <f t="shared" si="102"/>
        <v>258.90832875500325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>
        <f>VLOOKUP(A128,'Données projet'!$A$243:$I$263,2,0)</f>
        <v>301</v>
      </c>
      <c r="FX128" s="13">
        <f>VLOOKUP(A128,'Données projet'!$A$243:$I$263,9,0)</f>
        <v>3.4</v>
      </c>
      <c r="FY128" s="13">
        <f t="array" ref="FY128">INDEX(FX:FX,MIN(IF(ISNUMBER(FX128:FX324),ROW(FX128:FX324),"")))</f>
        <v>3.4</v>
      </c>
      <c r="FZ128" s="13">
        <f>IF('Données projet'!$A$244&gt;35,FZ127+FY128-GH127,IF(A128&lt;'Données projet'!$A$244,$FW$205^A128,IF(A128='Données projet'!$A$244,'Données projet'!$B$244,FZ127+FY128-GH127)))</f>
        <v>300.99999999999949</v>
      </c>
      <c r="GA128" s="18">
        <f>FZ128*VLOOKUP('Données projet'!$B$17,Paramètres!$A$1:$I$89,3,0)*VLOOKUP('Données projet'!$B$17,Paramètres!$A$1:$I$89,5,0)</f>
        <v>291.1271999999995</v>
      </c>
      <c r="GB128" s="14">
        <f t="shared" si="103"/>
        <v>69.313146187847238</v>
      </c>
      <c r="GC128" s="22">
        <f t="shared" si="79"/>
        <v>627.76693627716634</v>
      </c>
      <c r="GD128" s="60">
        <f t="shared" si="80"/>
        <v>910.81555464613484</v>
      </c>
      <c r="GE128" s="60">
        <f ca="1">AVERAGE(OFFSET($GD$3,0,0,'Données projet'!$E$17+1,1))-AVERAGE(OFFSET($H$3,0,0,'Données projet'!$E$17+1,1))</f>
        <v>495.77880062178235</v>
      </c>
      <c r="GF128" s="60">
        <f t="shared" si="104"/>
        <v>263.55891737750301</v>
      </c>
      <c r="GG128" s="16">
        <f>IF(ISNA(VLOOKUP(A128,'Données projet'!$A$243:$I$263,3,0)),0,VLOOKUP(A128,'Données projet'!$A$243:$I$263,3,0))</f>
        <v>11</v>
      </c>
      <c r="GH128" s="16">
        <f>IF(ISNA(VLOOKUP(A128,'Données projet'!$A$243:$I$263,4,0)),0,VLOOKUP(A128,'Données projet'!$A$243:$I$263,4,0))</f>
        <v>33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4.666666666666667</v>
      </c>
      <c r="N129" s="14">
        <f>IF('Données projet'!$A$36&gt;35,N128+M129-V128,IF(A129&lt;'Données projet'!$A$36,$K$205^A129,IF(A129='Données projet'!$A$36,'Données projet'!$B$36,N128+M129-V128)))</f>
        <v>420.66666666666686</v>
      </c>
      <c r="O129" s="14">
        <f>N129*VLOOKUP('Données projet'!$B$9,Paramètres!$A$1:$I$89,3,0)*VLOOKUP('Données projet'!$B$9,Paramètres!$A$1:$I$89,5,0)</f>
        <v>360.93200000000019</v>
      </c>
      <c r="P129" s="14">
        <f t="shared" si="87"/>
        <v>83.809478393759875</v>
      </c>
      <c r="Q129" s="22">
        <f t="shared" si="107"/>
        <v>774.59140820246546</v>
      </c>
      <c r="R129" s="60">
        <f t="shared" si="55"/>
        <v>1057.8184433828876</v>
      </c>
      <c r="S129" s="60">
        <f ca="1">AVERAGE(OFFSET($R$3,0,0,'Données projet'!$E$9+1,1))-AVERAGE(OFFSET($H$3,0,0,'Données projet'!$E$9+1,1))</f>
        <v>598.73855311281966</v>
      </c>
      <c r="T129" s="60">
        <f t="shared" si="88"/>
        <v>275.88160405468193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270.99999999999949</v>
      </c>
      <c r="AJ129" s="14">
        <f>AI129*VLOOKUP('Données projet'!$B$10,Paramètres!$A$1:$I$89,3,0)*VLOOKUP('Données projet'!$B$10,Paramètres!$A$1:$I$89,5,0)</f>
        <v>274.79399999999947</v>
      </c>
      <c r="AK129" s="14">
        <f t="shared" si="89"/>
        <v>65.865632600455413</v>
      </c>
      <c r="AL129" s="22">
        <f t="shared" si="58"/>
        <v>593.31552677912566</v>
      </c>
      <c r="AM129" s="60">
        <f t="shared" si="59"/>
        <v>876.54256195954781</v>
      </c>
      <c r="AN129" s="60">
        <f ca="1">AVERAGE(OFFSET($AM$3,0,0,'Données projet'!$E$10+1,1))-AVERAGE(OFFSET($H$3,0,0,'Données projet'!$E$10+1,1))</f>
        <v>515.72324585399997</v>
      </c>
      <c r="AO129" s="60">
        <f t="shared" si="90"/>
        <v>273.35778700650792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2.7134774427395314E-13</v>
      </c>
      <c r="BF129" s="14">
        <f t="shared" si="91"/>
        <v>3.6292411711343559E-12</v>
      </c>
      <c r="BG129" s="22">
        <f t="shared" si="61"/>
        <v>6.7935256943361388E-12</v>
      </c>
      <c r="BH129" s="60">
        <f t="shared" si="62"/>
        <v>283.22703518042903</v>
      </c>
      <c r="BI129" s="60">
        <f ca="1">AVERAGE(OFFSET($BH$3,0,0,'Données projet'!$E$11+1,1))-AVERAGE(OFFSET($H$3,0,0,'Données projet'!$E$11+1,1))</f>
        <v>336.25341821407534</v>
      </c>
      <c r="BJ129" s="60">
        <f t="shared" si="92"/>
        <v>360.3246221345039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0.36313426931764464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0.36313426931764464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1.0818439477588981E-13</v>
      </c>
      <c r="CA129" s="14">
        <f t="shared" si="93"/>
        <v>1.6104228458716316E-12</v>
      </c>
      <c r="CB129" s="22">
        <f t="shared" si="64"/>
        <v>2.9932409441277661E-12</v>
      </c>
      <c r="CC129" s="60">
        <f t="shared" si="65"/>
        <v>283.22703518042522</v>
      </c>
      <c r="CD129" s="60">
        <f ca="1">AVERAGE(OFFSET($CC$3,0,0,'Données projet'!$E$12+1,1))-AVERAGE(OFFSET($H$3,0,0,'Données projet'!$E$12+1,1))</f>
        <v>438.41611139377829</v>
      </c>
      <c r="CE129" s="60">
        <f t="shared" si="94"/>
        <v>345.17417065809605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-4.5224624045658861E-14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395.27840703467933</v>
      </c>
      <c r="CZ129" s="60">
        <f t="shared" si="96"/>
        <v>364.24192380053944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-2.8421709430404007E-13</v>
      </c>
      <c r="DP129" s="18">
        <f>DO129*VLOOKUP('Données projet'!$B$14,Paramètres!$A$1:$I$89,3,0)*VLOOKUP('Données projet'!$B$14,Paramètres!$A$1:$I$89,5,0)</f>
        <v>-2.2168933355715128E-13</v>
      </c>
      <c r="DQ129" s="14" t="e">
        <f t="shared" si="97"/>
        <v>#NUM!</v>
      </c>
      <c r="DR129" s="22" t="e">
        <f t="shared" si="70"/>
        <v>#NUM!</v>
      </c>
      <c r="DS129" s="60" t="e">
        <f t="shared" si="71"/>
        <v>#NUM!</v>
      </c>
      <c r="DT129" s="60">
        <f ca="1">AVERAGE(OFFSET($DS$3,0,0,'Données projet'!$E$14+1,1))-AVERAGE(OFFSET($H$3,0,0,'Données projet'!$E$14+1,1))</f>
        <v>308.76306523144956</v>
      </c>
      <c r="DU129" s="60">
        <f t="shared" si="98"/>
        <v>283.28099819802776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2.2737367544323206E-13</v>
      </c>
      <c r="EK129" s="18">
        <f>EJ129*VLOOKUP('Données projet'!$B$15,Paramètres!$A$1:$I$89,3,0)*VLOOKUP('Données projet'!$B$15,Paramètres!$A$1:$I$89,5,0)</f>
        <v>1.5252226148732008E-13</v>
      </c>
      <c r="EL129" s="14">
        <f t="shared" si="99"/>
        <v>2.1814502464536512E-12</v>
      </c>
      <c r="EM129" s="22">
        <f t="shared" si="73"/>
        <v>4.0650021179971913E-12</v>
      </c>
      <c r="EN129" s="60">
        <f t="shared" si="74"/>
        <v>283.2270351804263</v>
      </c>
      <c r="EO129" s="60">
        <f ca="1">AVERAGE(OFFSET($EN$3,0,0,'Données projet'!$E$15+1,1))-AVERAGE(OFFSET($H$3,0,0,'Données projet'!$E$15+1,1))</f>
        <v>375.49921531693559</v>
      </c>
      <c r="EP129" s="60">
        <f t="shared" si="100"/>
        <v>306.93934681565599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5.6843418860808015E-14</v>
      </c>
      <c r="FF129" s="18">
        <f>FE129*VLOOKUP('Données projet'!$B$16,Paramètres!$A$1:$I$89,3,0)*VLOOKUP('Données projet'!$B$16,Paramètres!$A$1:$I$89,5,0)</f>
        <v>4.6111381379887463E-14</v>
      </c>
      <c r="FG129" s="14">
        <f t="shared" si="101"/>
        <v>7.5804141040779151E-13</v>
      </c>
      <c r="FH129" s="22">
        <f t="shared" si="76"/>
        <v>1.4005661123635408E-12</v>
      </c>
      <c r="FI129" s="60">
        <f t="shared" si="77"/>
        <v>283.22703518042363</v>
      </c>
      <c r="FJ129" s="60">
        <f ca="1">AVERAGE(OFFSET($FI$3,0,0,'Données projet'!$E$16+1,1))-AVERAGE(OFFSET($H$3,0,0,'Données projet'!$E$16+1,1))</f>
        <v>308.58270639204238</v>
      </c>
      <c r="FK129" s="60">
        <f t="shared" si="102"/>
        <v>258.90832875500325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3</v>
      </c>
      <c r="FZ129" s="13">
        <f>IF('Données projet'!$A$244&gt;35,FZ128+FY129-GH128,IF(A129&lt;'Données projet'!$A$244,$FW$205^A129,IF(A129='Données projet'!$A$244,'Données projet'!$B$244,FZ128+FY129-GH128)))</f>
        <v>270.99999999999949</v>
      </c>
      <c r="GA129" s="18">
        <f>FZ129*VLOOKUP('Données projet'!$B$17,Paramètres!$A$1:$I$89,3,0)*VLOOKUP('Données projet'!$B$17,Paramètres!$A$1:$I$89,5,0)</f>
        <v>262.11119999999949</v>
      </c>
      <c r="GB129" s="14">
        <f t="shared" si="103"/>
        <v>63.172188447086931</v>
      </c>
      <c r="GC129" s="22">
        <f t="shared" si="79"/>
        <v>566.53523487867551</v>
      </c>
      <c r="GD129" s="60">
        <f t="shared" si="80"/>
        <v>849.76227005909777</v>
      </c>
      <c r="GE129" s="60">
        <f ca="1">AVERAGE(OFFSET($GD$3,0,0,'Données projet'!$E$17+1,1))-AVERAGE(OFFSET($H$3,0,0,'Données projet'!$E$17+1,1))</f>
        <v>495.77880062178235</v>
      </c>
      <c r="GF129" s="60">
        <f t="shared" si="104"/>
        <v>263.55891737750301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4.666666666666667</v>
      </c>
      <c r="N130" s="14">
        <f>IF('Données projet'!$A$36&gt;35,N129+M130-V129,IF(A130&lt;'Données projet'!$A$36,$K$205^A130,IF(A130='Données projet'!$A$36,'Données projet'!$B$36,N129+M130-V129)))</f>
        <v>425.33333333333354</v>
      </c>
      <c r="O130" s="14">
        <f>N130*VLOOKUP('Données projet'!$B$9,Paramètres!$A$1:$I$89,3,0)*VLOOKUP('Données projet'!$B$9,Paramètres!$A$1:$I$89,5,0)</f>
        <v>364.93600000000026</v>
      </c>
      <c r="P130" s="14">
        <f t="shared" si="87"/>
        <v>84.630469000111134</v>
      </c>
      <c r="Q130" s="22">
        <f t="shared" si="107"/>
        <v>782.99493350852742</v>
      </c>
      <c r="R130" s="60">
        <f t="shared" si="55"/>
        <v>1066.3972903676049</v>
      </c>
      <c r="S130" s="60">
        <f ca="1">AVERAGE(OFFSET($R$3,0,0,'Données projet'!$E$9+1,1))-AVERAGE(OFFSET($H$3,0,0,'Données projet'!$E$9+1,1))</f>
        <v>598.73855311281966</v>
      </c>
      <c r="T130" s="60">
        <f t="shared" si="88"/>
        <v>275.88160405468193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273.99999999999949</v>
      </c>
      <c r="AJ130" s="14">
        <f>AI130*VLOOKUP('Données projet'!$B$10,Paramètres!$A$1:$I$89,3,0)*VLOOKUP('Données projet'!$B$10,Paramètres!$A$1:$I$89,5,0)</f>
        <v>277.8359999999995</v>
      </c>
      <c r="AK130" s="14">
        <f t="shared" si="89"/>
        <v>66.509487177652204</v>
      </c>
      <c r="AL130" s="22">
        <f t="shared" si="58"/>
        <v>599.73505683440999</v>
      </c>
      <c r="AM130" s="60">
        <f t="shared" si="59"/>
        <v>883.13741369348736</v>
      </c>
      <c r="AN130" s="60">
        <f ca="1">AVERAGE(OFFSET($AM$3,0,0,'Données projet'!$E$10+1,1))-AVERAGE(OFFSET($H$3,0,0,'Données projet'!$E$10+1,1))</f>
        <v>515.72324585399997</v>
      </c>
      <c r="AO130" s="60">
        <f t="shared" si="90"/>
        <v>273.35778700650792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2.7134774427395314E-13</v>
      </c>
      <c r="BF130" s="14">
        <f t="shared" si="91"/>
        <v>3.6292411711343559E-12</v>
      </c>
      <c r="BG130" s="22">
        <f t="shared" si="61"/>
        <v>6.7935256943361388E-12</v>
      </c>
      <c r="BH130" s="60">
        <f t="shared" si="62"/>
        <v>283.40235685908425</v>
      </c>
      <c r="BI130" s="60">
        <f ca="1">AVERAGE(OFFSET($BH$3,0,0,'Données projet'!$E$11+1,1))-AVERAGE(OFFSET($H$3,0,0,'Données projet'!$E$11+1,1))</f>
        <v>336.25341821407534</v>
      </c>
      <c r="BJ130" s="60">
        <f t="shared" si="92"/>
        <v>360.3246221345039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0.3532043436267524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0.3532043436267524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1.0818439477588981E-13</v>
      </c>
      <c r="CA130" s="14">
        <f t="shared" si="93"/>
        <v>1.6104228458716316E-12</v>
      </c>
      <c r="CB130" s="22">
        <f t="shared" si="64"/>
        <v>2.9932409441277661E-12</v>
      </c>
      <c r="CC130" s="60">
        <f t="shared" si="65"/>
        <v>283.40235685908044</v>
      </c>
      <c r="CD130" s="60">
        <f ca="1">AVERAGE(OFFSET($CC$3,0,0,'Données projet'!$E$12+1,1))-AVERAGE(OFFSET($H$3,0,0,'Données projet'!$E$12+1,1))</f>
        <v>438.41611139377829</v>
      </c>
      <c r="CE130" s="60">
        <f t="shared" si="94"/>
        <v>345.17417065809605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-4.5224624045658861E-14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395.27840703467933</v>
      </c>
      <c r="CZ130" s="60">
        <f t="shared" si="96"/>
        <v>364.24192380053944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-2.8421709430404007E-13</v>
      </c>
      <c r="DP130" s="18">
        <f>DO130*VLOOKUP('Données projet'!$B$14,Paramètres!$A$1:$I$89,3,0)*VLOOKUP('Données projet'!$B$14,Paramètres!$A$1:$I$89,5,0)</f>
        <v>-2.2168933355715128E-13</v>
      </c>
      <c r="DQ130" s="14" t="e">
        <f t="shared" si="97"/>
        <v>#NUM!</v>
      </c>
      <c r="DR130" s="22" t="e">
        <f t="shared" si="70"/>
        <v>#NUM!</v>
      </c>
      <c r="DS130" s="60" t="e">
        <f t="shared" si="71"/>
        <v>#NUM!</v>
      </c>
      <c r="DT130" s="60">
        <f ca="1">AVERAGE(OFFSET($DS$3,0,0,'Données projet'!$E$14+1,1))-AVERAGE(OFFSET($H$3,0,0,'Données projet'!$E$14+1,1))</f>
        <v>308.76306523144956</v>
      </c>
      <c r="DU130" s="60">
        <f t="shared" si="98"/>
        <v>283.28099819802776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2.2737367544323206E-13</v>
      </c>
      <c r="EK130" s="18">
        <f>EJ130*VLOOKUP('Données projet'!$B$15,Paramètres!$A$1:$I$89,3,0)*VLOOKUP('Données projet'!$B$15,Paramètres!$A$1:$I$89,5,0)</f>
        <v>1.5252226148732008E-13</v>
      </c>
      <c r="EL130" s="14">
        <f t="shared" si="99"/>
        <v>2.1814502464536512E-12</v>
      </c>
      <c r="EM130" s="22">
        <f t="shared" si="73"/>
        <v>4.0650021179971913E-12</v>
      </c>
      <c r="EN130" s="60">
        <f t="shared" si="74"/>
        <v>283.40235685908152</v>
      </c>
      <c r="EO130" s="60">
        <f ca="1">AVERAGE(OFFSET($EN$3,0,0,'Données projet'!$E$15+1,1))-AVERAGE(OFFSET($H$3,0,0,'Données projet'!$E$15+1,1))</f>
        <v>375.49921531693559</v>
      </c>
      <c r="EP130" s="60">
        <f t="shared" si="100"/>
        <v>306.93934681565599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5.6843418860808015E-14</v>
      </c>
      <c r="FF130" s="18">
        <f>FE130*VLOOKUP('Données projet'!$B$16,Paramètres!$A$1:$I$89,3,0)*VLOOKUP('Données projet'!$B$16,Paramètres!$A$1:$I$89,5,0)</f>
        <v>4.6111381379887463E-14</v>
      </c>
      <c r="FG130" s="14">
        <f t="shared" si="101"/>
        <v>7.5804141040779151E-13</v>
      </c>
      <c r="FH130" s="22">
        <f t="shared" si="76"/>
        <v>1.4005661123635408E-12</v>
      </c>
      <c r="FI130" s="60">
        <f t="shared" si="77"/>
        <v>283.40235685907885</v>
      </c>
      <c r="FJ130" s="60">
        <f ca="1">AVERAGE(OFFSET($FI$3,0,0,'Données projet'!$E$16+1,1))-AVERAGE(OFFSET($H$3,0,0,'Données projet'!$E$16+1,1))</f>
        <v>308.58270639204238</v>
      </c>
      <c r="FK130" s="60">
        <f t="shared" si="102"/>
        <v>258.90832875500325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3</v>
      </c>
      <c r="FZ130" s="13">
        <f>IF('Données projet'!$A$244&gt;35,FZ129+FY130-GH129,IF(A130&lt;'Données projet'!$A$244,$FW$205^A130,IF(A130='Données projet'!$A$244,'Données projet'!$B$244,FZ129+FY130-GH129)))</f>
        <v>273.99999999999949</v>
      </c>
      <c r="GA130" s="18">
        <f>FZ130*VLOOKUP('Données projet'!$B$17,Paramètres!$A$1:$I$89,3,0)*VLOOKUP('Données projet'!$B$17,Paramètres!$A$1:$I$89,5,0)</f>
        <v>265.01279999999952</v>
      </c>
      <c r="GB130" s="14">
        <f t="shared" si="103"/>
        <v>63.789713870852616</v>
      </c>
      <c r="GC130" s="22">
        <f t="shared" si="79"/>
        <v>572.66437832506745</v>
      </c>
      <c r="GD130" s="60">
        <f t="shared" si="80"/>
        <v>856.06673518414482</v>
      </c>
      <c r="GE130" s="60">
        <f ca="1">AVERAGE(OFFSET($GD$3,0,0,'Données projet'!$E$17+1,1))-AVERAGE(OFFSET($H$3,0,0,'Données projet'!$E$17+1,1))</f>
        <v>495.77880062178235</v>
      </c>
      <c r="GF130" s="60">
        <f t="shared" si="104"/>
        <v>263.55891737750301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4.666666666666667</v>
      </c>
      <c r="N131" s="14">
        <f>IF('Données projet'!$A$36&gt;35,N130+M131-V130,IF(A131&lt;'Données projet'!$A$36,$K$205^A131,IF(A131='Données projet'!$A$36,'Données projet'!$B$36,N130+M131-V130)))</f>
        <v>430.00000000000023</v>
      </c>
      <c r="O131" s="14">
        <f>N131*VLOOKUP('Données projet'!$B$9,Paramètres!$A$1:$I$89,3,0)*VLOOKUP('Données projet'!$B$9,Paramètres!$A$1:$I$89,5,0)</f>
        <v>368.94000000000023</v>
      </c>
      <c r="P131" s="14">
        <f t="shared" si="87"/>
        <v>85.450411753243344</v>
      </c>
      <c r="Q131" s="22">
        <f t="shared" ref="Q131:Q153" si="108">(O131+P131)*0.475*44/12</f>
        <v>791.39663380356581</v>
      </c>
      <c r="R131" s="60">
        <f t="shared" ref="R131:R194" si="109">Q131+(I131+J131)*44/12</f>
        <v>1074.9712709021344</v>
      </c>
      <c r="S131" s="60">
        <f ca="1">AVERAGE(OFFSET($R$3,0,0,'Données projet'!$E$9+1,1))-AVERAGE(OFFSET($H$3,0,0,'Données projet'!$E$9+1,1))</f>
        <v>598.73855311281966</v>
      </c>
      <c r="T131" s="60">
        <f t="shared" si="88"/>
        <v>275.88160405468193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276.99999999999949</v>
      </c>
      <c r="AJ131" s="14">
        <f>AI131*VLOOKUP('Données projet'!$B$10,Paramètres!$A$1:$I$89,3,0)*VLOOKUP('Données projet'!$B$10,Paramètres!$A$1:$I$89,5,0)</f>
        <v>280.87799999999947</v>
      </c>
      <c r="AK131" s="14">
        <f t="shared" si="89"/>
        <v>67.152521698072249</v>
      </c>
      <c r="AL131" s="22">
        <f t="shared" si="58"/>
        <v>606.15315862414161</v>
      </c>
      <c r="AM131" s="60">
        <f t="shared" si="59"/>
        <v>889.7277957227102</v>
      </c>
      <c r="AN131" s="60">
        <f ca="1">AVERAGE(OFFSET($AM$3,0,0,'Données projet'!$E$10+1,1))-AVERAGE(OFFSET($H$3,0,0,'Données projet'!$E$10+1,1))</f>
        <v>515.72324585399997</v>
      </c>
      <c r="AO131" s="60">
        <f t="shared" si="90"/>
        <v>273.35778700650792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2.7134774427395314E-13</v>
      </c>
      <c r="BF131" s="14">
        <f t="shared" si="91"/>
        <v>3.6292411711343559E-12</v>
      </c>
      <c r="BG131" s="22">
        <f t="shared" si="61"/>
        <v>6.7935256943361388E-12</v>
      </c>
      <c r="BH131" s="60">
        <f t="shared" si="62"/>
        <v>283.57463709857535</v>
      </c>
      <c r="BI131" s="60">
        <f ca="1">AVERAGE(OFFSET($BH$3,0,0,'Données projet'!$E$11+1,1))-AVERAGE(OFFSET($H$3,0,0,'Données projet'!$E$11+1,1))</f>
        <v>336.25341821407534</v>
      </c>
      <c r="BJ131" s="60">
        <f t="shared" si="92"/>
        <v>360.3246221345039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0.34354595227606971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0.34354595227606971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1.0818439477588981E-13</v>
      </c>
      <c r="CA131" s="14">
        <f t="shared" si="93"/>
        <v>1.6104228458716316E-12</v>
      </c>
      <c r="CB131" s="22">
        <f t="shared" si="64"/>
        <v>2.9932409441277661E-12</v>
      </c>
      <c r="CC131" s="60">
        <f t="shared" si="65"/>
        <v>283.57463709857154</v>
      </c>
      <c r="CD131" s="60">
        <f ca="1">AVERAGE(OFFSET($CC$3,0,0,'Données projet'!$E$12+1,1))-AVERAGE(OFFSET($H$3,0,0,'Données projet'!$E$12+1,1))</f>
        <v>438.41611139377829</v>
      </c>
      <c r="CE131" s="60">
        <f t="shared" si="94"/>
        <v>345.17417065809605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-4.5224624045658861E-14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395.27840703467933</v>
      </c>
      <c r="CZ131" s="60">
        <f t="shared" si="96"/>
        <v>364.24192380053944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-2.8421709430404007E-13</v>
      </c>
      <c r="DP131" s="18">
        <f>DO131*VLOOKUP('Données projet'!$B$14,Paramètres!$A$1:$I$89,3,0)*VLOOKUP('Données projet'!$B$14,Paramètres!$A$1:$I$89,5,0)</f>
        <v>-2.2168933355715128E-13</v>
      </c>
      <c r="DQ131" s="14" t="e">
        <f t="shared" si="97"/>
        <v>#NUM!</v>
      </c>
      <c r="DR131" s="22" t="e">
        <f t="shared" si="70"/>
        <v>#NUM!</v>
      </c>
      <c r="DS131" s="60" t="e">
        <f t="shared" si="71"/>
        <v>#NUM!</v>
      </c>
      <c r="DT131" s="60">
        <f ca="1">AVERAGE(OFFSET($DS$3,0,0,'Données projet'!$E$14+1,1))-AVERAGE(OFFSET($H$3,0,0,'Données projet'!$E$14+1,1))</f>
        <v>308.76306523144956</v>
      </c>
      <c r="DU131" s="60">
        <f t="shared" si="98"/>
        <v>283.28099819802776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2.2737367544323206E-13</v>
      </c>
      <c r="EK131" s="18">
        <f>EJ131*VLOOKUP('Données projet'!$B$15,Paramètres!$A$1:$I$89,3,0)*VLOOKUP('Données projet'!$B$15,Paramètres!$A$1:$I$89,5,0)</f>
        <v>1.5252226148732008E-13</v>
      </c>
      <c r="EL131" s="14">
        <f t="shared" si="99"/>
        <v>2.1814502464536512E-12</v>
      </c>
      <c r="EM131" s="22">
        <f t="shared" si="73"/>
        <v>4.0650021179971913E-12</v>
      </c>
      <c r="EN131" s="60">
        <f t="shared" si="74"/>
        <v>283.57463709857262</v>
      </c>
      <c r="EO131" s="60">
        <f ca="1">AVERAGE(OFFSET($EN$3,0,0,'Données projet'!$E$15+1,1))-AVERAGE(OFFSET($H$3,0,0,'Données projet'!$E$15+1,1))</f>
        <v>375.49921531693559</v>
      </c>
      <c r="EP131" s="60">
        <f t="shared" si="100"/>
        <v>306.93934681565599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5.6843418860808015E-14</v>
      </c>
      <c r="FF131" s="18">
        <f>FE131*VLOOKUP('Données projet'!$B$16,Paramètres!$A$1:$I$89,3,0)*VLOOKUP('Données projet'!$B$16,Paramètres!$A$1:$I$89,5,0)</f>
        <v>4.6111381379887463E-14</v>
      </c>
      <c r="FG131" s="14">
        <f t="shared" si="101"/>
        <v>7.5804141040779151E-13</v>
      </c>
      <c r="FH131" s="22">
        <f t="shared" si="76"/>
        <v>1.4005661123635408E-12</v>
      </c>
      <c r="FI131" s="60">
        <f t="shared" si="77"/>
        <v>283.57463709856995</v>
      </c>
      <c r="FJ131" s="60">
        <f ca="1">AVERAGE(OFFSET($FI$3,0,0,'Données projet'!$E$16+1,1))-AVERAGE(OFFSET($H$3,0,0,'Données projet'!$E$16+1,1))</f>
        <v>308.58270639204238</v>
      </c>
      <c r="FK131" s="60">
        <f t="shared" si="102"/>
        <v>258.90832875500325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3</v>
      </c>
      <c r="FZ131" s="13">
        <f>IF('Données projet'!$A$244&gt;35,FZ130+FY131-GH130,IF(A131&lt;'Données projet'!$A$244,$FW$205^A131,IF(A131='Données projet'!$A$244,'Données projet'!$B$244,FZ130+FY131-GH130)))</f>
        <v>276.99999999999949</v>
      </c>
      <c r="GA131" s="18">
        <f>FZ131*VLOOKUP('Données projet'!$B$17,Paramètres!$A$1:$I$89,3,0)*VLOOKUP('Données projet'!$B$17,Paramètres!$A$1:$I$89,5,0)</f>
        <v>267.91439999999949</v>
      </c>
      <c r="GB131" s="14">
        <f t="shared" si="103"/>
        <v>64.406452772433894</v>
      </c>
      <c r="GC131" s="22">
        <f t="shared" si="79"/>
        <v>578.79215191198807</v>
      </c>
      <c r="GD131" s="60">
        <f t="shared" si="80"/>
        <v>862.36678901055666</v>
      </c>
      <c r="GE131" s="60">
        <f ca="1">AVERAGE(OFFSET($GD$3,0,0,'Données projet'!$E$17+1,1))-AVERAGE(OFFSET($H$3,0,0,'Données projet'!$E$17+1,1))</f>
        <v>495.77880062178235</v>
      </c>
      <c r="GF131" s="60">
        <f t="shared" si="104"/>
        <v>263.55891737750301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4.666666666666667</v>
      </c>
      <c r="N132" s="14">
        <f>IF('Données projet'!$A$36&gt;35,N131+M132-V131,IF(A132&lt;'Données projet'!$A$36,$K$205^A132,IF(A132='Données projet'!$A$36,'Données projet'!$B$36,N131+M132-V131)))</f>
        <v>434.66666666666691</v>
      </c>
      <c r="O132" s="14">
        <f>N132*VLOOKUP('Données projet'!$B$9,Paramètres!$A$1:$I$89,3,0)*VLOOKUP('Données projet'!$B$9,Paramètres!$A$1:$I$89,5,0)</f>
        <v>372.9440000000003</v>
      </c>
      <c r="P132" s="14">
        <f t="shared" si="87"/>
        <v>86.269319341398472</v>
      </c>
      <c r="Q132" s="22">
        <f t="shared" si="108"/>
        <v>799.79653118626948</v>
      </c>
      <c r="R132" s="60">
        <f t="shared" si="109"/>
        <v>1083.5404598473349</v>
      </c>
      <c r="S132" s="60">
        <f ca="1">AVERAGE(OFFSET($R$3,0,0,'Données projet'!$E$9+1,1))-AVERAGE(OFFSET($H$3,0,0,'Données projet'!$E$9+1,1))</f>
        <v>598.73855311281966</v>
      </c>
      <c r="T132" s="60">
        <f t="shared" si="88"/>
        <v>275.88160405468193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279.99999999999949</v>
      </c>
      <c r="AJ132" s="14">
        <f>AI132*VLOOKUP('Données projet'!$B$10,Paramètres!$A$1:$I$89,3,0)*VLOOKUP('Données projet'!$B$10,Paramètres!$A$1:$I$89,5,0)</f>
        <v>283.9199999999995</v>
      </c>
      <c r="AK132" s="14">
        <f t="shared" si="89"/>
        <v>67.794746071143507</v>
      </c>
      <c r="AL132" s="22">
        <f t="shared" ref="AL132:AL153" si="112">(AJ132+AK132)*0.475*44/12</f>
        <v>612.56984940724067</v>
      </c>
      <c r="AM132" s="60">
        <f t="shared" ref="AM132:AM195" si="113">AL132+(AD132+AE132)*44/12</f>
        <v>896.31377806830596</v>
      </c>
      <c r="AN132" s="60">
        <f ca="1">AVERAGE(OFFSET($AM$3,0,0,'Données projet'!$E$10+1,1))-AVERAGE(OFFSET($H$3,0,0,'Données projet'!$E$10+1,1))</f>
        <v>515.72324585399997</v>
      </c>
      <c r="AO132" s="60">
        <f t="shared" si="90"/>
        <v>273.35778700650792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2.7134774427395314E-13</v>
      </c>
      <c r="BF132" s="14">
        <f t="shared" si="91"/>
        <v>3.6292411711343559E-12</v>
      </c>
      <c r="BG132" s="22">
        <f t="shared" ref="BG132:BG153" si="115">(BE132+BF132)*0.475*44/12</f>
        <v>6.7935256943361388E-12</v>
      </c>
      <c r="BH132" s="60">
        <f t="shared" ref="BH132:BH195" si="116">BG132+(AY132+AZ132)*44/12</f>
        <v>283.74392866107218</v>
      </c>
      <c r="BI132" s="60">
        <f ca="1">AVERAGE(OFFSET($BH$3,0,0,'Données projet'!$E$11+1,1))-AVERAGE(OFFSET($H$3,0,0,'Données projet'!$E$11+1,1))</f>
        <v>336.25341821407534</v>
      </c>
      <c r="BJ132" s="60">
        <f t="shared" si="92"/>
        <v>360.3246221345039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0.33415167014478414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0.33415167014478414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1.0818439477588981E-13</v>
      </c>
      <c r="CA132" s="14">
        <f t="shared" si="93"/>
        <v>1.6104228458716316E-12</v>
      </c>
      <c r="CB132" s="22">
        <f t="shared" ref="CB132:CB153" si="118">(BZ132+CA132)*0.475*44/12</f>
        <v>2.9932409441277661E-12</v>
      </c>
      <c r="CC132" s="60">
        <f t="shared" ref="CC132:CC195" si="119">CB132+(BT132+BU132)*44/12</f>
        <v>283.74392866106837</v>
      </c>
      <c r="CD132" s="60">
        <f ca="1">AVERAGE(OFFSET($CC$3,0,0,'Données projet'!$E$12+1,1))-AVERAGE(OFFSET($H$3,0,0,'Données projet'!$E$12+1,1))</f>
        <v>438.41611139377829</v>
      </c>
      <c r="CE132" s="60">
        <f t="shared" si="94"/>
        <v>345.17417065809605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-4.5224624045658861E-14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395.27840703467933</v>
      </c>
      <c r="CZ132" s="60">
        <f t="shared" si="96"/>
        <v>364.24192380053944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-2.8421709430404007E-13</v>
      </c>
      <c r="DP132" s="18">
        <f>DO132*VLOOKUP('Données projet'!$B$14,Paramètres!$A$1:$I$89,3,0)*VLOOKUP('Données projet'!$B$14,Paramètres!$A$1:$I$89,5,0)</f>
        <v>-2.2168933355715128E-13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0" t="e">
        <f t="shared" ref="DS132:DS195" si="125">DR132+(DJ132+DK132)*44/12</f>
        <v>#NUM!</v>
      </c>
      <c r="DT132" s="60">
        <f ca="1">AVERAGE(OFFSET($DS$3,0,0,'Données projet'!$E$14+1,1))-AVERAGE(OFFSET($H$3,0,0,'Données projet'!$E$14+1,1))</f>
        <v>308.76306523144956</v>
      </c>
      <c r="DU132" s="60">
        <f t="shared" si="98"/>
        <v>283.28099819802776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2.2737367544323206E-13</v>
      </c>
      <c r="EK132" s="18">
        <f>EJ132*VLOOKUP('Données projet'!$B$15,Paramètres!$A$1:$I$89,3,0)*VLOOKUP('Données projet'!$B$15,Paramètres!$A$1:$I$89,5,0)</f>
        <v>1.5252226148732008E-13</v>
      </c>
      <c r="EL132" s="14">
        <f t="shared" si="99"/>
        <v>2.1814502464536512E-12</v>
      </c>
      <c r="EM132" s="22">
        <f t="shared" ref="EM132:EM153" si="127">(EK132+EL132)*0.475*44/12</f>
        <v>4.0650021179971913E-12</v>
      </c>
      <c r="EN132" s="60">
        <f t="shared" ref="EN132:EN195" si="128">EM132+(EE132+EF132)*44/12</f>
        <v>283.74392866106945</v>
      </c>
      <c r="EO132" s="60">
        <f ca="1">AVERAGE(OFFSET($EN$3,0,0,'Données projet'!$E$15+1,1))-AVERAGE(OFFSET($H$3,0,0,'Données projet'!$E$15+1,1))</f>
        <v>375.49921531693559</v>
      </c>
      <c r="EP132" s="60">
        <f t="shared" si="100"/>
        <v>306.93934681565599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5.6843418860808015E-14</v>
      </c>
      <c r="FF132" s="18">
        <f>FE132*VLOOKUP('Données projet'!$B$16,Paramètres!$A$1:$I$89,3,0)*VLOOKUP('Données projet'!$B$16,Paramètres!$A$1:$I$89,5,0)</f>
        <v>4.6111381379887463E-14</v>
      </c>
      <c r="FG132" s="14">
        <f t="shared" si="101"/>
        <v>7.5804141040779151E-13</v>
      </c>
      <c r="FH132" s="22">
        <f t="shared" ref="FH132:FH153" si="130">(FF132+FG132)*0.475*44/12</f>
        <v>1.4005661123635408E-12</v>
      </c>
      <c r="FI132" s="60">
        <f t="shared" ref="FI132:FI195" si="131">FH132+(EZ132+FA132)*44/12</f>
        <v>283.74392866106678</v>
      </c>
      <c r="FJ132" s="60">
        <f ca="1">AVERAGE(OFFSET($FI$3,0,0,'Données projet'!$E$16+1,1))-AVERAGE(OFFSET($H$3,0,0,'Données projet'!$E$16+1,1))</f>
        <v>308.58270639204238</v>
      </c>
      <c r="FK132" s="60">
        <f t="shared" si="102"/>
        <v>258.90832875500325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3</v>
      </c>
      <c r="FZ132" s="13">
        <f>IF('Données projet'!$A$244&gt;35,FZ131+FY132-GH131,IF(A132&lt;'Données projet'!$A$244,$FW$205^A132,IF(A132='Données projet'!$A$244,'Données projet'!$B$244,FZ131+FY132-GH131)))</f>
        <v>279.99999999999949</v>
      </c>
      <c r="GA132" s="18">
        <f>FZ132*VLOOKUP('Données projet'!$B$17,Paramètres!$A$1:$I$89,3,0)*VLOOKUP('Données projet'!$B$17,Paramètres!$A$1:$I$89,5,0)</f>
        <v>270.81599999999952</v>
      </c>
      <c r="GB132" s="14">
        <f t="shared" si="103"/>
        <v>65.022414656032197</v>
      </c>
      <c r="GC132" s="22">
        <f t="shared" ref="GC132:GC153" si="133">(GA132+GB132)*0.475*44/12</f>
        <v>584.91857219258861</v>
      </c>
      <c r="GD132" s="60">
        <f t="shared" ref="GD132:GD195" si="134">GC132+(FU132+FV132)*44/12</f>
        <v>868.66250085365391</v>
      </c>
      <c r="GE132" s="60">
        <f ca="1">AVERAGE(OFFSET($GD$3,0,0,'Données projet'!$E$17+1,1))-AVERAGE(OFFSET($H$3,0,0,'Données projet'!$E$17+1,1))</f>
        <v>495.77880062178235</v>
      </c>
      <c r="GF132" s="60">
        <f t="shared" si="104"/>
        <v>263.55891737750301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4.666666666666667</v>
      </c>
      <c r="N133" s="14">
        <f>IF('Données projet'!$A$36&gt;35,N132+M133-V132,IF(A133&lt;'Données projet'!$A$36,$K$205^A133,IF(A133='Données projet'!$A$36,'Données projet'!$B$36,N132+M133-V132)))</f>
        <v>439.3333333333336</v>
      </c>
      <c r="O133" s="14">
        <f>N133*VLOOKUP('Données projet'!$B$9,Paramètres!$A$1:$I$89,3,0)*VLOOKUP('Données projet'!$B$9,Paramètres!$A$1:$I$89,5,0)</f>
        <v>376.94800000000026</v>
      </c>
      <c r="P133" s="14">
        <f t="shared" ref="P133:P196" si="141">EXP(-1.0587+0.8836*LN(O133)+0.284)</f>
        <v>87.087204164678823</v>
      </c>
      <c r="Q133" s="22">
        <f t="shared" si="108"/>
        <v>808.1946472534828</v>
      </c>
      <c r="R133" s="60">
        <f t="shared" si="109"/>
        <v>1092.1049306469149</v>
      </c>
      <c r="S133" s="60">
        <f ca="1">AVERAGE(OFFSET($R$3,0,0,'Données projet'!$E$9+1,1))-AVERAGE(OFFSET($H$3,0,0,'Données projet'!$E$9+1,1))</f>
        <v>598.73855311281966</v>
      </c>
      <c r="T133" s="60">
        <f t="shared" ref="T133:T196" si="142">$T$3</f>
        <v>275.88160405468193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282.99999999999949</v>
      </c>
      <c r="AJ133" s="14">
        <f>AI133*VLOOKUP('Données projet'!$B$10,Paramètres!$A$1:$I$89,3,0)*VLOOKUP('Données projet'!$B$10,Paramètres!$A$1:$I$89,5,0)</f>
        <v>286.96199999999948</v>
      </c>
      <c r="AK133" s="14">
        <f t="shared" ref="AK133:AK153" si="143">EXP(-1.0587+0.8836*LN(AJ133)+0.284)</f>
        <v>68.43616998171774</v>
      </c>
      <c r="AL133" s="22">
        <f t="shared" si="112"/>
        <v>618.9851460514908</v>
      </c>
      <c r="AM133" s="60">
        <f t="shared" si="113"/>
        <v>902.89542944492291</v>
      </c>
      <c r="AN133" s="60">
        <f ca="1">AVERAGE(OFFSET($AM$3,0,0,'Données projet'!$E$10+1,1))-AVERAGE(OFFSET($H$3,0,0,'Données projet'!$E$10+1,1))</f>
        <v>515.72324585399997</v>
      </c>
      <c r="AO133" s="60">
        <f t="shared" ref="AO133:AO196" si="144">$AO$3</f>
        <v>273.35778700650792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2.7134774427395314E-13</v>
      </c>
      <c r="BF133" s="14">
        <f t="shared" ref="BF133:BF153" si="145">EXP(-1.0587+0.8836*LN(BE133)+0.284)</f>
        <v>3.6292411711343559E-12</v>
      </c>
      <c r="BG133" s="22">
        <f t="shared" si="115"/>
        <v>6.7935256943361388E-12</v>
      </c>
      <c r="BH133" s="60">
        <f t="shared" si="116"/>
        <v>283.91028339343893</v>
      </c>
      <c r="BI133" s="60">
        <f ca="1">AVERAGE(OFFSET($BH$3,0,0,'Données projet'!$E$11+1,1))-AVERAGE(OFFSET($H$3,0,0,'Données projet'!$E$11+1,1))</f>
        <v>336.25341821407534</v>
      </c>
      <c r="BJ133" s="60">
        <f t="shared" ref="BJ133:BJ196" si="146">$BJ$3</f>
        <v>360.3246221345039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0.32501427515240239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0.32501427515240239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1.0818439477588981E-13</v>
      </c>
      <c r="CA133" s="14">
        <f t="shared" ref="CA133:CA153" si="147">EXP(-1.0587+0.8836*LN(BZ133)+0.284)</f>
        <v>1.6104228458716316E-12</v>
      </c>
      <c r="CB133" s="22">
        <f t="shared" si="118"/>
        <v>2.9932409441277661E-12</v>
      </c>
      <c r="CC133" s="60">
        <f t="shared" si="119"/>
        <v>283.91028339343512</v>
      </c>
      <c r="CD133" s="60">
        <f ca="1">AVERAGE(OFFSET($CC$3,0,0,'Données projet'!$E$12+1,1))-AVERAGE(OFFSET($H$3,0,0,'Données projet'!$E$12+1,1))</f>
        <v>438.41611139377829</v>
      </c>
      <c r="CE133" s="60">
        <f t="shared" ref="CE133:CE196" si="148">$CE$3</f>
        <v>345.17417065809605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-4.5224624045658861E-14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395.27840703467933</v>
      </c>
      <c r="CZ133" s="60">
        <f t="shared" ref="CZ133:CZ196" si="150">$CZ$3</f>
        <v>364.24192380053944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-2.8421709430404007E-13</v>
      </c>
      <c r="DP133" s="18">
        <f>DO133*VLOOKUP('Données projet'!$B$14,Paramètres!$A$1:$I$89,3,0)*VLOOKUP('Données projet'!$B$14,Paramètres!$A$1:$I$89,5,0)</f>
        <v>-2.2168933355715128E-13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0" t="e">
        <f t="shared" si="125"/>
        <v>#NUM!</v>
      </c>
      <c r="DT133" s="60">
        <f ca="1">AVERAGE(OFFSET($DS$3,0,0,'Données projet'!$E$14+1,1))-AVERAGE(OFFSET($H$3,0,0,'Données projet'!$E$14+1,1))</f>
        <v>308.76306523144956</v>
      </c>
      <c r="DU133" s="60">
        <f t="shared" ref="DU133:DU196" si="152">$DU$3</f>
        <v>283.28099819802776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2.2737367544323206E-13</v>
      </c>
      <c r="EK133" s="18">
        <f>EJ133*VLOOKUP('Données projet'!$B$15,Paramètres!$A$1:$I$89,3,0)*VLOOKUP('Données projet'!$B$15,Paramètres!$A$1:$I$89,5,0)</f>
        <v>1.5252226148732008E-13</v>
      </c>
      <c r="EL133" s="14">
        <f t="shared" ref="EL133:EL153" si="153">EXP(-1.0587+0.8836*LN(EK133)+0.284)</f>
        <v>2.1814502464536512E-12</v>
      </c>
      <c r="EM133" s="22">
        <f t="shared" si="127"/>
        <v>4.0650021179971913E-12</v>
      </c>
      <c r="EN133" s="60">
        <f t="shared" si="128"/>
        <v>283.9102833934362</v>
      </c>
      <c r="EO133" s="60">
        <f ca="1">AVERAGE(OFFSET($EN$3,0,0,'Données projet'!$E$15+1,1))-AVERAGE(OFFSET($H$3,0,0,'Données projet'!$E$15+1,1))</f>
        <v>375.49921531693559</v>
      </c>
      <c r="EP133" s="60">
        <f t="shared" ref="EP133:EP196" si="154">$EP$3</f>
        <v>306.93934681565599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5.6843418860808015E-14</v>
      </c>
      <c r="FF133" s="18">
        <f>FE133*VLOOKUP('Données projet'!$B$16,Paramètres!$A$1:$I$89,3,0)*VLOOKUP('Données projet'!$B$16,Paramètres!$A$1:$I$89,5,0)</f>
        <v>4.6111381379887463E-14</v>
      </c>
      <c r="FG133" s="14">
        <f t="shared" ref="FG133:FG153" si="155">EXP(-1.0587+0.8836*LN(FF133)+0.284)</f>
        <v>7.5804141040779151E-13</v>
      </c>
      <c r="FH133" s="22">
        <f t="shared" si="130"/>
        <v>1.4005661123635408E-12</v>
      </c>
      <c r="FI133" s="60">
        <f t="shared" si="131"/>
        <v>283.91028339343353</v>
      </c>
      <c r="FJ133" s="60">
        <f ca="1">AVERAGE(OFFSET($FI$3,0,0,'Données projet'!$E$16+1,1))-AVERAGE(OFFSET($H$3,0,0,'Données projet'!$E$16+1,1))</f>
        <v>308.58270639204238</v>
      </c>
      <c r="FK133" s="60">
        <f t="shared" ref="FK133:FK196" si="156">$FK$3</f>
        <v>258.90832875500325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3</v>
      </c>
      <c r="FZ133" s="13">
        <f>IF('Données projet'!$A$244&gt;35,FZ132+FY133-GH132,IF(A133&lt;'Données projet'!$A$244,$FW$205^A133,IF(A133='Données projet'!$A$244,'Données projet'!$B$244,FZ132+FY133-GH132)))</f>
        <v>282.99999999999949</v>
      </c>
      <c r="GA133" s="18">
        <f>FZ133*VLOOKUP('Données projet'!$B$17,Paramètres!$A$1:$I$89,3,0)*VLOOKUP('Données projet'!$B$17,Paramètres!$A$1:$I$89,5,0)</f>
        <v>273.71759999999955</v>
      </c>
      <c r="GB133" s="14">
        <f t="shared" ref="GB133:GB153" si="157">EXP(-1.0587+0.8836*LN(GA133)+0.284)</f>
        <v>65.637608810456612</v>
      </c>
      <c r="GC133" s="22">
        <f t="shared" si="133"/>
        <v>591.04365534487772</v>
      </c>
      <c r="GD133" s="60">
        <f t="shared" si="134"/>
        <v>874.95393873830983</v>
      </c>
      <c r="GE133" s="60">
        <f ca="1">AVERAGE(OFFSET($GD$3,0,0,'Données projet'!$E$17+1,1))-AVERAGE(OFFSET($H$3,0,0,'Données projet'!$E$17+1,1))</f>
        <v>495.77880062178235</v>
      </c>
      <c r="GF133" s="60">
        <f t="shared" ref="GF133:GF196" si="158">$GF$3</f>
        <v>263.55891737750301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4.666666666666667</v>
      </c>
      <c r="N134" s="14">
        <f>IF('Données projet'!$A$36&gt;35,N133+M134-V133,IF(A134&lt;'Données projet'!$A$36,$K$205^A134,IF(A134='Données projet'!$A$36,'Données projet'!$B$36,N133+M134-V133)))</f>
        <v>444.00000000000028</v>
      </c>
      <c r="O134" s="14">
        <f>N134*VLOOKUP('Données projet'!$B$9,Paramètres!$A$1:$I$89,3,0)*VLOOKUP('Données projet'!$B$9,Paramètres!$A$1:$I$89,5,0)</f>
        <v>380.95200000000028</v>
      </c>
      <c r="P134" s="14">
        <f t="shared" si="141"/>
        <v>87.904078344580284</v>
      </c>
      <c r="Q134" s="22">
        <f t="shared" si="108"/>
        <v>816.59100311681107</v>
      </c>
      <c r="R134" s="60">
        <f t="shared" si="109"/>
        <v>1100.6647553599169</v>
      </c>
      <c r="S134" s="60">
        <f ca="1">AVERAGE(OFFSET($R$3,0,0,'Données projet'!$E$9+1,1))-AVERAGE(OFFSET($H$3,0,0,'Données projet'!$E$9+1,1))</f>
        <v>598.73855311281966</v>
      </c>
      <c r="T134" s="60">
        <f t="shared" si="142"/>
        <v>275.88160405468193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285.99999999999949</v>
      </c>
      <c r="AJ134" s="14">
        <f>AI134*VLOOKUP('Données projet'!$B$10,Paramètres!$A$1:$I$89,3,0)*VLOOKUP('Données projet'!$B$10,Paramètres!$A$1:$I$89,5,0)</f>
        <v>290.00399999999951</v>
      </c>
      <c r="AK134" s="14">
        <f t="shared" si="143"/>
        <v>69.07680289748582</v>
      </c>
      <c r="AL134" s="22">
        <f t="shared" si="112"/>
        <v>625.39906504645353</v>
      </c>
      <c r="AM134" s="60">
        <f t="shared" si="113"/>
        <v>909.47281728955932</v>
      </c>
      <c r="AN134" s="60">
        <f ca="1">AVERAGE(OFFSET($AM$3,0,0,'Données projet'!$E$10+1,1))-AVERAGE(OFFSET($H$3,0,0,'Données projet'!$E$10+1,1))</f>
        <v>515.72324585399997</v>
      </c>
      <c r="AO134" s="60">
        <f t="shared" si="144"/>
        <v>273.35778700650792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2.7134774427395314E-13</v>
      </c>
      <c r="BF134" s="14">
        <f t="shared" si="145"/>
        <v>3.6292411711343559E-12</v>
      </c>
      <c r="BG134" s="22">
        <f t="shared" si="115"/>
        <v>6.7935256943361388E-12</v>
      </c>
      <c r="BH134" s="60">
        <f t="shared" si="116"/>
        <v>284.07375224311255</v>
      </c>
      <c r="BI134" s="60">
        <f ca="1">AVERAGE(OFFSET($BH$3,0,0,'Données projet'!$E$11+1,1))-AVERAGE(OFFSET($H$3,0,0,'Données projet'!$E$11+1,1))</f>
        <v>336.25341821407534</v>
      </c>
      <c r="BJ134" s="60">
        <f t="shared" si="146"/>
        <v>360.3246221345039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0.31612674270660207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0.31612674270660207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1.0818439477588981E-13</v>
      </c>
      <c r="CA134" s="14">
        <f t="shared" si="147"/>
        <v>1.6104228458716316E-12</v>
      </c>
      <c r="CB134" s="22">
        <f t="shared" si="118"/>
        <v>2.9932409441277661E-12</v>
      </c>
      <c r="CC134" s="60">
        <f t="shared" si="119"/>
        <v>284.07375224310874</v>
      </c>
      <c r="CD134" s="60">
        <f ca="1">AVERAGE(OFFSET($CC$3,0,0,'Données projet'!$E$12+1,1))-AVERAGE(OFFSET($H$3,0,0,'Données projet'!$E$12+1,1))</f>
        <v>438.41611139377829</v>
      </c>
      <c r="CE134" s="60">
        <f t="shared" si="148"/>
        <v>345.17417065809605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-4.5224624045658861E-14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395.27840703467933</v>
      </c>
      <c r="CZ134" s="60">
        <f t="shared" si="150"/>
        <v>364.24192380053944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-2.8421709430404007E-13</v>
      </c>
      <c r="DP134" s="18">
        <f>DO134*VLOOKUP('Données projet'!$B$14,Paramètres!$A$1:$I$89,3,0)*VLOOKUP('Données projet'!$B$14,Paramètres!$A$1:$I$89,5,0)</f>
        <v>-2.2168933355715128E-13</v>
      </c>
      <c r="DQ134" s="14" t="e">
        <f t="shared" si="151"/>
        <v>#NUM!</v>
      </c>
      <c r="DR134" s="22" t="e">
        <f t="shared" si="124"/>
        <v>#NUM!</v>
      </c>
      <c r="DS134" s="60" t="e">
        <f t="shared" si="125"/>
        <v>#NUM!</v>
      </c>
      <c r="DT134" s="60">
        <f ca="1">AVERAGE(OFFSET($DS$3,0,0,'Données projet'!$E$14+1,1))-AVERAGE(OFFSET($H$3,0,0,'Données projet'!$E$14+1,1))</f>
        <v>308.76306523144956</v>
      </c>
      <c r="DU134" s="60">
        <f t="shared" si="152"/>
        <v>283.28099819802776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2.2737367544323206E-13</v>
      </c>
      <c r="EK134" s="18">
        <f>EJ134*VLOOKUP('Données projet'!$B$15,Paramètres!$A$1:$I$89,3,0)*VLOOKUP('Données projet'!$B$15,Paramètres!$A$1:$I$89,5,0)</f>
        <v>1.5252226148732008E-13</v>
      </c>
      <c r="EL134" s="14">
        <f t="shared" si="153"/>
        <v>2.1814502464536512E-12</v>
      </c>
      <c r="EM134" s="22">
        <f t="shared" si="127"/>
        <v>4.0650021179971913E-12</v>
      </c>
      <c r="EN134" s="60">
        <f t="shared" si="128"/>
        <v>284.07375224310982</v>
      </c>
      <c r="EO134" s="60">
        <f ca="1">AVERAGE(OFFSET($EN$3,0,0,'Données projet'!$E$15+1,1))-AVERAGE(OFFSET($H$3,0,0,'Données projet'!$E$15+1,1))</f>
        <v>375.49921531693559</v>
      </c>
      <c r="EP134" s="60">
        <f t="shared" si="154"/>
        <v>306.93934681565599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5.6843418860808015E-14</v>
      </c>
      <c r="FF134" s="18">
        <f>FE134*VLOOKUP('Données projet'!$B$16,Paramètres!$A$1:$I$89,3,0)*VLOOKUP('Données projet'!$B$16,Paramètres!$A$1:$I$89,5,0)</f>
        <v>4.6111381379887463E-14</v>
      </c>
      <c r="FG134" s="14">
        <f t="shared" si="155"/>
        <v>7.5804141040779151E-13</v>
      </c>
      <c r="FH134" s="22">
        <f t="shared" si="130"/>
        <v>1.4005661123635408E-12</v>
      </c>
      <c r="FI134" s="60">
        <f t="shared" si="131"/>
        <v>284.07375224310715</v>
      </c>
      <c r="FJ134" s="60">
        <f ca="1">AVERAGE(OFFSET($FI$3,0,0,'Données projet'!$E$16+1,1))-AVERAGE(OFFSET($H$3,0,0,'Données projet'!$E$16+1,1))</f>
        <v>308.58270639204238</v>
      </c>
      <c r="FK134" s="60">
        <f t="shared" si="156"/>
        <v>258.90832875500325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3</v>
      </c>
      <c r="FZ134" s="13">
        <f>IF('Données projet'!$A$244&gt;35,FZ133+FY134-GH133,IF(A134&lt;'Données projet'!$A$244,$FW$205^A134,IF(A134='Données projet'!$A$244,'Données projet'!$B$244,FZ133+FY134-GH133)))</f>
        <v>285.99999999999949</v>
      </c>
      <c r="GA134" s="18">
        <f>FZ134*VLOOKUP('Données projet'!$B$17,Paramètres!$A$1:$I$89,3,0)*VLOOKUP('Données projet'!$B$17,Paramètres!$A$1:$I$89,5,0)</f>
        <v>276.61919999999952</v>
      </c>
      <c r="GB134" s="14">
        <f t="shared" si="157"/>
        <v>66.252044316235398</v>
      </c>
      <c r="GC134" s="22">
        <f t="shared" si="133"/>
        <v>597.16741718410913</v>
      </c>
      <c r="GD134" s="60">
        <f t="shared" si="134"/>
        <v>881.2411694272148</v>
      </c>
      <c r="GE134" s="60">
        <f ca="1">AVERAGE(OFFSET($GD$3,0,0,'Données projet'!$E$17+1,1))-AVERAGE(OFFSET($H$3,0,0,'Données projet'!$E$17+1,1))</f>
        <v>495.77880062178235</v>
      </c>
      <c r="GF134" s="60">
        <f t="shared" si="158"/>
        <v>263.55891737750301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4.666666666666667</v>
      </c>
      <c r="N135" s="14">
        <f>IF('Données projet'!$A$36&gt;35,N134+M135-V134,IF(A135&lt;'Données projet'!$A$36,$K$205^A135,IF(A135='Données projet'!$A$36,'Données projet'!$B$36,N134+M135-V134)))</f>
        <v>448.66666666666697</v>
      </c>
      <c r="O135" s="14">
        <f>N135*VLOOKUP('Données projet'!$B$9,Paramètres!$A$1:$I$89,3,0)*VLOOKUP('Données projet'!$B$9,Paramètres!$A$1:$I$89,5,0)</f>
        <v>384.9560000000003</v>
      </c>
      <c r="P135" s="14">
        <f t="shared" si="141"/>
        <v>88.719953733112632</v>
      </c>
      <c r="Q135" s="22">
        <f t="shared" si="108"/>
        <v>824.98561941850494</v>
      </c>
      <c r="R135" s="60">
        <f t="shared" si="109"/>
        <v>1109.2200046922042</v>
      </c>
      <c r="S135" s="60">
        <f ca="1">AVERAGE(OFFSET($R$3,0,0,'Données projet'!$E$9+1,1))-AVERAGE(OFFSET($H$3,0,0,'Données projet'!$E$9+1,1))</f>
        <v>598.73855311281966</v>
      </c>
      <c r="T135" s="60">
        <f t="shared" si="142"/>
        <v>275.88160405468193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288.99999999999949</v>
      </c>
      <c r="AJ135" s="14">
        <f>AI135*VLOOKUP('Données projet'!$B$10,Paramètres!$A$1:$I$89,3,0)*VLOOKUP('Données projet'!$B$10,Paramètres!$A$1:$I$89,5,0)</f>
        <v>293.04599999999954</v>
      </c>
      <c r="AK135" s="14">
        <f t="shared" si="143"/>
        <v>69.716654076072487</v>
      </c>
      <c r="AL135" s="22">
        <f t="shared" si="112"/>
        <v>631.81162251582543</v>
      </c>
      <c r="AM135" s="60">
        <f t="shared" si="113"/>
        <v>916.04600778952454</v>
      </c>
      <c r="AN135" s="60">
        <f ca="1">AVERAGE(OFFSET($AM$3,0,0,'Données projet'!$E$10+1,1))-AVERAGE(OFFSET($H$3,0,0,'Données projet'!$E$10+1,1))</f>
        <v>515.72324585399997</v>
      </c>
      <c r="AO135" s="60">
        <f t="shared" si="144"/>
        <v>273.35778700650792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2.7134774427395314E-13</v>
      </c>
      <c r="BF135" s="14">
        <f t="shared" si="145"/>
        <v>3.6292411711343559E-12</v>
      </c>
      <c r="BG135" s="22">
        <f t="shared" si="115"/>
        <v>6.7935256943361388E-12</v>
      </c>
      <c r="BH135" s="60">
        <f t="shared" si="116"/>
        <v>284.23438527370598</v>
      </c>
      <c r="BI135" s="60">
        <f ca="1">AVERAGE(OFFSET($BH$3,0,0,'Données projet'!$E$11+1,1))-AVERAGE(OFFSET($H$3,0,0,'Données projet'!$E$11+1,1))</f>
        <v>336.25341821407534</v>
      </c>
      <c r="BJ135" s="60">
        <f t="shared" si="146"/>
        <v>360.3246221345039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0.30748224030290716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0.30748224030290716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1.0818439477588981E-13</v>
      </c>
      <c r="CA135" s="14">
        <f t="shared" si="147"/>
        <v>1.6104228458716316E-12</v>
      </c>
      <c r="CB135" s="22">
        <f t="shared" si="118"/>
        <v>2.9932409441277661E-12</v>
      </c>
      <c r="CC135" s="60">
        <f t="shared" si="119"/>
        <v>284.23438527370217</v>
      </c>
      <c r="CD135" s="60">
        <f ca="1">AVERAGE(OFFSET($CC$3,0,0,'Données projet'!$E$12+1,1))-AVERAGE(OFFSET($H$3,0,0,'Données projet'!$E$12+1,1))</f>
        <v>438.41611139377829</v>
      </c>
      <c r="CE135" s="60">
        <f t="shared" si="148"/>
        <v>345.17417065809605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-4.5224624045658861E-14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395.27840703467933</v>
      </c>
      <c r="CZ135" s="60">
        <f t="shared" si="150"/>
        <v>364.24192380053944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-2.8421709430404007E-13</v>
      </c>
      <c r="DP135" s="18">
        <f>DO135*VLOOKUP('Données projet'!$B$14,Paramètres!$A$1:$I$89,3,0)*VLOOKUP('Données projet'!$B$14,Paramètres!$A$1:$I$89,5,0)</f>
        <v>-2.2168933355715128E-13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308.76306523144956</v>
      </c>
      <c r="DU135" s="60">
        <f t="shared" si="152"/>
        <v>283.28099819802776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2.2737367544323206E-13</v>
      </c>
      <c r="EK135" s="18">
        <f>EJ135*VLOOKUP('Données projet'!$B$15,Paramètres!$A$1:$I$89,3,0)*VLOOKUP('Données projet'!$B$15,Paramètres!$A$1:$I$89,5,0)</f>
        <v>1.5252226148732008E-13</v>
      </c>
      <c r="EL135" s="14">
        <f t="shared" si="153"/>
        <v>2.1814502464536512E-12</v>
      </c>
      <c r="EM135" s="22">
        <f t="shared" si="127"/>
        <v>4.0650021179971913E-12</v>
      </c>
      <c r="EN135" s="60">
        <f t="shared" si="128"/>
        <v>284.23438527370325</v>
      </c>
      <c r="EO135" s="60">
        <f ca="1">AVERAGE(OFFSET($EN$3,0,0,'Données projet'!$E$15+1,1))-AVERAGE(OFFSET($H$3,0,0,'Données projet'!$E$15+1,1))</f>
        <v>375.49921531693559</v>
      </c>
      <c r="EP135" s="60">
        <f t="shared" si="154"/>
        <v>306.93934681565599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5.6843418860808015E-14</v>
      </c>
      <c r="FF135" s="18">
        <f>FE135*VLOOKUP('Données projet'!$B$16,Paramètres!$A$1:$I$89,3,0)*VLOOKUP('Données projet'!$B$16,Paramètres!$A$1:$I$89,5,0)</f>
        <v>4.6111381379887463E-14</v>
      </c>
      <c r="FG135" s="14">
        <f t="shared" si="155"/>
        <v>7.5804141040779151E-13</v>
      </c>
      <c r="FH135" s="22">
        <f t="shared" si="130"/>
        <v>1.4005661123635408E-12</v>
      </c>
      <c r="FI135" s="60">
        <f t="shared" si="131"/>
        <v>284.23438527370058</v>
      </c>
      <c r="FJ135" s="60">
        <f ca="1">AVERAGE(OFFSET($FI$3,0,0,'Données projet'!$E$16+1,1))-AVERAGE(OFFSET($H$3,0,0,'Données projet'!$E$16+1,1))</f>
        <v>308.58270639204238</v>
      </c>
      <c r="FK135" s="60">
        <f t="shared" si="156"/>
        <v>258.90832875500325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3</v>
      </c>
      <c r="FZ135" s="13">
        <f>IF('Données projet'!$A$244&gt;35,FZ134+FY135-GH134,IF(A135&lt;'Données projet'!$A$244,$FW$205^A135,IF(A135='Données projet'!$A$244,'Données projet'!$B$244,FZ134+FY135-GH134)))</f>
        <v>288.99999999999949</v>
      </c>
      <c r="GA135" s="18">
        <f>FZ135*VLOOKUP('Données projet'!$B$17,Paramètres!$A$1:$I$89,3,0)*VLOOKUP('Données projet'!$B$17,Paramètres!$A$1:$I$89,5,0)</f>
        <v>279.52079999999955</v>
      </c>
      <c r="GB135" s="14">
        <f t="shared" si="157"/>
        <v>66.865730052421526</v>
      </c>
      <c r="GC135" s="22">
        <f t="shared" si="133"/>
        <v>603.28987317463339</v>
      </c>
      <c r="GD135" s="60">
        <f t="shared" si="134"/>
        <v>887.5242584483326</v>
      </c>
      <c r="GE135" s="60">
        <f ca="1">AVERAGE(OFFSET($GD$3,0,0,'Données projet'!$E$17+1,1))-AVERAGE(OFFSET($H$3,0,0,'Données projet'!$E$17+1,1))</f>
        <v>495.77880062178235</v>
      </c>
      <c r="GF135" s="60">
        <f t="shared" si="158"/>
        <v>263.55891737750301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4.666666666666667</v>
      </c>
      <c r="N136" s="14">
        <f>IF('Données projet'!$A$36&gt;35,N135+M136-V135,IF(A136&lt;'Données projet'!$A$36,$K$205^A136,IF(A136='Données projet'!$A$36,'Données projet'!$B$36,N135+M136-V135)))</f>
        <v>453.33333333333366</v>
      </c>
      <c r="O136" s="14">
        <f>N136*VLOOKUP('Données projet'!$B$9,Paramètres!$A$1:$I$89,3,0)*VLOOKUP('Données projet'!$B$9,Paramètres!$A$1:$I$89,5,0)</f>
        <v>388.96000000000032</v>
      </c>
      <c r="P136" s="14">
        <f t="shared" si="141"/>
        <v>89.534841921530514</v>
      </c>
      <c r="Q136" s="22">
        <f t="shared" si="108"/>
        <v>833.37851634666629</v>
      </c>
      <c r="R136" s="60">
        <f t="shared" si="109"/>
        <v>1117.7707480269996</v>
      </c>
      <c r="S136" s="60">
        <f ca="1">AVERAGE(OFFSET($R$3,0,0,'Données projet'!$E$9+1,1))-AVERAGE(OFFSET($H$3,0,0,'Données projet'!$E$9+1,1))</f>
        <v>598.73855311281966</v>
      </c>
      <c r="T136" s="60">
        <f t="shared" si="142"/>
        <v>275.88160405468193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291.99999999999949</v>
      </c>
      <c r="AJ136" s="14">
        <f>AI136*VLOOKUP('Données projet'!$B$10,Paramètres!$A$1:$I$89,3,0)*VLOOKUP('Données projet'!$B$10,Paramètres!$A$1:$I$89,5,0)</f>
        <v>296.08799999999951</v>
      </c>
      <c r="AK136" s="14">
        <f t="shared" si="143"/>
        <v>70.355732571828923</v>
      </c>
      <c r="AL136" s="22">
        <f t="shared" si="112"/>
        <v>638.22283422926773</v>
      </c>
      <c r="AM136" s="60">
        <f t="shared" si="113"/>
        <v>922.61506590960107</v>
      </c>
      <c r="AN136" s="60">
        <f ca="1">AVERAGE(OFFSET($AM$3,0,0,'Données projet'!$E$10+1,1))-AVERAGE(OFFSET($H$3,0,0,'Données projet'!$E$10+1,1))</f>
        <v>515.72324585399997</v>
      </c>
      <c r="AO136" s="60">
        <f t="shared" si="144"/>
        <v>273.35778700650792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2.7134774427395314E-13</v>
      </c>
      <c r="BF136" s="14">
        <f t="shared" si="145"/>
        <v>3.6292411711343559E-12</v>
      </c>
      <c r="BG136" s="22">
        <f t="shared" si="115"/>
        <v>6.7935256943361388E-12</v>
      </c>
      <c r="BH136" s="60">
        <f t="shared" si="116"/>
        <v>284.39223168034022</v>
      </c>
      <c r="BI136" s="60">
        <f ca="1">AVERAGE(OFFSET($BH$3,0,0,'Données projet'!$E$11+1,1))-AVERAGE(OFFSET($H$3,0,0,'Données projet'!$E$11+1,1))</f>
        <v>336.25341821407534</v>
      </c>
      <c r="BJ136" s="60">
        <f t="shared" si="146"/>
        <v>360.3246221345039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0.29907412227203589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0.29907412227203589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1.0818439477588981E-13</v>
      </c>
      <c r="CA136" s="14">
        <f t="shared" si="147"/>
        <v>1.6104228458716316E-12</v>
      </c>
      <c r="CB136" s="22">
        <f t="shared" si="118"/>
        <v>2.9932409441277661E-12</v>
      </c>
      <c r="CC136" s="60">
        <f t="shared" si="119"/>
        <v>284.39223168033641</v>
      </c>
      <c r="CD136" s="60">
        <f ca="1">AVERAGE(OFFSET($CC$3,0,0,'Données projet'!$E$12+1,1))-AVERAGE(OFFSET($H$3,0,0,'Données projet'!$E$12+1,1))</f>
        <v>438.41611139377829</v>
      </c>
      <c r="CE136" s="60">
        <f t="shared" si="148"/>
        <v>345.17417065809605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-4.5224624045658861E-14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395.27840703467933</v>
      </c>
      <c r="CZ136" s="60">
        <f t="shared" si="150"/>
        <v>364.24192380053944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-2.8421709430404007E-13</v>
      </c>
      <c r="DP136" s="18">
        <f>DO136*VLOOKUP('Données projet'!$B$14,Paramètres!$A$1:$I$89,3,0)*VLOOKUP('Données projet'!$B$14,Paramètres!$A$1:$I$89,5,0)</f>
        <v>-2.2168933355715128E-13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308.76306523144956</v>
      </c>
      <c r="DU136" s="60">
        <f t="shared" si="152"/>
        <v>283.28099819802776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2.2737367544323206E-13</v>
      </c>
      <c r="EK136" s="18">
        <f>EJ136*VLOOKUP('Données projet'!$B$15,Paramètres!$A$1:$I$89,3,0)*VLOOKUP('Données projet'!$B$15,Paramètres!$A$1:$I$89,5,0)</f>
        <v>1.5252226148732008E-13</v>
      </c>
      <c r="EL136" s="14">
        <f t="shared" si="153"/>
        <v>2.1814502464536512E-12</v>
      </c>
      <c r="EM136" s="22">
        <f t="shared" si="127"/>
        <v>4.0650021179971913E-12</v>
      </c>
      <c r="EN136" s="60">
        <f t="shared" si="128"/>
        <v>284.39223168033749</v>
      </c>
      <c r="EO136" s="60">
        <f ca="1">AVERAGE(OFFSET($EN$3,0,0,'Données projet'!$E$15+1,1))-AVERAGE(OFFSET($H$3,0,0,'Données projet'!$E$15+1,1))</f>
        <v>375.49921531693559</v>
      </c>
      <c r="EP136" s="60">
        <f t="shared" si="154"/>
        <v>306.93934681565599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5.6843418860808015E-14</v>
      </c>
      <c r="FF136" s="18">
        <f>FE136*VLOOKUP('Données projet'!$B$16,Paramètres!$A$1:$I$89,3,0)*VLOOKUP('Données projet'!$B$16,Paramètres!$A$1:$I$89,5,0)</f>
        <v>4.6111381379887463E-14</v>
      </c>
      <c r="FG136" s="14">
        <f t="shared" si="155"/>
        <v>7.5804141040779151E-13</v>
      </c>
      <c r="FH136" s="22">
        <f t="shared" si="130"/>
        <v>1.4005661123635408E-12</v>
      </c>
      <c r="FI136" s="60">
        <f t="shared" si="131"/>
        <v>284.39223168033482</v>
      </c>
      <c r="FJ136" s="60">
        <f ca="1">AVERAGE(OFFSET($FI$3,0,0,'Données projet'!$E$16+1,1))-AVERAGE(OFFSET($H$3,0,0,'Données projet'!$E$16+1,1))</f>
        <v>308.58270639204238</v>
      </c>
      <c r="FK136" s="60">
        <f t="shared" si="156"/>
        <v>258.90832875500325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3</v>
      </c>
      <c r="FZ136" s="13">
        <f>IF('Données projet'!$A$244&gt;35,FZ135+FY136-GH135,IF(A136&lt;'Données projet'!$A$244,$FW$205^A136,IF(A136='Données projet'!$A$244,'Données projet'!$B$244,FZ135+FY136-GH135)))</f>
        <v>291.99999999999949</v>
      </c>
      <c r="GA136" s="18">
        <f>FZ136*VLOOKUP('Données projet'!$B$17,Paramètres!$A$1:$I$89,3,0)*VLOOKUP('Données projet'!$B$17,Paramètres!$A$1:$I$89,5,0)</f>
        <v>282.42239999999953</v>
      </c>
      <c r="GB136" s="14">
        <f t="shared" si="157"/>
        <v>67.478674703106122</v>
      </c>
      <c r="GC136" s="22">
        <f t="shared" si="133"/>
        <v>609.41103844124234</v>
      </c>
      <c r="GD136" s="60">
        <f t="shared" si="134"/>
        <v>893.80327012157568</v>
      </c>
      <c r="GE136" s="60">
        <f ca="1">AVERAGE(OFFSET($GD$3,0,0,'Données projet'!$E$17+1,1))-AVERAGE(OFFSET($H$3,0,0,'Données projet'!$E$17+1,1))</f>
        <v>495.77880062178235</v>
      </c>
      <c r="GF136" s="60">
        <f t="shared" si="158"/>
        <v>263.55891737750301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4.666666666666667</v>
      </c>
      <c r="N137" s="14">
        <f>IF('Données projet'!$A$36&gt;35,N136+M137-V136,IF(A137&lt;'Données projet'!$A$36,$K$205^A137,IF(A137='Données projet'!$A$36,'Données projet'!$B$36,N136+M137-V136)))</f>
        <v>458.00000000000034</v>
      </c>
      <c r="O137" s="14">
        <f>N137*VLOOKUP('Données projet'!$B$9,Paramètres!$A$1:$I$89,3,0)*VLOOKUP('Données projet'!$B$9,Paramètres!$A$1:$I$89,5,0)</f>
        <v>392.96400000000034</v>
      </c>
      <c r="P137" s="14">
        <f t="shared" si="141"/>
        <v>90.348754248694107</v>
      </c>
      <c r="Q137" s="22">
        <f t="shared" si="108"/>
        <v>841.76971364980955</v>
      </c>
      <c r="R137" s="60">
        <f t="shared" si="109"/>
        <v>1126.3170534545138</v>
      </c>
      <c r="S137" s="60">
        <f ca="1">AVERAGE(OFFSET($R$3,0,0,'Données projet'!$E$9+1,1))-AVERAGE(OFFSET($H$3,0,0,'Données projet'!$E$9+1,1))</f>
        <v>598.73855311281966</v>
      </c>
      <c r="T137" s="60">
        <f t="shared" si="142"/>
        <v>275.88160405468193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294.99999999999949</v>
      </c>
      <c r="AJ137" s="14">
        <f>AI137*VLOOKUP('Données projet'!$B$10,Paramètres!$A$1:$I$89,3,0)*VLOOKUP('Données projet'!$B$10,Paramètres!$A$1:$I$89,5,0)</f>
        <v>299.12999999999954</v>
      </c>
      <c r="AK137" s="14">
        <f t="shared" si="143"/>
        <v>70.994047242337146</v>
      </c>
      <c r="AL137" s="22">
        <f t="shared" si="112"/>
        <v>644.63271561373642</v>
      </c>
      <c r="AM137" s="60">
        <f t="shared" si="113"/>
        <v>929.1800554184407</v>
      </c>
      <c r="AN137" s="60">
        <f ca="1">AVERAGE(OFFSET($AM$3,0,0,'Données projet'!$E$10+1,1))-AVERAGE(OFFSET($H$3,0,0,'Données projet'!$E$10+1,1))</f>
        <v>515.72324585399997</v>
      </c>
      <c r="AO137" s="60">
        <f t="shared" si="144"/>
        <v>273.35778700650792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2.7134774427395314E-13</v>
      </c>
      <c r="BF137" s="14">
        <f t="shared" si="145"/>
        <v>3.6292411711343559E-12</v>
      </c>
      <c r="BG137" s="22">
        <f t="shared" si="115"/>
        <v>6.7935256943361388E-12</v>
      </c>
      <c r="BH137" s="60">
        <f t="shared" si="116"/>
        <v>284.5473398047111</v>
      </c>
      <c r="BI137" s="60">
        <f ca="1">AVERAGE(OFFSET($BH$3,0,0,'Données projet'!$E$11+1,1))-AVERAGE(OFFSET($H$3,0,0,'Données projet'!$E$11+1,1))</f>
        <v>336.25341821407534</v>
      </c>
      <c r="BJ137" s="60">
        <f t="shared" si="146"/>
        <v>360.3246221345039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0.29089592467088254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0.29089592467088254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1.0818439477588981E-13</v>
      </c>
      <c r="CA137" s="14">
        <f t="shared" si="147"/>
        <v>1.6104228458716316E-12</v>
      </c>
      <c r="CB137" s="22">
        <f t="shared" si="118"/>
        <v>2.9932409441277661E-12</v>
      </c>
      <c r="CC137" s="60">
        <f t="shared" si="119"/>
        <v>284.54733980470729</v>
      </c>
      <c r="CD137" s="60">
        <f ca="1">AVERAGE(OFFSET($CC$3,0,0,'Données projet'!$E$12+1,1))-AVERAGE(OFFSET($H$3,0,0,'Données projet'!$E$12+1,1))</f>
        <v>438.41611139377829</v>
      </c>
      <c r="CE137" s="60">
        <f t="shared" si="148"/>
        <v>345.17417065809605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-4.5224624045658861E-14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395.27840703467933</v>
      </c>
      <c r="CZ137" s="60">
        <f t="shared" si="150"/>
        <v>364.24192380053944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-2.8421709430404007E-13</v>
      </c>
      <c r="DP137" s="18">
        <f>DO137*VLOOKUP('Données projet'!$B$14,Paramètres!$A$1:$I$89,3,0)*VLOOKUP('Données projet'!$B$14,Paramètres!$A$1:$I$89,5,0)</f>
        <v>-2.2168933355715128E-13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308.76306523144956</v>
      </c>
      <c r="DU137" s="60">
        <f t="shared" si="152"/>
        <v>283.28099819802776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2.2737367544323206E-13</v>
      </c>
      <c r="EK137" s="18">
        <f>EJ137*VLOOKUP('Données projet'!$B$15,Paramètres!$A$1:$I$89,3,0)*VLOOKUP('Données projet'!$B$15,Paramètres!$A$1:$I$89,5,0)</f>
        <v>1.5252226148732008E-13</v>
      </c>
      <c r="EL137" s="14">
        <f t="shared" si="153"/>
        <v>2.1814502464536512E-12</v>
      </c>
      <c r="EM137" s="22">
        <f t="shared" si="127"/>
        <v>4.0650021179971913E-12</v>
      </c>
      <c r="EN137" s="60">
        <f t="shared" si="128"/>
        <v>284.54733980470837</v>
      </c>
      <c r="EO137" s="60">
        <f ca="1">AVERAGE(OFFSET($EN$3,0,0,'Données projet'!$E$15+1,1))-AVERAGE(OFFSET($H$3,0,0,'Données projet'!$E$15+1,1))</f>
        <v>375.49921531693559</v>
      </c>
      <c r="EP137" s="60">
        <f t="shared" si="154"/>
        <v>306.93934681565599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5.6843418860808015E-14</v>
      </c>
      <c r="FF137" s="18">
        <f>FE137*VLOOKUP('Données projet'!$B$16,Paramètres!$A$1:$I$89,3,0)*VLOOKUP('Données projet'!$B$16,Paramètres!$A$1:$I$89,5,0)</f>
        <v>4.6111381379887463E-14</v>
      </c>
      <c r="FG137" s="14">
        <f t="shared" si="155"/>
        <v>7.5804141040779151E-13</v>
      </c>
      <c r="FH137" s="22">
        <f t="shared" si="130"/>
        <v>1.4005661123635408E-12</v>
      </c>
      <c r="FI137" s="60">
        <f t="shared" si="131"/>
        <v>284.5473398047057</v>
      </c>
      <c r="FJ137" s="60">
        <f ca="1">AVERAGE(OFFSET($FI$3,0,0,'Données projet'!$E$16+1,1))-AVERAGE(OFFSET($H$3,0,0,'Données projet'!$E$16+1,1))</f>
        <v>308.58270639204238</v>
      </c>
      <c r="FK137" s="60">
        <f t="shared" si="156"/>
        <v>258.90832875500325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3</v>
      </c>
      <c r="FZ137" s="13">
        <f>IF('Données projet'!$A$244&gt;35,FZ136+FY137-GH136,IF(A137&lt;'Données projet'!$A$244,$FW$205^A137,IF(A137='Données projet'!$A$244,'Données projet'!$B$244,FZ136+FY137-GH136)))</f>
        <v>294.99999999999949</v>
      </c>
      <c r="GA137" s="18">
        <f>FZ137*VLOOKUP('Données projet'!$B$17,Paramètres!$A$1:$I$89,3,0)*VLOOKUP('Données projet'!$B$17,Paramètres!$A$1:$I$89,5,0)</f>
        <v>285.32399999999956</v>
      </c>
      <c r="GB137" s="14">
        <f t="shared" si="157"/>
        <v>68.090886763658133</v>
      </c>
      <c r="GC137" s="22">
        <f t="shared" si="133"/>
        <v>615.53092778003713</v>
      </c>
      <c r="GD137" s="60">
        <f t="shared" si="134"/>
        <v>900.07826758474141</v>
      </c>
      <c r="GE137" s="60">
        <f ca="1">AVERAGE(OFFSET($GD$3,0,0,'Données projet'!$E$17+1,1))-AVERAGE(OFFSET($H$3,0,0,'Données projet'!$E$17+1,1))</f>
        <v>495.77880062178235</v>
      </c>
      <c r="GF137" s="60">
        <f t="shared" si="158"/>
        <v>263.55891737750301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4.666666666666667</v>
      </c>
      <c r="N138" s="14">
        <f>IF('Données projet'!$A$36&gt;35,N137+M138-V137,IF(A138&lt;'Données projet'!$A$36,$K$205^A138,IF(A138='Données projet'!$A$36,'Données projet'!$B$36,N137+M138-V137)))</f>
        <v>462.66666666666703</v>
      </c>
      <c r="O138" s="14">
        <f>N138*VLOOKUP('Données projet'!$B$9,Paramètres!$A$1:$I$89,3,0)*VLOOKUP('Données projet'!$B$9,Paramètres!$A$1:$I$89,5,0)</f>
        <v>396.96800000000036</v>
      </c>
      <c r="P138" s="14">
        <f t="shared" si="141"/>
        <v>91.161701809079148</v>
      </c>
      <c r="Q138" s="22">
        <f t="shared" si="108"/>
        <v>850.15923065081336</v>
      </c>
      <c r="R138" s="60">
        <f t="shared" si="109"/>
        <v>1134.8589878007006</v>
      </c>
      <c r="S138" s="60">
        <f ca="1">AVERAGE(OFFSET($R$3,0,0,'Données projet'!$E$9+1,1))-AVERAGE(OFFSET($H$3,0,0,'Données projet'!$E$9+1,1))</f>
        <v>598.73855311281966</v>
      </c>
      <c r="T138" s="60">
        <f t="shared" si="142"/>
        <v>275.88160405468193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297.99999999999949</v>
      </c>
      <c r="AJ138" s="14">
        <f>AI138*VLOOKUP('Données projet'!$B$10,Paramètres!$A$1:$I$89,3,0)*VLOOKUP('Données projet'!$B$10,Paramètres!$A$1:$I$89,5,0)</f>
        <v>302.17199999999951</v>
      </c>
      <c r="AK138" s="14">
        <f t="shared" si="143"/>
        <v>71.631606754643101</v>
      </c>
      <c r="AL138" s="22">
        <f t="shared" si="112"/>
        <v>651.04128176433585</v>
      </c>
      <c r="AM138" s="60">
        <f t="shared" si="113"/>
        <v>935.74103891422305</v>
      </c>
      <c r="AN138" s="60">
        <f ca="1">AVERAGE(OFFSET($AM$3,0,0,'Données projet'!$E$10+1,1))-AVERAGE(OFFSET($H$3,0,0,'Données projet'!$E$10+1,1))</f>
        <v>515.72324585399997</v>
      </c>
      <c r="AO138" s="60">
        <f t="shared" si="144"/>
        <v>273.35778700650792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2.7134774427395314E-13</v>
      </c>
      <c r="BF138" s="14">
        <f t="shared" si="145"/>
        <v>3.6292411711343559E-12</v>
      </c>
      <c r="BG138" s="22">
        <f t="shared" si="115"/>
        <v>6.7935256943361388E-12</v>
      </c>
      <c r="BH138" s="60">
        <f t="shared" si="116"/>
        <v>284.69975714989397</v>
      </c>
      <c r="BI138" s="60">
        <f ca="1">AVERAGE(OFFSET($BH$3,0,0,'Données projet'!$E$11+1,1))-AVERAGE(OFFSET($H$3,0,0,'Données projet'!$E$11+1,1))</f>
        <v>336.25341821407534</v>
      </c>
      <c r="BJ138" s="60">
        <f t="shared" si="146"/>
        <v>360.3246221345039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0.28294136031320544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0.28294136031320544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1.0818439477588981E-13</v>
      </c>
      <c r="CA138" s="14">
        <f t="shared" si="147"/>
        <v>1.6104228458716316E-12</v>
      </c>
      <c r="CB138" s="22">
        <f t="shared" si="118"/>
        <v>2.9932409441277661E-12</v>
      </c>
      <c r="CC138" s="60">
        <f t="shared" si="119"/>
        <v>284.69975714989016</v>
      </c>
      <c r="CD138" s="60">
        <f ca="1">AVERAGE(OFFSET($CC$3,0,0,'Données projet'!$E$12+1,1))-AVERAGE(OFFSET($H$3,0,0,'Données projet'!$E$12+1,1))</f>
        <v>438.41611139377829</v>
      </c>
      <c r="CE138" s="60">
        <f t="shared" si="148"/>
        <v>345.17417065809605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-4.5224624045658861E-14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395.27840703467933</v>
      </c>
      <c r="CZ138" s="60">
        <f t="shared" si="150"/>
        <v>364.24192380053944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-2.8421709430404007E-13</v>
      </c>
      <c r="DP138" s="18">
        <f>DO138*VLOOKUP('Données projet'!$B$14,Paramètres!$A$1:$I$89,3,0)*VLOOKUP('Données projet'!$B$14,Paramètres!$A$1:$I$89,5,0)</f>
        <v>-2.2168933355715128E-13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308.76306523144956</v>
      </c>
      <c r="DU138" s="60">
        <f t="shared" si="152"/>
        <v>283.28099819802776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2.2737367544323206E-13</v>
      </c>
      <c r="EK138" s="18">
        <f>EJ138*VLOOKUP('Données projet'!$B$15,Paramètres!$A$1:$I$89,3,0)*VLOOKUP('Données projet'!$B$15,Paramètres!$A$1:$I$89,5,0)</f>
        <v>1.5252226148732008E-13</v>
      </c>
      <c r="EL138" s="14">
        <f t="shared" si="153"/>
        <v>2.1814502464536512E-12</v>
      </c>
      <c r="EM138" s="22">
        <f t="shared" si="127"/>
        <v>4.0650021179971913E-12</v>
      </c>
      <c r="EN138" s="60">
        <f t="shared" si="128"/>
        <v>284.69975714989124</v>
      </c>
      <c r="EO138" s="60">
        <f ca="1">AVERAGE(OFFSET($EN$3,0,0,'Données projet'!$E$15+1,1))-AVERAGE(OFFSET($H$3,0,0,'Données projet'!$E$15+1,1))</f>
        <v>375.49921531693559</v>
      </c>
      <c r="EP138" s="60">
        <f t="shared" si="154"/>
        <v>306.93934681565599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5.6843418860808015E-14</v>
      </c>
      <c r="FF138" s="18">
        <f>FE138*VLOOKUP('Données projet'!$B$16,Paramètres!$A$1:$I$89,3,0)*VLOOKUP('Données projet'!$B$16,Paramètres!$A$1:$I$89,5,0)</f>
        <v>4.6111381379887463E-14</v>
      </c>
      <c r="FG138" s="14">
        <f t="shared" si="155"/>
        <v>7.5804141040779151E-13</v>
      </c>
      <c r="FH138" s="22">
        <f t="shared" si="130"/>
        <v>1.4005661123635408E-12</v>
      </c>
      <c r="FI138" s="60">
        <f t="shared" si="131"/>
        <v>284.69975714988857</v>
      </c>
      <c r="FJ138" s="60">
        <f ca="1">AVERAGE(OFFSET($FI$3,0,0,'Données projet'!$E$16+1,1))-AVERAGE(OFFSET($H$3,0,0,'Données projet'!$E$16+1,1))</f>
        <v>308.58270639204238</v>
      </c>
      <c r="FK138" s="60">
        <f t="shared" si="156"/>
        <v>258.90832875500325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>
        <f>VLOOKUP(A138,'Données projet'!$A$243:$I$263,2,0)</f>
        <v>298</v>
      </c>
      <c r="FX138" s="13">
        <f>VLOOKUP(A138,'Données projet'!$A$243:$I$263,9,0)</f>
        <v>3</v>
      </c>
      <c r="FY138" s="13">
        <f t="array" ref="FY138">INDEX(FX:FX,MIN(IF(ISNUMBER(FX138:FX334),ROW(FX138:FX334),"")))</f>
        <v>3</v>
      </c>
      <c r="FZ138" s="13">
        <f>IF('Données projet'!$A$244&gt;35,FZ137+FY138-GH137,IF(A138&lt;'Données projet'!$A$244,$FW$205^A138,IF(A138='Données projet'!$A$244,'Données projet'!$B$244,FZ137+FY138-GH137)))</f>
        <v>297.99999999999949</v>
      </c>
      <c r="GA138" s="18">
        <f>FZ138*VLOOKUP('Données projet'!$B$17,Paramètres!$A$1:$I$89,3,0)*VLOOKUP('Données projet'!$B$17,Paramètres!$A$1:$I$89,5,0)</f>
        <v>288.22559999999953</v>
      </c>
      <c r="GB138" s="14">
        <f t="shared" si="157"/>
        <v>68.702374546701776</v>
      </c>
      <c r="GC138" s="22">
        <f t="shared" si="133"/>
        <v>621.64955566883805</v>
      </c>
      <c r="GD138" s="60">
        <f t="shared" si="134"/>
        <v>906.34931281872514</v>
      </c>
      <c r="GE138" s="60">
        <f ca="1">AVERAGE(OFFSET($GD$3,0,0,'Données projet'!$E$17+1,1))-AVERAGE(OFFSET($H$3,0,0,'Données projet'!$E$17+1,1))</f>
        <v>495.77880062178235</v>
      </c>
      <c r="GF138" s="60">
        <f t="shared" si="158"/>
        <v>263.55891737750301</v>
      </c>
      <c r="GG138" s="16">
        <f>IF(ISNA(VLOOKUP(A138,'Données projet'!$A$243:$I$263,3,0)),0,VLOOKUP(A138,'Données projet'!$A$243:$I$263,3,0))</f>
        <v>12</v>
      </c>
      <c r="GH138" s="16">
        <f>IF(ISNA(VLOOKUP(A138,'Données projet'!$A$243:$I$263,4,0)),0,VLOOKUP(A138,'Données projet'!$A$243:$I$263,4,0))</f>
        <v>29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4.666666666666667</v>
      </c>
      <c r="N139" s="14">
        <f>IF('Données projet'!$A$36&gt;35,N138+M139-V138,IF(A139&lt;'Données projet'!$A$36,$K$205^A139,IF(A139='Données projet'!$A$36,'Données projet'!$B$36,N138+M139-V138)))</f>
        <v>467.33333333333371</v>
      </c>
      <c r="O139" s="14">
        <f>N139*VLOOKUP('Données projet'!$B$9,Paramètres!$A$1:$I$89,3,0)*VLOOKUP('Données projet'!$B$9,Paramètres!$A$1:$I$89,5,0)</f>
        <v>400.97200000000043</v>
      </c>
      <c r="P139" s="14">
        <f t="shared" si="141"/>
        <v>91.97369546045492</v>
      </c>
      <c r="Q139" s="22">
        <f t="shared" si="108"/>
        <v>858.54708626029299</v>
      </c>
      <c r="R139" s="60">
        <f t="shared" si="109"/>
        <v>1143.3966166551781</v>
      </c>
      <c r="S139" s="60">
        <f ca="1">AVERAGE(OFFSET($R$3,0,0,'Données projet'!$E$9+1,1))-AVERAGE(OFFSET($H$3,0,0,'Données projet'!$E$9+1,1))</f>
        <v>598.73855311281966</v>
      </c>
      <c r="T139" s="60">
        <f t="shared" si="142"/>
        <v>275.88160405468193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1.3</v>
      </c>
      <c r="AI139" s="14">
        <f>IF('Données projet'!$A$62&gt;35,AI138+AH139-AQ138,IF(A139&lt;'Données projet'!$A$62,$AF$205^A139,IF(A139='Données projet'!$A$62,'Données projet'!$B$62,AI138+AH139-AQ138)))</f>
        <v>270.2999999999995</v>
      </c>
      <c r="AJ139" s="14">
        <f>AI139*VLOOKUP('Données projet'!$B$10,Paramètres!$A$1:$I$89,3,0)*VLOOKUP('Données projet'!$B$10,Paramètres!$A$1:$I$89,5,0)</f>
        <v>274.0841999999995</v>
      </c>
      <c r="AK139" s="14">
        <f t="shared" si="143"/>
        <v>65.715280787236424</v>
      </c>
      <c r="AL139" s="22">
        <f t="shared" si="112"/>
        <v>591.8174290377691</v>
      </c>
      <c r="AM139" s="60">
        <f t="shared" si="113"/>
        <v>876.66695943265427</v>
      </c>
      <c r="AN139" s="60">
        <f ca="1">AVERAGE(OFFSET($AM$3,0,0,'Données projet'!$E$10+1,1))-AVERAGE(OFFSET($H$3,0,0,'Données projet'!$E$10+1,1))</f>
        <v>515.72324585399997</v>
      </c>
      <c r="AO139" s="60">
        <f t="shared" si="144"/>
        <v>273.35778700650792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2.7134774427395314E-13</v>
      </c>
      <c r="BF139" s="14">
        <f t="shared" si="145"/>
        <v>3.6292411711343559E-12</v>
      </c>
      <c r="BG139" s="22">
        <f t="shared" si="115"/>
        <v>6.7935256943361388E-12</v>
      </c>
      <c r="BH139" s="60">
        <f t="shared" si="116"/>
        <v>284.84953039489204</v>
      </c>
      <c r="BI139" s="60">
        <f ca="1">AVERAGE(OFFSET($BH$3,0,0,'Données projet'!$E$11+1,1))-AVERAGE(OFFSET($H$3,0,0,'Données projet'!$E$11+1,1))</f>
        <v>336.25341821407534</v>
      </c>
      <c r="BJ139" s="60">
        <f t="shared" si="146"/>
        <v>360.3246221345039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0.27520431393620137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0.27520431393620137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1.0818439477588981E-13</v>
      </c>
      <c r="CA139" s="14">
        <f t="shared" si="147"/>
        <v>1.6104228458716316E-12</v>
      </c>
      <c r="CB139" s="22">
        <f t="shared" si="118"/>
        <v>2.9932409441277661E-12</v>
      </c>
      <c r="CC139" s="60">
        <f t="shared" si="119"/>
        <v>284.84953039488823</v>
      </c>
      <c r="CD139" s="60">
        <f ca="1">AVERAGE(OFFSET($CC$3,0,0,'Données projet'!$E$12+1,1))-AVERAGE(OFFSET($H$3,0,0,'Données projet'!$E$12+1,1))</f>
        <v>438.41611139377829</v>
      </c>
      <c r="CE139" s="60">
        <f t="shared" si="148"/>
        <v>345.17417065809605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-4.5224624045658861E-14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395.27840703467933</v>
      </c>
      <c r="CZ139" s="60">
        <f t="shared" si="150"/>
        <v>364.24192380053944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-2.8421709430404007E-13</v>
      </c>
      <c r="DP139" s="18">
        <f>DO139*VLOOKUP('Données projet'!$B$14,Paramètres!$A$1:$I$89,3,0)*VLOOKUP('Données projet'!$B$14,Paramètres!$A$1:$I$89,5,0)</f>
        <v>-2.2168933355715128E-13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308.76306523144956</v>
      </c>
      <c r="DU139" s="60">
        <f t="shared" si="152"/>
        <v>283.28099819802776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2.2737367544323206E-13</v>
      </c>
      <c r="EK139" s="18">
        <f>EJ139*VLOOKUP('Données projet'!$B$15,Paramètres!$A$1:$I$89,3,0)*VLOOKUP('Données projet'!$B$15,Paramètres!$A$1:$I$89,5,0)</f>
        <v>1.5252226148732008E-13</v>
      </c>
      <c r="EL139" s="14">
        <f t="shared" si="153"/>
        <v>2.1814502464536512E-12</v>
      </c>
      <c r="EM139" s="22">
        <f t="shared" si="127"/>
        <v>4.0650021179971913E-12</v>
      </c>
      <c r="EN139" s="60">
        <f t="shared" si="128"/>
        <v>284.84953039488931</v>
      </c>
      <c r="EO139" s="60">
        <f ca="1">AVERAGE(OFFSET($EN$3,0,0,'Données projet'!$E$15+1,1))-AVERAGE(OFFSET($H$3,0,0,'Données projet'!$E$15+1,1))</f>
        <v>375.49921531693559</v>
      </c>
      <c r="EP139" s="60">
        <f t="shared" si="154"/>
        <v>306.93934681565599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5.6843418860808015E-14</v>
      </c>
      <c r="FF139" s="18">
        <f>FE139*VLOOKUP('Données projet'!$B$16,Paramètres!$A$1:$I$89,3,0)*VLOOKUP('Données projet'!$B$16,Paramètres!$A$1:$I$89,5,0)</f>
        <v>4.6111381379887463E-14</v>
      </c>
      <c r="FG139" s="14">
        <f t="shared" si="155"/>
        <v>7.5804141040779151E-13</v>
      </c>
      <c r="FH139" s="22">
        <f t="shared" si="130"/>
        <v>1.4005661123635408E-12</v>
      </c>
      <c r="FI139" s="60">
        <f t="shared" si="131"/>
        <v>284.84953039488664</v>
      </c>
      <c r="FJ139" s="60">
        <f ca="1">AVERAGE(OFFSET($FI$3,0,0,'Données projet'!$E$16+1,1))-AVERAGE(OFFSET($H$3,0,0,'Données projet'!$E$16+1,1))</f>
        <v>308.58270639204238</v>
      </c>
      <c r="FK139" s="60">
        <f t="shared" si="156"/>
        <v>258.90832875500325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1.3</v>
      </c>
      <c r="FZ139" s="13">
        <f>IF('Données projet'!$A$244&gt;35,FZ138+FY139-GH138,IF(A139&lt;'Données projet'!$A$244,$FW$205^A139,IF(A139='Données projet'!$A$244,'Données projet'!$B$244,FZ138+FY139-GH138)))</f>
        <v>270.2999999999995</v>
      </c>
      <c r="GA139" s="18">
        <f>FZ139*VLOOKUP('Données projet'!$B$17,Paramètres!$A$1:$I$89,3,0)*VLOOKUP('Données projet'!$B$17,Paramètres!$A$1:$I$89,5,0)</f>
        <v>261.43415999999957</v>
      </c>
      <c r="GB139" s="14">
        <f t="shared" si="157"/>
        <v>63.027984972482095</v>
      </c>
      <c r="GC139" s="22">
        <f t="shared" si="133"/>
        <v>565.1049024937389</v>
      </c>
      <c r="GD139" s="60">
        <f t="shared" si="134"/>
        <v>849.95443288862407</v>
      </c>
      <c r="GE139" s="60">
        <f ca="1">AVERAGE(OFFSET($GD$3,0,0,'Données projet'!$E$17+1,1))-AVERAGE(OFFSET($H$3,0,0,'Données projet'!$E$17+1,1))</f>
        <v>495.77880062178235</v>
      </c>
      <c r="GF139" s="60">
        <f t="shared" si="158"/>
        <v>263.55891737750301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4.666666666666667</v>
      </c>
      <c r="N140" s="14">
        <f>IF('Données projet'!$A$36&gt;35,N139+M140-V139,IF(A140&lt;'Données projet'!$A$36,$K$205^A140,IF(A140='Données projet'!$A$36,'Données projet'!$B$36,N139+M140-V139)))</f>
        <v>472.0000000000004</v>
      </c>
      <c r="O140" s="14">
        <f>N140*VLOOKUP('Données projet'!$B$9,Paramètres!$A$1:$I$89,3,0)*VLOOKUP('Données projet'!$B$9,Paramètres!$A$1:$I$89,5,0)</f>
        <v>404.9760000000004</v>
      </c>
      <c r="P140" s="14">
        <f t="shared" si="141"/>
        <v>92.78474583124688</v>
      </c>
      <c r="Q140" s="22">
        <f t="shared" si="108"/>
        <v>866.93329898942227</v>
      </c>
      <c r="R140" s="60">
        <f t="shared" si="109"/>
        <v>1151.9300043983476</v>
      </c>
      <c r="S140" s="60">
        <f ca="1">AVERAGE(OFFSET($R$3,0,0,'Données projet'!$E$9+1,1))-AVERAGE(OFFSET($H$3,0,0,'Données projet'!$E$9+1,1))</f>
        <v>598.73855311281966</v>
      </c>
      <c r="T140" s="60">
        <f t="shared" si="142"/>
        <v>275.88160405468193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1.3</v>
      </c>
      <c r="AI140" s="14">
        <f>IF('Données projet'!$A$62&gt;35,AI139+AH140-AQ139,IF(A140&lt;'Données projet'!$A$62,$AF$205^A140,IF(A140='Données projet'!$A$62,'Données projet'!$B$62,AI139+AH140-AQ139)))</f>
        <v>271.59999999999951</v>
      </c>
      <c r="AJ140" s="14">
        <f>AI140*VLOOKUP('Données projet'!$B$10,Paramètres!$A$1:$I$89,3,0)*VLOOKUP('Données projet'!$B$10,Paramètres!$A$1:$I$89,5,0)</f>
        <v>275.40239999999949</v>
      </c>
      <c r="AK140" s="14">
        <f t="shared" si="143"/>
        <v>65.994469603831391</v>
      </c>
      <c r="AL140" s="22">
        <f t="shared" si="112"/>
        <v>594.59954789333881</v>
      </c>
      <c r="AM140" s="60">
        <f t="shared" si="113"/>
        <v>879.59625330226413</v>
      </c>
      <c r="AN140" s="60">
        <f ca="1">AVERAGE(OFFSET($AM$3,0,0,'Données projet'!$E$10+1,1))-AVERAGE(OFFSET($H$3,0,0,'Données projet'!$E$10+1,1))</f>
        <v>515.72324585399997</v>
      </c>
      <c r="AO140" s="60">
        <f t="shared" si="144"/>
        <v>273.35778700650792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2.7134774427395314E-13</v>
      </c>
      <c r="BF140" s="14">
        <f t="shared" si="145"/>
        <v>3.6292411711343559E-12</v>
      </c>
      <c r="BG140" s="22">
        <f t="shared" si="115"/>
        <v>6.7935256943361388E-12</v>
      </c>
      <c r="BH140" s="60">
        <f t="shared" si="116"/>
        <v>284.9967054089322</v>
      </c>
      <c r="BI140" s="60">
        <f ca="1">AVERAGE(OFFSET($BH$3,0,0,'Données projet'!$E$11+1,1))-AVERAGE(OFFSET($H$3,0,0,'Données projet'!$E$11+1,1))</f>
        <v>336.25341821407534</v>
      </c>
      <c r="BJ140" s="60">
        <f t="shared" si="146"/>
        <v>360.3246221345039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0.26767883749925009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0.26767883749925009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1.0818439477588981E-13</v>
      </c>
      <c r="CA140" s="14">
        <f t="shared" si="147"/>
        <v>1.6104228458716316E-12</v>
      </c>
      <c r="CB140" s="22">
        <f t="shared" si="118"/>
        <v>2.9932409441277661E-12</v>
      </c>
      <c r="CC140" s="60">
        <f t="shared" si="119"/>
        <v>284.99670540892839</v>
      </c>
      <c r="CD140" s="60">
        <f ca="1">AVERAGE(OFFSET($CC$3,0,0,'Données projet'!$E$12+1,1))-AVERAGE(OFFSET($H$3,0,0,'Données projet'!$E$12+1,1))</f>
        <v>438.41611139377829</v>
      </c>
      <c r="CE140" s="60">
        <f t="shared" si="148"/>
        <v>345.17417065809605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-4.5224624045658861E-14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395.27840703467933</v>
      </c>
      <c r="CZ140" s="60">
        <f t="shared" si="150"/>
        <v>364.24192380053944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-2.8421709430404007E-13</v>
      </c>
      <c r="DP140" s="18">
        <f>DO140*VLOOKUP('Données projet'!$B$14,Paramètres!$A$1:$I$89,3,0)*VLOOKUP('Données projet'!$B$14,Paramètres!$A$1:$I$89,5,0)</f>
        <v>-2.2168933355715128E-13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308.76306523144956</v>
      </c>
      <c r="DU140" s="60">
        <f t="shared" si="152"/>
        <v>283.28099819802776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2.2737367544323206E-13</v>
      </c>
      <c r="EK140" s="18">
        <f>EJ140*VLOOKUP('Données projet'!$B$15,Paramètres!$A$1:$I$89,3,0)*VLOOKUP('Données projet'!$B$15,Paramètres!$A$1:$I$89,5,0)</f>
        <v>1.5252226148732008E-13</v>
      </c>
      <c r="EL140" s="14">
        <f t="shared" si="153"/>
        <v>2.1814502464536512E-12</v>
      </c>
      <c r="EM140" s="22">
        <f t="shared" si="127"/>
        <v>4.0650021179971913E-12</v>
      </c>
      <c r="EN140" s="60">
        <f t="shared" si="128"/>
        <v>284.99670540892947</v>
      </c>
      <c r="EO140" s="60">
        <f ca="1">AVERAGE(OFFSET($EN$3,0,0,'Données projet'!$E$15+1,1))-AVERAGE(OFFSET($H$3,0,0,'Données projet'!$E$15+1,1))</f>
        <v>375.49921531693559</v>
      </c>
      <c r="EP140" s="60">
        <f t="shared" si="154"/>
        <v>306.93934681565599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5.6843418860808015E-14</v>
      </c>
      <c r="FF140" s="18">
        <f>FE140*VLOOKUP('Données projet'!$B$16,Paramètres!$A$1:$I$89,3,0)*VLOOKUP('Données projet'!$B$16,Paramètres!$A$1:$I$89,5,0)</f>
        <v>4.6111381379887463E-14</v>
      </c>
      <c r="FG140" s="14">
        <f t="shared" si="155"/>
        <v>7.5804141040779151E-13</v>
      </c>
      <c r="FH140" s="22">
        <f t="shared" si="130"/>
        <v>1.4005661123635408E-12</v>
      </c>
      <c r="FI140" s="60">
        <f t="shared" si="131"/>
        <v>284.9967054089268</v>
      </c>
      <c r="FJ140" s="60">
        <f ca="1">AVERAGE(OFFSET($FI$3,0,0,'Données projet'!$E$16+1,1))-AVERAGE(OFFSET($H$3,0,0,'Données projet'!$E$16+1,1))</f>
        <v>308.58270639204238</v>
      </c>
      <c r="FK140" s="60">
        <f t="shared" si="156"/>
        <v>258.90832875500325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1.3</v>
      </c>
      <c r="FZ140" s="13">
        <f>IF('Données projet'!$A$244&gt;35,FZ139+FY140-GH139,IF(A140&lt;'Données projet'!$A$244,$FW$205^A140,IF(A140='Données projet'!$A$244,'Données projet'!$B$244,FZ139+FY140-GH139)))</f>
        <v>271.59999999999951</v>
      </c>
      <c r="GA140" s="18">
        <f>FZ140*VLOOKUP('Données projet'!$B$17,Paramètres!$A$1:$I$89,3,0)*VLOOKUP('Données projet'!$B$17,Paramètres!$A$1:$I$89,5,0)</f>
        <v>262.69151999999951</v>
      </c>
      <c r="GB140" s="14">
        <f t="shared" si="157"/>
        <v>63.29575691724186</v>
      </c>
      <c r="GC140" s="22">
        <f t="shared" si="133"/>
        <v>567.76117396419534</v>
      </c>
      <c r="GD140" s="60">
        <f t="shared" si="134"/>
        <v>852.75787937312066</v>
      </c>
      <c r="GE140" s="60">
        <f ca="1">AVERAGE(OFFSET($GD$3,0,0,'Données projet'!$E$17+1,1))-AVERAGE(OFFSET($H$3,0,0,'Données projet'!$E$17+1,1))</f>
        <v>495.77880062178235</v>
      </c>
      <c r="GF140" s="60">
        <f t="shared" si="158"/>
        <v>263.55891737750301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4.666666666666667</v>
      </c>
      <c r="N141" s="14">
        <f>IF('Données projet'!$A$36&gt;35,N140+M141-V140,IF(A141&lt;'Données projet'!$A$36,$K$205^A141,IF(A141='Données projet'!$A$36,'Données projet'!$B$36,N140+M141-V140)))</f>
        <v>476.66666666666708</v>
      </c>
      <c r="O141" s="14">
        <f>N141*VLOOKUP('Données projet'!$B$9,Paramètres!$A$1:$I$89,3,0)*VLOOKUP('Données projet'!$B$9,Paramètres!$A$1:$I$89,5,0)</f>
        <v>408.98000000000042</v>
      </c>
      <c r="P141" s="14">
        <f t="shared" si="141"/>
        <v>93.594863327599242</v>
      </c>
      <c r="Q141" s="22">
        <f t="shared" si="108"/>
        <v>875.317886962236</v>
      </c>
      <c r="R141" s="60">
        <f t="shared" si="109"/>
        <v>1160.459214227742</v>
      </c>
      <c r="S141" s="60">
        <f ca="1">AVERAGE(OFFSET($R$3,0,0,'Données projet'!$E$9+1,1))-AVERAGE(OFFSET($H$3,0,0,'Données projet'!$E$9+1,1))</f>
        <v>598.73855311281966</v>
      </c>
      <c r="T141" s="60">
        <f t="shared" si="142"/>
        <v>275.88160405468193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1.3</v>
      </c>
      <c r="AI141" s="14">
        <f>IF('Données projet'!$A$62&gt;35,AI140+AH141-AQ140,IF(A141&lt;'Données projet'!$A$62,$AF$205^A141,IF(A141='Données projet'!$A$62,'Données projet'!$B$62,AI140+AH141-AQ140)))</f>
        <v>272.89999999999952</v>
      </c>
      <c r="AJ141" s="14">
        <f>AI141*VLOOKUP('Données projet'!$B$10,Paramètres!$A$1:$I$89,3,0)*VLOOKUP('Données projet'!$B$10,Paramètres!$A$1:$I$89,5,0)</f>
        <v>276.72059999999954</v>
      </c>
      <c r="AK141" s="14">
        <f t="shared" si="143"/>
        <v>66.273502915066459</v>
      </c>
      <c r="AL141" s="22">
        <f t="shared" si="112"/>
        <v>597.38139591040647</v>
      </c>
      <c r="AM141" s="60">
        <f t="shared" si="113"/>
        <v>882.52272317591246</v>
      </c>
      <c r="AN141" s="60">
        <f ca="1">AVERAGE(OFFSET($AM$3,0,0,'Données projet'!$E$10+1,1))-AVERAGE(OFFSET($H$3,0,0,'Données projet'!$E$10+1,1))</f>
        <v>515.72324585399997</v>
      </c>
      <c r="AO141" s="60">
        <f t="shared" si="144"/>
        <v>273.35778700650792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2.7134774427395314E-13</v>
      </c>
      <c r="BF141" s="14">
        <f t="shared" si="145"/>
        <v>3.6292411711343559E-12</v>
      </c>
      <c r="BG141" s="22">
        <f t="shared" si="115"/>
        <v>6.7935256943361388E-12</v>
      </c>
      <c r="BH141" s="60">
        <f t="shared" si="116"/>
        <v>285.14132726551276</v>
      </c>
      <c r="BI141" s="60">
        <f ca="1">AVERAGE(OFFSET($BH$3,0,0,'Données projet'!$E$11+1,1))-AVERAGE(OFFSET($H$3,0,0,'Données projet'!$E$11+1,1))</f>
        <v>336.25341821407534</v>
      </c>
      <c r="BJ141" s="60">
        <f t="shared" si="146"/>
        <v>360.3246221345039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0.26035914561121482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0.26035914561121482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1.0818439477588981E-13</v>
      </c>
      <c r="CA141" s="14">
        <f t="shared" si="147"/>
        <v>1.6104228458716316E-12</v>
      </c>
      <c r="CB141" s="22">
        <f t="shared" si="118"/>
        <v>2.9932409441277661E-12</v>
      </c>
      <c r="CC141" s="60">
        <f t="shared" si="119"/>
        <v>285.14132726550895</v>
      </c>
      <c r="CD141" s="60">
        <f ca="1">AVERAGE(OFFSET($CC$3,0,0,'Données projet'!$E$12+1,1))-AVERAGE(OFFSET($H$3,0,0,'Données projet'!$E$12+1,1))</f>
        <v>438.41611139377829</v>
      </c>
      <c r="CE141" s="60">
        <f t="shared" si="148"/>
        <v>345.17417065809605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-4.5224624045658861E-14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395.27840703467933</v>
      </c>
      <c r="CZ141" s="60">
        <f t="shared" si="150"/>
        <v>364.24192380053944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-2.8421709430404007E-13</v>
      </c>
      <c r="DP141" s="18">
        <f>DO141*VLOOKUP('Données projet'!$B$14,Paramètres!$A$1:$I$89,3,0)*VLOOKUP('Données projet'!$B$14,Paramètres!$A$1:$I$89,5,0)</f>
        <v>-2.2168933355715128E-13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308.76306523144956</v>
      </c>
      <c r="DU141" s="60">
        <f t="shared" si="152"/>
        <v>283.28099819802776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2.2737367544323206E-13</v>
      </c>
      <c r="EK141" s="18">
        <f>EJ141*VLOOKUP('Données projet'!$B$15,Paramètres!$A$1:$I$89,3,0)*VLOOKUP('Données projet'!$B$15,Paramètres!$A$1:$I$89,5,0)</f>
        <v>1.5252226148732008E-13</v>
      </c>
      <c r="EL141" s="14">
        <f t="shared" si="153"/>
        <v>2.1814502464536512E-12</v>
      </c>
      <c r="EM141" s="22">
        <f t="shared" si="127"/>
        <v>4.0650021179971913E-12</v>
      </c>
      <c r="EN141" s="60">
        <f t="shared" si="128"/>
        <v>285.14132726551003</v>
      </c>
      <c r="EO141" s="60">
        <f ca="1">AVERAGE(OFFSET($EN$3,0,0,'Données projet'!$E$15+1,1))-AVERAGE(OFFSET($H$3,0,0,'Données projet'!$E$15+1,1))</f>
        <v>375.49921531693559</v>
      </c>
      <c r="EP141" s="60">
        <f t="shared" si="154"/>
        <v>306.93934681565599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5.6843418860808015E-14</v>
      </c>
      <c r="FF141" s="18">
        <f>FE141*VLOOKUP('Données projet'!$B$16,Paramètres!$A$1:$I$89,3,0)*VLOOKUP('Données projet'!$B$16,Paramètres!$A$1:$I$89,5,0)</f>
        <v>4.6111381379887463E-14</v>
      </c>
      <c r="FG141" s="14">
        <f t="shared" si="155"/>
        <v>7.5804141040779151E-13</v>
      </c>
      <c r="FH141" s="22">
        <f t="shared" si="130"/>
        <v>1.4005661123635408E-12</v>
      </c>
      <c r="FI141" s="60">
        <f t="shared" si="131"/>
        <v>285.14132726550736</v>
      </c>
      <c r="FJ141" s="60">
        <f ca="1">AVERAGE(OFFSET($FI$3,0,0,'Données projet'!$E$16+1,1))-AVERAGE(OFFSET($H$3,0,0,'Données projet'!$E$16+1,1))</f>
        <v>308.58270639204238</v>
      </c>
      <c r="FK141" s="60">
        <f t="shared" si="156"/>
        <v>258.90832875500325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1.3</v>
      </c>
      <c r="FZ141" s="13">
        <f>IF('Données projet'!$A$244&gt;35,FZ140+FY141-GH140,IF(A141&lt;'Données projet'!$A$244,$FW$205^A141,IF(A141='Données projet'!$A$244,'Données projet'!$B$244,FZ140+FY141-GH140)))</f>
        <v>272.89999999999952</v>
      </c>
      <c r="GA141" s="18">
        <f>FZ141*VLOOKUP('Données projet'!$B$17,Paramètres!$A$1:$I$89,3,0)*VLOOKUP('Données projet'!$B$17,Paramètres!$A$1:$I$89,5,0)</f>
        <v>263.94887999999952</v>
      </c>
      <c r="GB141" s="14">
        <f t="shared" si="157"/>
        <v>63.563379715724395</v>
      </c>
      <c r="GC141" s="22">
        <f t="shared" si="133"/>
        <v>570.41718567155237</v>
      </c>
      <c r="GD141" s="60">
        <f t="shared" si="134"/>
        <v>855.55851293705837</v>
      </c>
      <c r="GE141" s="60">
        <f ca="1">AVERAGE(OFFSET($GD$3,0,0,'Données projet'!$E$17+1,1))-AVERAGE(OFFSET($H$3,0,0,'Données projet'!$E$17+1,1))</f>
        <v>495.77880062178235</v>
      </c>
      <c r="GF141" s="60">
        <f t="shared" si="158"/>
        <v>263.55891737750301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4.666666666666667</v>
      </c>
      <c r="N142" s="14">
        <f>IF('Données projet'!$A$36&gt;35,N141+M142-V141,IF(A142&lt;'Données projet'!$A$36,$K$205^A142,IF(A142='Données projet'!$A$36,'Données projet'!$B$36,N141+M142-V141)))</f>
        <v>481.33333333333377</v>
      </c>
      <c r="O142" s="14">
        <f>N142*VLOOKUP('Données projet'!$B$9,Paramètres!$A$1:$I$89,3,0)*VLOOKUP('Données projet'!$B$9,Paramètres!$A$1:$I$89,5,0)</f>
        <v>412.98400000000038</v>
      </c>
      <c r="P142" s="14">
        <f t="shared" si="141"/>
        <v>94.404058140153396</v>
      </c>
      <c r="Q142" s="22">
        <f t="shared" si="108"/>
        <v>883.70086792743439</v>
      </c>
      <c r="R142" s="60">
        <f t="shared" si="109"/>
        <v>1168.9843081836352</v>
      </c>
      <c r="S142" s="60">
        <f ca="1">AVERAGE(OFFSET($R$3,0,0,'Données projet'!$E$9+1,1))-AVERAGE(OFFSET($H$3,0,0,'Données projet'!$E$9+1,1))</f>
        <v>598.73855311281966</v>
      </c>
      <c r="T142" s="60">
        <f t="shared" si="142"/>
        <v>275.88160405468193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1.3</v>
      </c>
      <c r="AI142" s="14">
        <f>IF('Données projet'!$A$62&gt;35,AI141+AH142-AQ141,IF(A142&lt;'Données projet'!$A$62,$AF$205^A142,IF(A142='Données projet'!$A$62,'Données projet'!$B$62,AI141+AH142-AQ141)))</f>
        <v>274.19999999999953</v>
      </c>
      <c r="AJ142" s="14">
        <f>AI142*VLOOKUP('Données projet'!$B$10,Paramètres!$A$1:$I$89,3,0)*VLOOKUP('Données projet'!$B$10,Paramètres!$A$1:$I$89,5,0)</f>
        <v>278.03879999999953</v>
      </c>
      <c r="AK142" s="14">
        <f t="shared" si="143"/>
        <v>66.552381547717687</v>
      </c>
      <c r="AL142" s="22">
        <f t="shared" si="112"/>
        <v>600.16297452894071</v>
      </c>
      <c r="AM142" s="60">
        <f t="shared" si="113"/>
        <v>885.44641478514154</v>
      </c>
      <c r="AN142" s="60">
        <f ca="1">AVERAGE(OFFSET($AM$3,0,0,'Données projet'!$E$10+1,1))-AVERAGE(OFFSET($H$3,0,0,'Données projet'!$E$10+1,1))</f>
        <v>515.72324585399997</v>
      </c>
      <c r="AO142" s="60">
        <f t="shared" si="144"/>
        <v>273.35778700650792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2.7134774427395314E-13</v>
      </c>
      <c r="BF142" s="14">
        <f t="shared" si="145"/>
        <v>3.6292411711343559E-12</v>
      </c>
      <c r="BG142" s="22">
        <f t="shared" si="115"/>
        <v>6.7935256943361388E-12</v>
      </c>
      <c r="BH142" s="60">
        <f t="shared" si="116"/>
        <v>285.28344025620771</v>
      </c>
      <c r="BI142" s="60">
        <f ca="1">AVERAGE(OFFSET($BH$3,0,0,'Données projet'!$E$11+1,1))-AVERAGE(OFFSET($H$3,0,0,'Données projet'!$E$11+1,1))</f>
        <v>336.25341821407534</v>
      </c>
      <c r="BJ142" s="60">
        <f t="shared" si="146"/>
        <v>360.3246221345039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0.25323961108278376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0.25323961108278376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1.0818439477588981E-13</v>
      </c>
      <c r="CA142" s="14">
        <f t="shared" si="147"/>
        <v>1.6104228458716316E-12</v>
      </c>
      <c r="CB142" s="22">
        <f t="shared" si="118"/>
        <v>2.9932409441277661E-12</v>
      </c>
      <c r="CC142" s="60">
        <f t="shared" si="119"/>
        <v>285.2834402562039</v>
      </c>
      <c r="CD142" s="60">
        <f ca="1">AVERAGE(OFFSET($CC$3,0,0,'Données projet'!$E$12+1,1))-AVERAGE(OFFSET($H$3,0,0,'Données projet'!$E$12+1,1))</f>
        <v>438.41611139377829</v>
      </c>
      <c r="CE142" s="60">
        <f t="shared" si="148"/>
        <v>345.17417065809605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-4.5224624045658861E-14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395.27840703467933</v>
      </c>
      <c r="CZ142" s="60">
        <f t="shared" si="150"/>
        <v>364.24192380053944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-2.8421709430404007E-13</v>
      </c>
      <c r="DP142" s="18">
        <f>DO142*VLOOKUP('Données projet'!$B$14,Paramètres!$A$1:$I$89,3,0)*VLOOKUP('Données projet'!$B$14,Paramètres!$A$1:$I$89,5,0)</f>
        <v>-2.2168933355715128E-13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308.76306523144956</v>
      </c>
      <c r="DU142" s="60">
        <f t="shared" si="152"/>
        <v>283.28099819802776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2.2737367544323206E-13</v>
      </c>
      <c r="EK142" s="18">
        <f>EJ142*VLOOKUP('Données projet'!$B$15,Paramètres!$A$1:$I$89,3,0)*VLOOKUP('Données projet'!$B$15,Paramètres!$A$1:$I$89,5,0)</f>
        <v>1.5252226148732008E-13</v>
      </c>
      <c r="EL142" s="14">
        <f t="shared" si="153"/>
        <v>2.1814502464536512E-12</v>
      </c>
      <c r="EM142" s="22">
        <f t="shared" si="127"/>
        <v>4.0650021179971913E-12</v>
      </c>
      <c r="EN142" s="60">
        <f t="shared" si="128"/>
        <v>285.28344025620498</v>
      </c>
      <c r="EO142" s="60">
        <f ca="1">AVERAGE(OFFSET($EN$3,0,0,'Données projet'!$E$15+1,1))-AVERAGE(OFFSET($H$3,0,0,'Données projet'!$E$15+1,1))</f>
        <v>375.49921531693559</v>
      </c>
      <c r="EP142" s="60">
        <f t="shared" si="154"/>
        <v>306.93934681565599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5.6843418860808015E-14</v>
      </c>
      <c r="FF142" s="18">
        <f>FE142*VLOOKUP('Données projet'!$B$16,Paramètres!$A$1:$I$89,3,0)*VLOOKUP('Données projet'!$B$16,Paramètres!$A$1:$I$89,5,0)</f>
        <v>4.6111381379887463E-14</v>
      </c>
      <c r="FG142" s="14">
        <f t="shared" si="155"/>
        <v>7.5804141040779151E-13</v>
      </c>
      <c r="FH142" s="22">
        <f t="shared" si="130"/>
        <v>1.4005661123635408E-12</v>
      </c>
      <c r="FI142" s="60">
        <f t="shared" si="131"/>
        <v>285.28344025620231</v>
      </c>
      <c r="FJ142" s="60">
        <f ca="1">AVERAGE(OFFSET($FI$3,0,0,'Données projet'!$E$16+1,1))-AVERAGE(OFFSET($H$3,0,0,'Données projet'!$E$16+1,1))</f>
        <v>308.58270639204238</v>
      </c>
      <c r="FK142" s="60">
        <f t="shared" si="156"/>
        <v>258.90832875500325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1.3</v>
      </c>
      <c r="FZ142" s="13">
        <f>IF('Données projet'!$A$244&gt;35,FZ141+FY142-GH141,IF(A142&lt;'Données projet'!$A$244,$FW$205^A142,IF(A142='Données projet'!$A$244,'Données projet'!$B$244,FZ141+FY142-GH141)))</f>
        <v>274.19999999999953</v>
      </c>
      <c r="GA142" s="18">
        <f>FZ142*VLOOKUP('Données projet'!$B$17,Paramètres!$A$1:$I$89,3,0)*VLOOKUP('Données projet'!$B$17,Paramètres!$A$1:$I$89,5,0)</f>
        <v>265.20623999999953</v>
      </c>
      <c r="GB142" s="14">
        <f t="shared" si="157"/>
        <v>63.83085416089633</v>
      </c>
      <c r="GC142" s="22">
        <f t="shared" si="133"/>
        <v>573.07293899689353</v>
      </c>
      <c r="GD142" s="60">
        <f t="shared" si="134"/>
        <v>858.35637925309447</v>
      </c>
      <c r="GE142" s="60">
        <f ca="1">AVERAGE(OFFSET($GD$3,0,0,'Données projet'!$E$17+1,1))-AVERAGE(OFFSET($H$3,0,0,'Données projet'!$E$17+1,1))</f>
        <v>495.77880062178235</v>
      </c>
      <c r="GF142" s="60">
        <f t="shared" si="158"/>
        <v>263.55891737750301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486</v>
      </c>
      <c r="L143" s="13">
        <f>VLOOKUP(A143,'Données projet'!$A$35:$I$55,9,0)</f>
        <v>4.666666666666667</v>
      </c>
      <c r="M143" s="13">
        <f t="array" ref="M143">INDEX(L:L,MIN(IF(ISNUMBER(L143:L339),ROW(L143:L339),"")))</f>
        <v>4.666666666666667</v>
      </c>
      <c r="N143" s="14">
        <f>IF('Données projet'!$A$36&gt;35,N142+M143-V142,IF(A143&lt;'Données projet'!$A$36,$K$205^A143,IF(A143='Données projet'!$A$36,'Données projet'!$B$36,N142+M143-V142)))</f>
        <v>486.00000000000045</v>
      </c>
      <c r="O143" s="14">
        <f>N143*VLOOKUP('Données projet'!$B$9,Paramètres!$A$1:$I$89,3,0)*VLOOKUP('Données projet'!$B$9,Paramètres!$A$1:$I$89,5,0)</f>
        <v>416.98800000000045</v>
      </c>
      <c r="P143" s="14">
        <f t="shared" si="141"/>
        <v>95.212340250556153</v>
      </c>
      <c r="Q143" s="22">
        <f t="shared" si="108"/>
        <v>892.0822592697192</v>
      </c>
      <c r="R143" s="60">
        <f t="shared" si="109"/>
        <v>1177.5053471739436</v>
      </c>
      <c r="S143" s="60">
        <f ca="1">AVERAGE(OFFSET($R$3,0,0,'Données projet'!$E$9+1,1))-AVERAGE(OFFSET($H$3,0,0,'Données projet'!$E$9+1,1))</f>
        <v>598.73855311281966</v>
      </c>
      <c r="T143" s="60">
        <f t="shared" si="142"/>
        <v>275.88160405468193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59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1.3</v>
      </c>
      <c r="AI143" s="14">
        <f>IF('Données projet'!$A$62&gt;35,AI142+AH143-AQ142,IF(A143&lt;'Données projet'!$A$62,$AF$205^A143,IF(A143='Données projet'!$A$62,'Données projet'!$B$62,AI142+AH143-AQ142)))</f>
        <v>275.49999999999955</v>
      </c>
      <c r="AJ143" s="14">
        <f>AI143*VLOOKUP('Données projet'!$B$10,Paramètres!$A$1:$I$89,3,0)*VLOOKUP('Données projet'!$B$10,Paramètres!$A$1:$I$89,5,0)</f>
        <v>279.35699999999957</v>
      </c>
      <c r="AK143" s="14">
        <f t="shared" si="143"/>
        <v>66.831106320267438</v>
      </c>
      <c r="AL143" s="22">
        <f t="shared" si="112"/>
        <v>602.94428517446511</v>
      </c>
      <c r="AM143" s="60">
        <f t="shared" si="113"/>
        <v>888.36737307868952</v>
      </c>
      <c r="AN143" s="60">
        <f ca="1">AVERAGE(OFFSET($AM$3,0,0,'Données projet'!$E$10+1,1))-AVERAGE(OFFSET($H$3,0,0,'Données projet'!$E$10+1,1))</f>
        <v>515.72324585399997</v>
      </c>
      <c r="AO143" s="60">
        <f t="shared" si="144"/>
        <v>273.35778700650792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2.7134774427395314E-13</v>
      </c>
      <c r="BF143" s="14">
        <f t="shared" si="145"/>
        <v>3.6292411711343559E-12</v>
      </c>
      <c r="BG143" s="22">
        <f t="shared" si="115"/>
        <v>6.7935256943361388E-12</v>
      </c>
      <c r="BH143" s="60">
        <f t="shared" si="116"/>
        <v>285.42308790423118</v>
      </c>
      <c r="BI143" s="60">
        <f ca="1">AVERAGE(OFFSET($BH$3,0,0,'Données projet'!$E$11+1,1))-AVERAGE(OFFSET($H$3,0,0,'Données projet'!$E$11+1,1))</f>
        <v>336.25341821407534</v>
      </c>
      <c r="BJ143" s="60">
        <f t="shared" si="146"/>
        <v>360.3246221345039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0.24631476060043267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0.24631476060043267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1.0818439477588981E-13</v>
      </c>
      <c r="CA143" s="14">
        <f t="shared" si="147"/>
        <v>1.6104228458716316E-12</v>
      </c>
      <c r="CB143" s="22">
        <f t="shared" si="118"/>
        <v>2.9932409441277661E-12</v>
      </c>
      <c r="CC143" s="60">
        <f t="shared" si="119"/>
        <v>285.42308790422737</v>
      </c>
      <c r="CD143" s="60">
        <f ca="1">AVERAGE(OFFSET($CC$3,0,0,'Données projet'!$E$12+1,1))-AVERAGE(OFFSET($H$3,0,0,'Données projet'!$E$12+1,1))</f>
        <v>438.41611139377829</v>
      </c>
      <c r="CE143" s="60">
        <f t="shared" si="148"/>
        <v>345.17417065809605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-4.5224624045658861E-14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395.27840703467933</v>
      </c>
      <c r="CZ143" s="60">
        <f t="shared" si="150"/>
        <v>364.24192380053944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-2.8421709430404007E-13</v>
      </c>
      <c r="DP143" s="18">
        <f>DO143*VLOOKUP('Données projet'!$B$14,Paramètres!$A$1:$I$89,3,0)*VLOOKUP('Données projet'!$B$14,Paramètres!$A$1:$I$89,5,0)</f>
        <v>-2.2168933355715128E-13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308.76306523144956</v>
      </c>
      <c r="DU143" s="60">
        <f t="shared" si="152"/>
        <v>283.28099819802776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2.2737367544323206E-13</v>
      </c>
      <c r="EK143" s="18">
        <f>EJ143*VLOOKUP('Données projet'!$B$15,Paramètres!$A$1:$I$89,3,0)*VLOOKUP('Données projet'!$B$15,Paramètres!$A$1:$I$89,5,0)</f>
        <v>1.5252226148732008E-13</v>
      </c>
      <c r="EL143" s="14">
        <f t="shared" si="153"/>
        <v>2.1814502464536512E-12</v>
      </c>
      <c r="EM143" s="22">
        <f t="shared" si="127"/>
        <v>4.0650021179971913E-12</v>
      </c>
      <c r="EN143" s="60">
        <f t="shared" si="128"/>
        <v>285.42308790422845</v>
      </c>
      <c r="EO143" s="60">
        <f ca="1">AVERAGE(OFFSET($EN$3,0,0,'Données projet'!$E$15+1,1))-AVERAGE(OFFSET($H$3,0,0,'Données projet'!$E$15+1,1))</f>
        <v>375.49921531693559</v>
      </c>
      <c r="EP143" s="60">
        <f t="shared" si="154"/>
        <v>306.93934681565599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5.6843418860808015E-14</v>
      </c>
      <c r="FF143" s="18">
        <f>FE143*VLOOKUP('Données projet'!$B$16,Paramètres!$A$1:$I$89,3,0)*VLOOKUP('Données projet'!$B$16,Paramètres!$A$1:$I$89,5,0)</f>
        <v>4.6111381379887463E-14</v>
      </c>
      <c r="FG143" s="14">
        <f t="shared" si="155"/>
        <v>7.5804141040779151E-13</v>
      </c>
      <c r="FH143" s="22">
        <f t="shared" si="130"/>
        <v>1.4005661123635408E-12</v>
      </c>
      <c r="FI143" s="60">
        <f t="shared" si="131"/>
        <v>285.42308790422578</v>
      </c>
      <c r="FJ143" s="60">
        <f ca="1">AVERAGE(OFFSET($FI$3,0,0,'Données projet'!$E$16+1,1))-AVERAGE(OFFSET($H$3,0,0,'Données projet'!$E$16+1,1))</f>
        <v>308.58270639204238</v>
      </c>
      <c r="FK143" s="60">
        <f t="shared" si="156"/>
        <v>258.90832875500325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1.3</v>
      </c>
      <c r="FZ143" s="13">
        <f>IF('Données projet'!$A$244&gt;35,FZ142+FY143-GH142,IF(A143&lt;'Données projet'!$A$244,$FW$205^A143,IF(A143='Données projet'!$A$244,'Données projet'!$B$244,FZ142+FY143-GH142)))</f>
        <v>275.49999999999955</v>
      </c>
      <c r="GA143" s="18">
        <f>FZ143*VLOOKUP('Données projet'!$B$17,Paramètres!$A$1:$I$89,3,0)*VLOOKUP('Données projet'!$B$17,Paramètres!$A$1:$I$89,5,0)</f>
        <v>266.46359999999959</v>
      </c>
      <c r="GB143" s="14">
        <f t="shared" si="157"/>
        <v>64.098181037770004</v>
      </c>
      <c r="GC143" s="22">
        <f t="shared" si="133"/>
        <v>575.72843530744865</v>
      </c>
      <c r="GD143" s="60">
        <f t="shared" si="134"/>
        <v>861.15152321167307</v>
      </c>
      <c r="GE143" s="60">
        <f ca="1">AVERAGE(OFFSET($GD$3,0,0,'Données projet'!$E$17+1,1))-AVERAGE(OFFSET($H$3,0,0,'Données projet'!$E$17+1,1))</f>
        <v>495.77880062178235</v>
      </c>
      <c r="GF143" s="60">
        <f t="shared" si="158"/>
        <v>263.55891737750301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5.9</v>
      </c>
      <c r="N144" s="14">
        <f>IF('Données projet'!$A$36&gt;35,N143+M144-V143,IF(A144&lt;'Données projet'!$A$36,$K$205^A144,IF(A144='Données projet'!$A$36,'Données projet'!$B$36,N143+M144-V143)))</f>
        <v>432.90000000000043</v>
      </c>
      <c r="O144" s="14">
        <f>N144*VLOOKUP('Données projet'!$B$9,Paramètres!$A$1:$I$89,3,0)*VLOOKUP('Données projet'!$B$9,Paramètres!$A$1:$I$89,5,0)</f>
        <v>371.4282000000004</v>
      </c>
      <c r="P144" s="14">
        <f t="shared" si="141"/>
        <v>85.959425295266698</v>
      </c>
      <c r="Q144" s="22">
        <f t="shared" si="108"/>
        <v>796.61678072259008</v>
      </c>
      <c r="R144" s="60">
        <f t="shared" si="109"/>
        <v>1082.17709370035</v>
      </c>
      <c r="S144" s="60">
        <f ca="1">AVERAGE(OFFSET($R$3,0,0,'Données projet'!$E$9+1,1))-AVERAGE(OFFSET($H$3,0,0,'Données projet'!$E$9+1,1))</f>
        <v>598.73855311281966</v>
      </c>
      <c r="T144" s="60">
        <f t="shared" si="142"/>
        <v>275.88160405468193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1.3</v>
      </c>
      <c r="AI144" s="14">
        <f>IF('Données projet'!$A$62&gt;35,AI143+AH144-AQ143,IF(A144&lt;'Données projet'!$A$62,$AF$205^A144,IF(A144='Données projet'!$A$62,'Données projet'!$B$62,AI143+AH144-AQ143)))</f>
        <v>276.79999999999956</v>
      </c>
      <c r="AJ144" s="14">
        <f>AI144*VLOOKUP('Données projet'!$B$10,Paramètres!$A$1:$I$89,3,0)*VLOOKUP('Données projet'!$B$10,Paramètres!$A$1:$I$89,5,0)</f>
        <v>280.67519999999956</v>
      </c>
      <c r="AK144" s="14">
        <f t="shared" si="143"/>
        <v>67.109678043026435</v>
      </c>
      <c r="AL144" s="22">
        <f t="shared" si="112"/>
        <v>605.72532925827022</v>
      </c>
      <c r="AM144" s="60">
        <f t="shared" si="113"/>
        <v>891.2856422360303</v>
      </c>
      <c r="AN144" s="60">
        <f ca="1">AVERAGE(OFFSET($AM$3,0,0,'Données projet'!$E$10+1,1))-AVERAGE(OFFSET($H$3,0,0,'Données projet'!$E$10+1,1))</f>
        <v>515.72324585399997</v>
      </c>
      <c r="AO144" s="60">
        <f t="shared" si="144"/>
        <v>273.35778700650792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2.7134774427395314E-13</v>
      </c>
      <c r="BF144" s="14">
        <f t="shared" si="145"/>
        <v>3.6292411711343559E-12</v>
      </c>
      <c r="BG144" s="22">
        <f t="shared" si="115"/>
        <v>6.7935256943361388E-12</v>
      </c>
      <c r="BH144" s="60">
        <f t="shared" si="116"/>
        <v>285.56031297776684</v>
      </c>
      <c r="BI144" s="60">
        <f ca="1">AVERAGE(OFFSET($BH$3,0,0,'Données projet'!$E$11+1,1))-AVERAGE(OFFSET($H$3,0,0,'Données projet'!$E$11+1,1))</f>
        <v>336.25341821407534</v>
      </c>
      <c r="BJ144" s="60">
        <f t="shared" si="146"/>
        <v>360.3246221345039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0.23957927051868355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0.23957927051868355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1.0818439477588981E-13</v>
      </c>
      <c r="CA144" s="14">
        <f t="shared" si="147"/>
        <v>1.6104228458716316E-12</v>
      </c>
      <c r="CB144" s="22">
        <f t="shared" si="118"/>
        <v>2.9932409441277661E-12</v>
      </c>
      <c r="CC144" s="60">
        <f t="shared" si="119"/>
        <v>285.56031297776303</v>
      </c>
      <c r="CD144" s="60">
        <f ca="1">AVERAGE(OFFSET($CC$3,0,0,'Données projet'!$E$12+1,1))-AVERAGE(OFFSET($H$3,0,0,'Données projet'!$E$12+1,1))</f>
        <v>438.41611139377829</v>
      </c>
      <c r="CE144" s="60">
        <f t="shared" si="148"/>
        <v>345.17417065809605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-4.5224624045658861E-14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395.27840703467933</v>
      </c>
      <c r="CZ144" s="60">
        <f t="shared" si="150"/>
        <v>364.24192380053944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-2.8421709430404007E-13</v>
      </c>
      <c r="DP144" s="18">
        <f>DO144*VLOOKUP('Données projet'!$B$14,Paramètres!$A$1:$I$89,3,0)*VLOOKUP('Données projet'!$B$14,Paramètres!$A$1:$I$89,5,0)</f>
        <v>-2.2168933355715128E-13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308.76306523144956</v>
      </c>
      <c r="DU144" s="60">
        <f t="shared" si="152"/>
        <v>283.28099819802776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2.2737367544323206E-13</v>
      </c>
      <c r="EK144" s="18">
        <f>EJ144*VLOOKUP('Données projet'!$B$15,Paramètres!$A$1:$I$89,3,0)*VLOOKUP('Données projet'!$B$15,Paramètres!$A$1:$I$89,5,0)</f>
        <v>1.5252226148732008E-13</v>
      </c>
      <c r="EL144" s="14">
        <f t="shared" si="153"/>
        <v>2.1814502464536512E-12</v>
      </c>
      <c r="EM144" s="22">
        <f t="shared" si="127"/>
        <v>4.0650021179971913E-12</v>
      </c>
      <c r="EN144" s="60">
        <f t="shared" si="128"/>
        <v>285.56031297776411</v>
      </c>
      <c r="EO144" s="60">
        <f ca="1">AVERAGE(OFFSET($EN$3,0,0,'Données projet'!$E$15+1,1))-AVERAGE(OFFSET($H$3,0,0,'Données projet'!$E$15+1,1))</f>
        <v>375.49921531693559</v>
      </c>
      <c r="EP144" s="60">
        <f t="shared" si="154"/>
        <v>306.93934681565599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5.6843418860808015E-14</v>
      </c>
      <c r="FF144" s="18">
        <f>FE144*VLOOKUP('Données projet'!$B$16,Paramètres!$A$1:$I$89,3,0)*VLOOKUP('Données projet'!$B$16,Paramètres!$A$1:$I$89,5,0)</f>
        <v>4.6111381379887463E-14</v>
      </c>
      <c r="FG144" s="14">
        <f t="shared" si="155"/>
        <v>7.5804141040779151E-13</v>
      </c>
      <c r="FH144" s="22">
        <f t="shared" si="130"/>
        <v>1.4005661123635408E-12</v>
      </c>
      <c r="FI144" s="60">
        <f t="shared" si="131"/>
        <v>285.56031297776144</v>
      </c>
      <c r="FJ144" s="60">
        <f ca="1">AVERAGE(OFFSET($FI$3,0,0,'Données projet'!$E$16+1,1))-AVERAGE(OFFSET($H$3,0,0,'Données projet'!$E$16+1,1))</f>
        <v>308.58270639204238</v>
      </c>
      <c r="FK144" s="60">
        <f t="shared" si="156"/>
        <v>258.90832875500325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1.3</v>
      </c>
      <c r="FZ144" s="13">
        <f>IF('Données projet'!$A$244&gt;35,FZ143+FY144-GH143,IF(A144&lt;'Données projet'!$A$244,$FW$205^A144,IF(A144='Données projet'!$A$244,'Données projet'!$B$244,FZ143+FY144-GH143)))</f>
        <v>276.79999999999956</v>
      </c>
      <c r="GA144" s="18">
        <f>FZ144*VLOOKUP('Données projet'!$B$17,Paramètres!$A$1:$I$89,3,0)*VLOOKUP('Données projet'!$B$17,Paramètres!$A$1:$I$89,5,0)</f>
        <v>267.72095999999959</v>
      </c>
      <c r="GB144" s="14">
        <f t="shared" si="157"/>
        <v>64.365361123519889</v>
      </c>
      <c r="GC144" s="22">
        <f t="shared" si="133"/>
        <v>578.38367595679642</v>
      </c>
      <c r="GD144" s="60">
        <f t="shared" si="134"/>
        <v>863.9439889345565</v>
      </c>
      <c r="GE144" s="60">
        <f ca="1">AVERAGE(OFFSET($GD$3,0,0,'Données projet'!$E$17+1,1))-AVERAGE(OFFSET($H$3,0,0,'Données projet'!$E$17+1,1))</f>
        <v>495.77880062178235</v>
      </c>
      <c r="GF144" s="60">
        <f t="shared" si="158"/>
        <v>263.55891737750301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5.9</v>
      </c>
      <c r="N145" s="14">
        <f>IF('Données projet'!$A$36&gt;35,N144+M145-V144,IF(A145&lt;'Données projet'!$A$36,$K$205^A145,IF(A145='Données projet'!$A$36,'Données projet'!$B$36,N144+M145-V144)))</f>
        <v>438.80000000000041</v>
      </c>
      <c r="O145" s="14">
        <f>N145*VLOOKUP('Données projet'!$B$9,Paramètres!$A$1:$I$89,3,0)*VLOOKUP('Données projet'!$B$9,Paramètres!$A$1:$I$89,5,0)</f>
        <v>376.49040000000036</v>
      </c>
      <c r="P145" s="14">
        <f t="shared" si="141"/>
        <v>86.993782989825277</v>
      </c>
      <c r="Q145" s="22">
        <f t="shared" si="108"/>
        <v>807.23495204061294</v>
      </c>
      <c r="R145" s="60">
        <f t="shared" si="109"/>
        <v>1092.930109543672</v>
      </c>
      <c r="S145" s="60">
        <f ca="1">AVERAGE(OFFSET($R$3,0,0,'Données projet'!$E$9+1,1))-AVERAGE(OFFSET($H$3,0,0,'Données projet'!$E$9+1,1))</f>
        <v>598.73855311281966</v>
      </c>
      <c r="T145" s="60">
        <f t="shared" si="142"/>
        <v>275.88160405468193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1.3</v>
      </c>
      <c r="AI145" s="14">
        <f>IF('Données projet'!$A$62&gt;35,AI144+AH145-AQ144,IF(A145&lt;'Données projet'!$A$62,$AF$205^A145,IF(A145='Données projet'!$A$62,'Données projet'!$B$62,AI144+AH145-AQ144)))</f>
        <v>278.09999999999957</v>
      </c>
      <c r="AJ145" s="14">
        <f>AI145*VLOOKUP('Données projet'!$B$10,Paramètres!$A$1:$I$89,3,0)*VLOOKUP('Données projet'!$B$10,Paramètres!$A$1:$I$89,5,0)</f>
        <v>281.99339999999961</v>
      </c>
      <c r="AK145" s="14">
        <f t="shared" si="143"/>
        <v>67.388097518253133</v>
      </c>
      <c r="AL145" s="22">
        <f t="shared" si="112"/>
        <v>608.50610817762345</v>
      </c>
      <c r="AM145" s="60">
        <f t="shared" si="113"/>
        <v>894.20126568068258</v>
      </c>
      <c r="AN145" s="60">
        <f ca="1">AVERAGE(OFFSET($AM$3,0,0,'Données projet'!$E$10+1,1))-AVERAGE(OFFSET($H$3,0,0,'Données projet'!$E$10+1,1))</f>
        <v>515.72324585399997</v>
      </c>
      <c r="AO145" s="60">
        <f t="shared" si="144"/>
        <v>273.35778700650792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2.7134774427395314E-13</v>
      </c>
      <c r="BF145" s="14">
        <f t="shared" si="145"/>
        <v>3.6292411711343559E-12</v>
      </c>
      <c r="BG145" s="22">
        <f t="shared" si="115"/>
        <v>6.7935256943361388E-12</v>
      </c>
      <c r="BH145" s="60">
        <f t="shared" si="116"/>
        <v>285.6951575030659</v>
      </c>
      <c r="BI145" s="60">
        <f ca="1">AVERAGE(OFFSET($BH$3,0,0,'Données projet'!$E$11+1,1))-AVERAGE(OFFSET($H$3,0,0,'Données projet'!$E$11+1,1))</f>
        <v>336.25341821407534</v>
      </c>
      <c r="BJ145" s="60">
        <f t="shared" si="146"/>
        <v>360.3246221345039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0.23302796276742388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0.23302796276742388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1.0818439477588981E-13</v>
      </c>
      <c r="CA145" s="14">
        <f t="shared" si="147"/>
        <v>1.6104228458716316E-12</v>
      </c>
      <c r="CB145" s="22">
        <f t="shared" si="118"/>
        <v>2.9932409441277661E-12</v>
      </c>
      <c r="CC145" s="60">
        <f t="shared" si="119"/>
        <v>285.69515750306209</v>
      </c>
      <c r="CD145" s="60">
        <f ca="1">AVERAGE(OFFSET($CC$3,0,0,'Données projet'!$E$12+1,1))-AVERAGE(OFFSET($H$3,0,0,'Données projet'!$E$12+1,1))</f>
        <v>438.41611139377829</v>
      </c>
      <c r="CE145" s="60">
        <f t="shared" si="148"/>
        <v>345.17417065809605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-4.5224624045658861E-14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395.27840703467933</v>
      </c>
      <c r="CZ145" s="60">
        <f t="shared" si="150"/>
        <v>364.24192380053944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-2.8421709430404007E-13</v>
      </c>
      <c r="DP145" s="18">
        <f>DO145*VLOOKUP('Données projet'!$B$14,Paramètres!$A$1:$I$89,3,0)*VLOOKUP('Données projet'!$B$14,Paramètres!$A$1:$I$89,5,0)</f>
        <v>-2.2168933355715128E-13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308.76306523144956</v>
      </c>
      <c r="DU145" s="60">
        <f t="shared" si="152"/>
        <v>283.28099819802776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2.2737367544323206E-13</v>
      </c>
      <c r="EK145" s="18">
        <f>EJ145*VLOOKUP('Données projet'!$B$15,Paramètres!$A$1:$I$89,3,0)*VLOOKUP('Données projet'!$B$15,Paramètres!$A$1:$I$89,5,0)</f>
        <v>1.5252226148732008E-13</v>
      </c>
      <c r="EL145" s="14">
        <f t="shared" si="153"/>
        <v>2.1814502464536512E-12</v>
      </c>
      <c r="EM145" s="22">
        <f t="shared" si="127"/>
        <v>4.0650021179971913E-12</v>
      </c>
      <c r="EN145" s="60">
        <f t="shared" si="128"/>
        <v>285.69515750306317</v>
      </c>
      <c r="EO145" s="60">
        <f ca="1">AVERAGE(OFFSET($EN$3,0,0,'Données projet'!$E$15+1,1))-AVERAGE(OFFSET($H$3,0,0,'Données projet'!$E$15+1,1))</f>
        <v>375.49921531693559</v>
      </c>
      <c r="EP145" s="60">
        <f t="shared" si="154"/>
        <v>306.93934681565599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5.6843418860808015E-14</v>
      </c>
      <c r="FF145" s="18">
        <f>FE145*VLOOKUP('Données projet'!$B$16,Paramètres!$A$1:$I$89,3,0)*VLOOKUP('Données projet'!$B$16,Paramètres!$A$1:$I$89,5,0)</f>
        <v>4.6111381379887463E-14</v>
      </c>
      <c r="FG145" s="14">
        <f t="shared" si="155"/>
        <v>7.5804141040779151E-13</v>
      </c>
      <c r="FH145" s="22">
        <f t="shared" si="130"/>
        <v>1.4005661123635408E-12</v>
      </c>
      <c r="FI145" s="60">
        <f t="shared" si="131"/>
        <v>285.6951575030605</v>
      </c>
      <c r="FJ145" s="60">
        <f ca="1">AVERAGE(OFFSET($FI$3,0,0,'Données projet'!$E$16+1,1))-AVERAGE(OFFSET($H$3,0,0,'Données projet'!$E$16+1,1))</f>
        <v>308.58270639204238</v>
      </c>
      <c r="FK145" s="60">
        <f t="shared" si="156"/>
        <v>258.90832875500325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1.3</v>
      </c>
      <c r="FZ145" s="13">
        <f>IF('Données projet'!$A$244&gt;35,FZ144+FY145-GH144,IF(A145&lt;'Données projet'!$A$244,$FW$205^A145,IF(A145='Données projet'!$A$244,'Données projet'!$B$244,FZ144+FY145-GH144)))</f>
        <v>278.09999999999957</v>
      </c>
      <c r="GA145" s="18">
        <f>FZ145*VLOOKUP('Données projet'!$B$17,Paramètres!$A$1:$I$89,3,0)*VLOOKUP('Données projet'!$B$17,Paramètres!$A$1:$I$89,5,0)</f>
        <v>268.9783199999996</v>
      </c>
      <c r="GB145" s="14">
        <f t="shared" si="157"/>
        <v>64.632395187597723</v>
      </c>
      <c r="GC145" s="22">
        <f t="shared" si="133"/>
        <v>581.03866228506524</v>
      </c>
      <c r="GD145" s="60">
        <f t="shared" si="134"/>
        <v>866.73381978812426</v>
      </c>
      <c r="GE145" s="60">
        <f ca="1">AVERAGE(OFFSET($GD$3,0,0,'Données projet'!$E$17+1,1))-AVERAGE(OFFSET($H$3,0,0,'Données projet'!$E$17+1,1))</f>
        <v>495.77880062178235</v>
      </c>
      <c r="GF145" s="60">
        <f t="shared" si="158"/>
        <v>263.55891737750301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5.9</v>
      </c>
      <c r="N146" s="14">
        <f>IF('Données projet'!$A$36&gt;35,N145+M146-V145,IF(A146&lt;'Données projet'!$A$36,$K$205^A146,IF(A146='Données projet'!$A$36,'Données projet'!$B$36,N145+M146-V145)))</f>
        <v>444.70000000000039</v>
      </c>
      <c r="O146" s="14">
        <f>N146*VLOOKUP('Données projet'!$B$9,Paramètres!$A$1:$I$89,3,0)*VLOOKUP('Données projet'!$B$9,Paramètres!$A$1:$I$89,5,0)</f>
        <v>381.55260000000038</v>
      </c>
      <c r="P146" s="14">
        <f t="shared" si="141"/>
        <v>88.026523039642925</v>
      </c>
      <c r="Q146" s="22">
        <f t="shared" si="108"/>
        <v>817.85030596071203</v>
      </c>
      <c r="R146" s="60">
        <f t="shared" si="109"/>
        <v>1103.6779687380235</v>
      </c>
      <c r="S146" s="60">
        <f ca="1">AVERAGE(OFFSET($R$3,0,0,'Données projet'!$E$9+1,1))-AVERAGE(OFFSET($H$3,0,0,'Données projet'!$E$9+1,1))</f>
        <v>598.73855311281966</v>
      </c>
      <c r="T146" s="60">
        <f t="shared" si="142"/>
        <v>275.88160405468193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1.3</v>
      </c>
      <c r="AI146" s="14">
        <f>IF('Données projet'!$A$62&gt;35,AI145+AH146-AQ145,IF(A146&lt;'Données projet'!$A$62,$AF$205^A146,IF(A146='Données projet'!$A$62,'Données projet'!$B$62,AI145+AH146-AQ145)))</f>
        <v>279.39999999999958</v>
      </c>
      <c r="AJ146" s="14">
        <f>AI146*VLOOKUP('Données projet'!$B$10,Paramètres!$A$1:$I$89,3,0)*VLOOKUP('Données projet'!$B$10,Paramètres!$A$1:$I$89,5,0)</f>
        <v>283.3115999999996</v>
      </c>
      <c r="AK146" s="14">
        <f t="shared" si="143"/>
        <v>67.666365540271215</v>
      </c>
      <c r="AL146" s="22">
        <f t="shared" si="112"/>
        <v>611.28662331597161</v>
      </c>
      <c r="AM146" s="60">
        <f t="shared" si="113"/>
        <v>897.114286093283</v>
      </c>
      <c r="AN146" s="60">
        <f ca="1">AVERAGE(OFFSET($AM$3,0,0,'Données projet'!$E$10+1,1))-AVERAGE(OFFSET($H$3,0,0,'Données projet'!$E$10+1,1))</f>
        <v>515.72324585399997</v>
      </c>
      <c r="AO146" s="60">
        <f t="shared" si="144"/>
        <v>273.35778700650792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2.7134774427395314E-13</v>
      </c>
      <c r="BF146" s="14">
        <f t="shared" si="145"/>
        <v>3.6292411711343559E-12</v>
      </c>
      <c r="BG146" s="22">
        <f t="shared" si="115"/>
        <v>6.7935256943361388E-12</v>
      </c>
      <c r="BH146" s="60">
        <f t="shared" si="116"/>
        <v>285.82766277731827</v>
      </c>
      <c r="BI146" s="60">
        <f ca="1">AVERAGE(OFFSET($BH$3,0,0,'Données projet'!$E$11+1,1))-AVERAGE(OFFSET($H$3,0,0,'Données projet'!$E$11+1,1))</f>
        <v>336.25341821407534</v>
      </c>
      <c r="BJ146" s="60">
        <f t="shared" si="146"/>
        <v>360.3246221345039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0.22665580087114071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0.22665580087114071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1.0818439477588981E-13</v>
      </c>
      <c r="CA146" s="14">
        <f t="shared" si="147"/>
        <v>1.6104228458716316E-12</v>
      </c>
      <c r="CB146" s="22">
        <f t="shared" si="118"/>
        <v>2.9932409441277661E-12</v>
      </c>
      <c r="CC146" s="60">
        <f t="shared" si="119"/>
        <v>285.82766277731446</v>
      </c>
      <c r="CD146" s="60">
        <f ca="1">AVERAGE(OFFSET($CC$3,0,0,'Données projet'!$E$12+1,1))-AVERAGE(OFFSET($H$3,0,0,'Données projet'!$E$12+1,1))</f>
        <v>438.41611139377829</v>
      </c>
      <c r="CE146" s="60">
        <f t="shared" si="148"/>
        <v>345.17417065809605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-4.5224624045658861E-14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395.27840703467933</v>
      </c>
      <c r="CZ146" s="60">
        <f t="shared" si="150"/>
        <v>364.24192380053944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-2.8421709430404007E-13</v>
      </c>
      <c r="DP146" s="18">
        <f>DO146*VLOOKUP('Données projet'!$B$14,Paramètres!$A$1:$I$89,3,0)*VLOOKUP('Données projet'!$B$14,Paramètres!$A$1:$I$89,5,0)</f>
        <v>-2.2168933355715128E-13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308.76306523144956</v>
      </c>
      <c r="DU146" s="60">
        <f t="shared" si="152"/>
        <v>283.28099819802776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2.2737367544323206E-13</v>
      </c>
      <c r="EK146" s="18">
        <f>EJ146*VLOOKUP('Données projet'!$B$15,Paramètres!$A$1:$I$89,3,0)*VLOOKUP('Données projet'!$B$15,Paramètres!$A$1:$I$89,5,0)</f>
        <v>1.5252226148732008E-13</v>
      </c>
      <c r="EL146" s="14">
        <f t="shared" si="153"/>
        <v>2.1814502464536512E-12</v>
      </c>
      <c r="EM146" s="22">
        <f t="shared" si="127"/>
        <v>4.0650021179971913E-12</v>
      </c>
      <c r="EN146" s="60">
        <f t="shared" si="128"/>
        <v>285.82766277731554</v>
      </c>
      <c r="EO146" s="60">
        <f ca="1">AVERAGE(OFFSET($EN$3,0,0,'Données projet'!$E$15+1,1))-AVERAGE(OFFSET($H$3,0,0,'Données projet'!$E$15+1,1))</f>
        <v>375.49921531693559</v>
      </c>
      <c r="EP146" s="60">
        <f t="shared" si="154"/>
        <v>306.93934681565599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5.6843418860808015E-14</v>
      </c>
      <c r="FF146" s="18">
        <f>FE146*VLOOKUP('Données projet'!$B$16,Paramètres!$A$1:$I$89,3,0)*VLOOKUP('Données projet'!$B$16,Paramètres!$A$1:$I$89,5,0)</f>
        <v>4.6111381379887463E-14</v>
      </c>
      <c r="FG146" s="14">
        <f t="shared" si="155"/>
        <v>7.5804141040779151E-13</v>
      </c>
      <c r="FH146" s="22">
        <f t="shared" si="130"/>
        <v>1.4005661123635408E-12</v>
      </c>
      <c r="FI146" s="60">
        <f t="shared" si="131"/>
        <v>285.82766277731287</v>
      </c>
      <c r="FJ146" s="60">
        <f ca="1">AVERAGE(OFFSET($FI$3,0,0,'Données projet'!$E$16+1,1))-AVERAGE(OFFSET($H$3,0,0,'Données projet'!$E$16+1,1))</f>
        <v>308.58270639204238</v>
      </c>
      <c r="FK146" s="60">
        <f t="shared" si="156"/>
        <v>258.90832875500325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1.3</v>
      </c>
      <c r="FZ146" s="13">
        <f>IF('Données projet'!$A$244&gt;35,FZ145+FY146-GH145,IF(A146&lt;'Données projet'!$A$244,$FW$205^A146,IF(A146='Données projet'!$A$244,'Données projet'!$B$244,FZ145+FY146-GH145)))</f>
        <v>279.39999999999958</v>
      </c>
      <c r="GA146" s="18">
        <f>FZ146*VLOOKUP('Données projet'!$B$17,Paramètres!$A$1:$I$89,3,0)*VLOOKUP('Données projet'!$B$17,Paramètres!$A$1:$I$89,5,0)</f>
        <v>270.2356799999996</v>
      </c>
      <c r="GB146" s="14">
        <f t="shared" si="157"/>
        <v>64.899283991844968</v>
      </c>
      <c r="GC146" s="22">
        <f t="shared" si="133"/>
        <v>583.69339561912932</v>
      </c>
      <c r="GD146" s="60">
        <f t="shared" si="134"/>
        <v>869.52105839644082</v>
      </c>
      <c r="GE146" s="60">
        <f ca="1">AVERAGE(OFFSET($GD$3,0,0,'Données projet'!$E$17+1,1))-AVERAGE(OFFSET($H$3,0,0,'Données projet'!$E$17+1,1))</f>
        <v>495.77880062178235</v>
      </c>
      <c r="GF146" s="60">
        <f t="shared" si="158"/>
        <v>263.55891737750301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5.9</v>
      </c>
      <c r="N147" s="14">
        <f>IF('Données projet'!$A$36&gt;35,N146+M147-V146,IF(A147&lt;'Données projet'!$A$36,$K$205^A147,IF(A147='Données projet'!$A$36,'Données projet'!$B$36,N146+M147-V146)))</f>
        <v>450.60000000000036</v>
      </c>
      <c r="O147" s="14">
        <f>N147*VLOOKUP('Données projet'!$B$9,Paramètres!$A$1:$I$89,3,0)*VLOOKUP('Données projet'!$B$9,Paramètres!$A$1:$I$89,5,0)</f>
        <v>386.61480000000034</v>
      </c>
      <c r="P147" s="14">
        <f t="shared" si="141"/>
        <v>89.057669387699207</v>
      </c>
      <c r="Q147" s="22">
        <f t="shared" si="108"/>
        <v>828.46288418357665</v>
      </c>
      <c r="R147" s="60">
        <f t="shared" si="109"/>
        <v>1114.4207535648695</v>
      </c>
      <c r="S147" s="60">
        <f ca="1">AVERAGE(OFFSET($R$3,0,0,'Données projet'!$E$9+1,1))-AVERAGE(OFFSET($H$3,0,0,'Données projet'!$E$9+1,1))</f>
        <v>598.73855311281966</v>
      </c>
      <c r="T147" s="60">
        <f t="shared" si="142"/>
        <v>275.88160405468193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1.3</v>
      </c>
      <c r="AI147" s="14">
        <f>IF('Données projet'!$A$62&gt;35,AI146+AH147-AQ146,IF(A147&lt;'Données projet'!$A$62,$AF$205^A147,IF(A147='Données projet'!$A$62,'Données projet'!$B$62,AI146+AH147-AQ146)))</f>
        <v>280.69999999999959</v>
      </c>
      <c r="AJ147" s="14">
        <f>AI147*VLOOKUP('Données projet'!$B$10,Paramètres!$A$1:$I$89,3,0)*VLOOKUP('Données projet'!$B$10,Paramètres!$A$1:$I$89,5,0)</f>
        <v>284.62979999999959</v>
      </c>
      <c r="AK147" s="14">
        <f t="shared" si="143"/>
        <v>67.944482895584372</v>
      </c>
      <c r="AL147" s="22">
        <f t="shared" si="112"/>
        <v>614.06687604314209</v>
      </c>
      <c r="AM147" s="60">
        <f t="shared" si="113"/>
        <v>900.02474542443497</v>
      </c>
      <c r="AN147" s="60">
        <f ca="1">AVERAGE(OFFSET($AM$3,0,0,'Données projet'!$E$10+1,1))-AVERAGE(OFFSET($H$3,0,0,'Données projet'!$E$10+1,1))</f>
        <v>515.72324585399997</v>
      </c>
      <c r="AO147" s="60">
        <f t="shared" si="144"/>
        <v>273.35778700650792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2.7134774427395314E-13</v>
      </c>
      <c r="BF147" s="14">
        <f t="shared" si="145"/>
        <v>3.6292411711343559E-12</v>
      </c>
      <c r="BG147" s="22">
        <f t="shared" si="115"/>
        <v>6.7935256943361388E-12</v>
      </c>
      <c r="BH147" s="60">
        <f t="shared" si="116"/>
        <v>285.9578693812997</v>
      </c>
      <c r="BI147" s="60">
        <f ca="1">AVERAGE(OFFSET($BH$3,0,0,'Données projet'!$E$11+1,1))-AVERAGE(OFFSET($H$3,0,0,'Données projet'!$E$11+1,1))</f>
        <v>336.25341821407534</v>
      </c>
      <c r="BJ147" s="60">
        <f t="shared" si="146"/>
        <v>360.3246221345039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0.22045788607700884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0.22045788607700884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1.0818439477588981E-13</v>
      </c>
      <c r="CA147" s="14">
        <f t="shared" si="147"/>
        <v>1.6104228458716316E-12</v>
      </c>
      <c r="CB147" s="22">
        <f t="shared" si="118"/>
        <v>2.9932409441277661E-12</v>
      </c>
      <c r="CC147" s="60">
        <f t="shared" si="119"/>
        <v>285.95786938129589</v>
      </c>
      <c r="CD147" s="60">
        <f ca="1">AVERAGE(OFFSET($CC$3,0,0,'Données projet'!$E$12+1,1))-AVERAGE(OFFSET($H$3,0,0,'Données projet'!$E$12+1,1))</f>
        <v>438.41611139377829</v>
      </c>
      <c r="CE147" s="60">
        <f t="shared" si="148"/>
        <v>345.17417065809605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-4.5224624045658861E-14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395.27840703467933</v>
      </c>
      <c r="CZ147" s="60">
        <f t="shared" si="150"/>
        <v>364.24192380053944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-2.8421709430404007E-13</v>
      </c>
      <c r="DP147" s="18">
        <f>DO147*VLOOKUP('Données projet'!$B$14,Paramètres!$A$1:$I$89,3,0)*VLOOKUP('Données projet'!$B$14,Paramètres!$A$1:$I$89,5,0)</f>
        <v>-2.2168933355715128E-13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308.76306523144956</v>
      </c>
      <c r="DU147" s="60">
        <f t="shared" si="152"/>
        <v>283.28099819802776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2.2737367544323206E-13</v>
      </c>
      <c r="EK147" s="18">
        <f>EJ147*VLOOKUP('Données projet'!$B$15,Paramètres!$A$1:$I$89,3,0)*VLOOKUP('Données projet'!$B$15,Paramètres!$A$1:$I$89,5,0)</f>
        <v>1.5252226148732008E-13</v>
      </c>
      <c r="EL147" s="14">
        <f t="shared" si="153"/>
        <v>2.1814502464536512E-12</v>
      </c>
      <c r="EM147" s="22">
        <f t="shared" si="127"/>
        <v>4.0650021179971913E-12</v>
      </c>
      <c r="EN147" s="60">
        <f t="shared" si="128"/>
        <v>285.95786938129697</v>
      </c>
      <c r="EO147" s="60">
        <f ca="1">AVERAGE(OFFSET($EN$3,0,0,'Données projet'!$E$15+1,1))-AVERAGE(OFFSET($H$3,0,0,'Données projet'!$E$15+1,1))</f>
        <v>375.49921531693559</v>
      </c>
      <c r="EP147" s="60">
        <f t="shared" si="154"/>
        <v>306.93934681565599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5.6843418860808015E-14</v>
      </c>
      <c r="FF147" s="18">
        <f>FE147*VLOOKUP('Données projet'!$B$16,Paramètres!$A$1:$I$89,3,0)*VLOOKUP('Données projet'!$B$16,Paramètres!$A$1:$I$89,5,0)</f>
        <v>4.6111381379887463E-14</v>
      </c>
      <c r="FG147" s="14">
        <f t="shared" si="155"/>
        <v>7.5804141040779151E-13</v>
      </c>
      <c r="FH147" s="22">
        <f t="shared" si="130"/>
        <v>1.4005661123635408E-12</v>
      </c>
      <c r="FI147" s="60">
        <f t="shared" si="131"/>
        <v>285.9578693812943</v>
      </c>
      <c r="FJ147" s="60">
        <f ca="1">AVERAGE(OFFSET($FI$3,0,0,'Données projet'!$E$16+1,1))-AVERAGE(OFFSET($H$3,0,0,'Données projet'!$E$16+1,1))</f>
        <v>308.58270639204238</v>
      </c>
      <c r="FK147" s="60">
        <f t="shared" si="156"/>
        <v>258.90832875500325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1.3</v>
      </c>
      <c r="FZ147" s="13">
        <f>IF('Données projet'!$A$244&gt;35,FZ146+FY147-GH146,IF(A147&lt;'Données projet'!$A$244,$FW$205^A147,IF(A147='Données projet'!$A$244,'Données projet'!$B$244,FZ146+FY147-GH146)))</f>
        <v>280.69999999999959</v>
      </c>
      <c r="GA147" s="18">
        <f>FZ147*VLOOKUP('Données projet'!$B$17,Paramètres!$A$1:$I$89,3,0)*VLOOKUP('Données projet'!$B$17,Paramètres!$A$1:$I$89,5,0)</f>
        <v>271.49303999999961</v>
      </c>
      <c r="GB147" s="14">
        <f t="shared" si="157"/>
        <v>65.166028290602782</v>
      </c>
      <c r="GC147" s="22">
        <f t="shared" si="133"/>
        <v>586.34787727279911</v>
      </c>
      <c r="GD147" s="60">
        <f t="shared" si="134"/>
        <v>872.30574665409199</v>
      </c>
      <c r="GE147" s="60">
        <f ca="1">AVERAGE(OFFSET($GD$3,0,0,'Données projet'!$E$17+1,1))-AVERAGE(OFFSET($H$3,0,0,'Données projet'!$E$17+1,1))</f>
        <v>495.77880062178235</v>
      </c>
      <c r="GF147" s="60">
        <f t="shared" si="158"/>
        <v>263.55891737750301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5.9</v>
      </c>
      <c r="N148" s="14">
        <f>IF('Données projet'!$A$36&gt;35,N147+M148-V147,IF(A148&lt;'Données projet'!$A$36,$K$205^A148,IF(A148='Données projet'!$A$36,'Données projet'!$B$36,N147+M148-V147)))</f>
        <v>456.50000000000034</v>
      </c>
      <c r="O148" s="14">
        <f>N148*VLOOKUP('Données projet'!$B$9,Paramètres!$A$1:$I$89,3,0)*VLOOKUP('Données projet'!$B$9,Paramètres!$A$1:$I$89,5,0)</f>
        <v>391.67700000000036</v>
      </c>
      <c r="P148" s="14">
        <f t="shared" si="141"/>
        <v>90.087245313928818</v>
      </c>
      <c r="Q148" s="22">
        <f t="shared" si="108"/>
        <v>839.07272725509335</v>
      </c>
      <c r="R148" s="60">
        <f t="shared" si="109"/>
        <v>1125.1585444468869</v>
      </c>
      <c r="S148" s="60">
        <f ca="1">AVERAGE(OFFSET($R$3,0,0,'Données projet'!$E$9+1,1))-AVERAGE(OFFSET($H$3,0,0,'Données projet'!$E$9+1,1))</f>
        <v>598.73855311281966</v>
      </c>
      <c r="T148" s="60">
        <f t="shared" si="142"/>
        <v>275.88160405468193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282</v>
      </c>
      <c r="AG148" s="13">
        <f>VLOOKUP(A148,'Données projet'!$A$61:$I$81,9,0)</f>
        <v>1.3</v>
      </c>
      <c r="AH148" s="13">
        <f t="array" ref="AH148">INDEX(AG:AG,MIN(IF(ISNUMBER(AG148:AG344),ROW(AG148:AG344),"")))</f>
        <v>1.3</v>
      </c>
      <c r="AI148" s="14">
        <f>IF('Données projet'!$A$62&gt;35,AI147+AH148-AQ147,IF(A148&lt;'Données projet'!$A$62,$AF$205^A148,IF(A148='Données projet'!$A$62,'Données projet'!$B$62,AI147+AH148-AQ147)))</f>
        <v>281.9999999999996</v>
      </c>
      <c r="AJ148" s="14">
        <f>AI148*VLOOKUP('Données projet'!$B$10,Paramètres!$A$1:$I$89,3,0)*VLOOKUP('Données projet'!$B$10,Paramètres!$A$1:$I$89,5,0)</f>
        <v>285.94799999999964</v>
      </c>
      <c r="AK148" s="14">
        <f t="shared" si="143"/>
        <v>68.222450362989363</v>
      </c>
      <c r="AL148" s="22">
        <f t="shared" si="112"/>
        <v>616.84686771553913</v>
      </c>
      <c r="AM148" s="60">
        <f t="shared" si="113"/>
        <v>902.93268490733271</v>
      </c>
      <c r="AN148" s="60">
        <f ca="1">AVERAGE(OFFSET($AM$3,0,0,'Données projet'!$E$10+1,1))-AVERAGE(OFFSET($H$3,0,0,'Données projet'!$E$10+1,1))</f>
        <v>515.72324585399997</v>
      </c>
      <c r="AO148" s="60">
        <f t="shared" si="144"/>
        <v>273.35778700650792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2.7134774427395314E-13</v>
      </c>
      <c r="BF148" s="14">
        <f t="shared" si="145"/>
        <v>3.6292411711343559E-12</v>
      </c>
      <c r="BG148" s="22">
        <f t="shared" si="115"/>
        <v>6.7935256943361388E-12</v>
      </c>
      <c r="BH148" s="60">
        <f t="shared" si="116"/>
        <v>286.0858171918004</v>
      </c>
      <c r="BI148" s="60">
        <f ca="1">AVERAGE(OFFSET($BH$3,0,0,'Données projet'!$E$11+1,1))-AVERAGE(OFFSET($H$3,0,0,'Données projet'!$E$11+1,1))</f>
        <v>336.25341821407534</v>
      </c>
      <c r="BJ148" s="60">
        <f t="shared" si="146"/>
        <v>360.3246221345039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0.21442945358885665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0.21442945358885665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1.0818439477588981E-13</v>
      </c>
      <c r="CA148" s="14">
        <f t="shared" si="147"/>
        <v>1.6104228458716316E-12</v>
      </c>
      <c r="CB148" s="22">
        <f t="shared" si="118"/>
        <v>2.9932409441277661E-12</v>
      </c>
      <c r="CC148" s="60">
        <f t="shared" si="119"/>
        <v>286.08581719179659</v>
      </c>
      <c r="CD148" s="60">
        <f ca="1">AVERAGE(OFFSET($CC$3,0,0,'Données projet'!$E$12+1,1))-AVERAGE(OFFSET($H$3,0,0,'Données projet'!$E$12+1,1))</f>
        <v>438.41611139377829</v>
      </c>
      <c r="CE148" s="60">
        <f t="shared" si="148"/>
        <v>345.17417065809605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-4.5224624045658861E-14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395.27840703467933</v>
      </c>
      <c r="CZ148" s="60">
        <f t="shared" si="150"/>
        <v>364.24192380053944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-2.8421709430404007E-13</v>
      </c>
      <c r="DP148" s="18">
        <f>DO148*VLOOKUP('Données projet'!$B$14,Paramètres!$A$1:$I$89,3,0)*VLOOKUP('Données projet'!$B$14,Paramètres!$A$1:$I$89,5,0)</f>
        <v>-2.2168933355715128E-13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308.76306523144956</v>
      </c>
      <c r="DU148" s="60">
        <f t="shared" si="152"/>
        <v>283.28099819802776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2.2737367544323206E-13</v>
      </c>
      <c r="EK148" s="18">
        <f>EJ148*VLOOKUP('Données projet'!$B$15,Paramètres!$A$1:$I$89,3,0)*VLOOKUP('Données projet'!$B$15,Paramètres!$A$1:$I$89,5,0)</f>
        <v>1.5252226148732008E-13</v>
      </c>
      <c r="EL148" s="14">
        <f t="shared" si="153"/>
        <v>2.1814502464536512E-12</v>
      </c>
      <c r="EM148" s="22">
        <f t="shared" si="127"/>
        <v>4.0650021179971913E-12</v>
      </c>
      <c r="EN148" s="60">
        <f t="shared" si="128"/>
        <v>286.08581719179767</v>
      </c>
      <c r="EO148" s="60">
        <f ca="1">AVERAGE(OFFSET($EN$3,0,0,'Données projet'!$E$15+1,1))-AVERAGE(OFFSET($H$3,0,0,'Données projet'!$E$15+1,1))</f>
        <v>375.49921531693559</v>
      </c>
      <c r="EP148" s="60">
        <f t="shared" si="154"/>
        <v>306.93934681565599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5.6843418860808015E-14</v>
      </c>
      <c r="FF148" s="18">
        <f>FE148*VLOOKUP('Données projet'!$B$16,Paramètres!$A$1:$I$89,3,0)*VLOOKUP('Données projet'!$B$16,Paramètres!$A$1:$I$89,5,0)</f>
        <v>4.6111381379887463E-14</v>
      </c>
      <c r="FG148" s="14">
        <f t="shared" si="155"/>
        <v>7.5804141040779151E-13</v>
      </c>
      <c r="FH148" s="22">
        <f t="shared" si="130"/>
        <v>1.4005661123635408E-12</v>
      </c>
      <c r="FI148" s="60">
        <f t="shared" si="131"/>
        <v>286.085817191795</v>
      </c>
      <c r="FJ148" s="60">
        <f ca="1">AVERAGE(OFFSET($FI$3,0,0,'Données projet'!$E$16+1,1))-AVERAGE(OFFSET($H$3,0,0,'Données projet'!$E$16+1,1))</f>
        <v>308.58270639204238</v>
      </c>
      <c r="FK148" s="60">
        <f t="shared" si="156"/>
        <v>258.90832875500325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>
        <f>VLOOKUP(A148,'Données projet'!$A$243:$I$263,2,0)</f>
        <v>282</v>
      </c>
      <c r="FX148" s="13">
        <f>VLOOKUP(A148,'Données projet'!$A$243:$I$263,9,0)</f>
        <v>1.3</v>
      </c>
      <c r="FY148" s="13">
        <f t="array" ref="FY148">INDEX(FX:FX,MIN(IF(ISNUMBER(FX148:FX344),ROW(FX148:FX344),"")))</f>
        <v>1.3</v>
      </c>
      <c r="FZ148" s="13">
        <f>IF('Données projet'!$A$244&gt;35,FZ147+FY148-GH147,IF(A148&lt;'Données projet'!$A$244,$FW$205^A148,IF(A148='Données projet'!$A$244,'Données projet'!$B$244,FZ147+FY148-GH147)))</f>
        <v>281.9999999999996</v>
      </c>
      <c r="GA148" s="18">
        <f>FZ148*VLOOKUP('Données projet'!$B$17,Paramètres!$A$1:$I$89,3,0)*VLOOKUP('Données projet'!$B$17,Paramètres!$A$1:$I$89,5,0)</f>
        <v>272.75039999999962</v>
      </c>
      <c r="GB148" s="14">
        <f t="shared" si="157"/>
        <v>65.432628830820576</v>
      </c>
      <c r="GC148" s="22">
        <f t="shared" si="133"/>
        <v>589.00210854701174</v>
      </c>
      <c r="GD148" s="60">
        <f t="shared" si="134"/>
        <v>875.08792573880532</v>
      </c>
      <c r="GE148" s="60">
        <f ca="1">AVERAGE(OFFSET($GD$3,0,0,'Données projet'!$E$17+1,1))-AVERAGE(OFFSET($H$3,0,0,'Données projet'!$E$17+1,1))</f>
        <v>495.77880062178235</v>
      </c>
      <c r="GF148" s="60">
        <f t="shared" si="158"/>
        <v>263.55891737750301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5.9</v>
      </c>
      <c r="N149" s="14">
        <f>IF('Données projet'!$A$36&gt;35,N148+M149-V148,IF(A149&lt;'Données projet'!$A$36,$K$205^A149,IF(A149='Données projet'!$A$36,'Données projet'!$B$36,N148+M149-V148)))</f>
        <v>462.40000000000032</v>
      </c>
      <c r="O149" s="14">
        <f>N149*VLOOKUP('Données projet'!$B$9,Paramètres!$A$1:$I$89,3,0)*VLOOKUP('Données projet'!$B$9,Paramètres!$A$1:$I$89,5,0)</f>
        <v>396.73920000000032</v>
      </c>
      <c r="P149" s="14">
        <f t="shared" si="141"/>
        <v>91.115273461910576</v>
      </c>
      <c r="Q149" s="22">
        <f t="shared" si="108"/>
        <v>849.67987461282803</v>
      </c>
      <c r="R149" s="60">
        <f t="shared" si="109"/>
        <v>1135.8914200066588</v>
      </c>
      <c r="S149" s="60">
        <f ca="1">AVERAGE(OFFSET($R$3,0,0,'Données projet'!$E$9+1,1))-AVERAGE(OFFSET($H$3,0,0,'Données projet'!$E$9+1,1))</f>
        <v>598.73855311281966</v>
      </c>
      <c r="T149" s="60">
        <f t="shared" si="142"/>
        <v>275.88160405468193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IF('Données projet'!$A$62&gt;35,AI148+AH149-AQ148,IF(A149&lt;'Données projet'!$A$62,$AF$205^A149,IF(A149='Données projet'!$A$62,'Données projet'!$B$62,AI148+AH149-AQ148)))</f>
        <v>284.19999999999959</v>
      </c>
      <c r="AJ149" s="14">
        <f>AI149*VLOOKUP('Données projet'!$B$10,Paramètres!$A$1:$I$89,3,0)*VLOOKUP('Données projet'!$B$10,Paramètres!$A$1:$I$89,5,0)</f>
        <v>288.17879999999957</v>
      </c>
      <c r="AK149" s="14">
        <f t="shared" si="143"/>
        <v>68.692517544343687</v>
      </c>
      <c r="AL149" s="22">
        <f t="shared" si="112"/>
        <v>621.55087805639778</v>
      </c>
      <c r="AM149" s="60">
        <f t="shared" si="113"/>
        <v>907.76242345022843</v>
      </c>
      <c r="AN149" s="60">
        <f ca="1">AVERAGE(OFFSET($AM$3,0,0,'Données projet'!$E$10+1,1))-AVERAGE(OFFSET($H$3,0,0,'Données projet'!$E$10+1,1))</f>
        <v>515.72324585399997</v>
      </c>
      <c r="AO149" s="60">
        <f t="shared" si="144"/>
        <v>273.35778700650792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2.7134774427395314E-13</v>
      </c>
      <c r="BF149" s="14">
        <f t="shared" si="145"/>
        <v>3.6292411711343559E-12</v>
      </c>
      <c r="BG149" s="22">
        <f t="shared" si="115"/>
        <v>6.7935256943361388E-12</v>
      </c>
      <c r="BH149" s="60">
        <f t="shared" si="116"/>
        <v>286.21154539383747</v>
      </c>
      <c r="BI149" s="60">
        <f ca="1">AVERAGE(OFFSET($BH$3,0,0,'Données projet'!$E$11+1,1))-AVERAGE(OFFSET($H$3,0,0,'Données projet'!$E$11+1,1))</f>
        <v>336.25341821407534</v>
      </c>
      <c r="BJ149" s="60">
        <f t="shared" si="146"/>
        <v>360.3246221345039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0.20856586890411449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0.20856586890411449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1.0818439477588981E-13</v>
      </c>
      <c r="CA149" s="14">
        <f t="shared" si="147"/>
        <v>1.6104228458716316E-12</v>
      </c>
      <c r="CB149" s="22">
        <f t="shared" si="118"/>
        <v>2.9932409441277661E-12</v>
      </c>
      <c r="CC149" s="60">
        <f t="shared" si="119"/>
        <v>286.21154539383366</v>
      </c>
      <c r="CD149" s="60">
        <f ca="1">AVERAGE(OFFSET($CC$3,0,0,'Données projet'!$E$12+1,1))-AVERAGE(OFFSET($H$3,0,0,'Données projet'!$E$12+1,1))</f>
        <v>438.41611139377829</v>
      </c>
      <c r="CE149" s="60">
        <f t="shared" si="148"/>
        <v>345.17417065809605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-4.5224624045658861E-14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395.27840703467933</v>
      </c>
      <c r="CZ149" s="60">
        <f t="shared" si="150"/>
        <v>364.24192380053944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-2.8421709430404007E-13</v>
      </c>
      <c r="DP149" s="18">
        <f>DO149*VLOOKUP('Données projet'!$B$14,Paramètres!$A$1:$I$89,3,0)*VLOOKUP('Données projet'!$B$14,Paramètres!$A$1:$I$89,5,0)</f>
        <v>-2.2168933355715128E-13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308.76306523144956</v>
      </c>
      <c r="DU149" s="60">
        <f t="shared" si="152"/>
        <v>283.28099819802776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2.2737367544323206E-13</v>
      </c>
      <c r="EK149" s="18">
        <f>EJ149*VLOOKUP('Données projet'!$B$15,Paramètres!$A$1:$I$89,3,0)*VLOOKUP('Données projet'!$B$15,Paramètres!$A$1:$I$89,5,0)</f>
        <v>1.5252226148732008E-13</v>
      </c>
      <c r="EL149" s="14">
        <f t="shared" si="153"/>
        <v>2.1814502464536512E-12</v>
      </c>
      <c r="EM149" s="22">
        <f t="shared" si="127"/>
        <v>4.0650021179971913E-12</v>
      </c>
      <c r="EN149" s="60">
        <f t="shared" si="128"/>
        <v>286.21154539383474</v>
      </c>
      <c r="EO149" s="60">
        <f ca="1">AVERAGE(OFFSET($EN$3,0,0,'Données projet'!$E$15+1,1))-AVERAGE(OFFSET($H$3,0,0,'Données projet'!$E$15+1,1))</f>
        <v>375.49921531693559</v>
      </c>
      <c r="EP149" s="60">
        <f t="shared" si="154"/>
        <v>306.93934681565599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5.6843418860808015E-14</v>
      </c>
      <c r="FF149" s="18">
        <f>FE149*VLOOKUP('Données projet'!$B$16,Paramètres!$A$1:$I$89,3,0)*VLOOKUP('Données projet'!$B$16,Paramètres!$A$1:$I$89,5,0)</f>
        <v>4.6111381379887463E-14</v>
      </c>
      <c r="FG149" s="14">
        <f t="shared" si="155"/>
        <v>7.5804141040779151E-13</v>
      </c>
      <c r="FH149" s="22">
        <f t="shared" si="130"/>
        <v>1.4005661123635408E-12</v>
      </c>
      <c r="FI149" s="60">
        <f t="shared" si="131"/>
        <v>286.21154539383207</v>
      </c>
      <c r="FJ149" s="60">
        <f ca="1">AVERAGE(OFFSET($FI$3,0,0,'Données projet'!$E$16+1,1))-AVERAGE(OFFSET($H$3,0,0,'Données projet'!$E$16+1,1))</f>
        <v>308.58270639204238</v>
      </c>
      <c r="FK149" s="60">
        <f t="shared" si="156"/>
        <v>258.90832875500325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2.2000000000000002</v>
      </c>
      <c r="FZ149" s="13">
        <f>IF('Données projet'!$A$244&gt;35,FZ148+FY149-GH148,IF(A149&lt;'Données projet'!$A$244,$FW$205^A149,IF(A149='Données projet'!$A$244,'Données projet'!$B$244,FZ148+FY149-GH148)))</f>
        <v>284.19999999999959</v>
      </c>
      <c r="GA149" s="18">
        <f>FZ149*VLOOKUP('Données projet'!$B$17,Paramètres!$A$1:$I$89,3,0)*VLOOKUP('Données projet'!$B$17,Paramètres!$A$1:$I$89,5,0)</f>
        <v>274.87823999999961</v>
      </c>
      <c r="GB149" s="14">
        <f t="shared" si="157"/>
        <v>65.883473548936905</v>
      </c>
      <c r="GC149" s="22">
        <f t="shared" si="133"/>
        <v>593.49331776439783</v>
      </c>
      <c r="GD149" s="60">
        <f t="shared" si="134"/>
        <v>879.70486315822848</v>
      </c>
      <c r="GE149" s="60">
        <f ca="1">AVERAGE(OFFSET($GD$3,0,0,'Données projet'!$E$17+1,1))-AVERAGE(OFFSET($H$3,0,0,'Données projet'!$E$17+1,1))</f>
        <v>495.77880062178235</v>
      </c>
      <c r="GF149" s="60">
        <f t="shared" si="158"/>
        <v>263.55891737750301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5.9</v>
      </c>
      <c r="N150" s="14">
        <f>IF('Données projet'!$A$36&gt;35,N149+M150-V149,IF(A150&lt;'Données projet'!$A$36,$K$205^A150,IF(A150='Données projet'!$A$36,'Données projet'!$B$36,N149+M150-V149)))</f>
        <v>468.3000000000003</v>
      </c>
      <c r="O150" s="14">
        <f>N150*VLOOKUP('Données projet'!$B$9,Paramètres!$A$1:$I$89,3,0)*VLOOKUP('Données projet'!$B$9,Paramètres!$A$1:$I$89,5,0)</f>
        <v>401.80140000000029</v>
      </c>
      <c r="P150" s="14">
        <f t="shared" si="141"/>
        <v>92.141775864155093</v>
      </c>
      <c r="Q150" s="22">
        <f t="shared" si="108"/>
        <v>860.28436463007063</v>
      </c>
      <c r="R150" s="60">
        <f t="shared" si="109"/>
        <v>1146.619457122719</v>
      </c>
      <c r="S150" s="60">
        <f ca="1">AVERAGE(OFFSET($R$3,0,0,'Données projet'!$E$9+1,1))-AVERAGE(OFFSET($H$3,0,0,'Données projet'!$E$9+1,1))</f>
        <v>598.73855311281966</v>
      </c>
      <c r="T150" s="60">
        <f t="shared" si="142"/>
        <v>275.88160405468193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IF('Données projet'!$A$62&gt;35,AI149+AH150-AQ149,IF(A150&lt;'Données projet'!$A$62,$AF$205^A150,IF(A150='Données projet'!$A$62,'Données projet'!$B$62,AI149+AH150-AQ149)))</f>
        <v>286.39999999999958</v>
      </c>
      <c r="AJ150" s="14">
        <f>AI150*VLOOKUP('Données projet'!$B$10,Paramètres!$A$1:$I$89,3,0)*VLOOKUP('Données projet'!$B$10,Paramètres!$A$1:$I$89,5,0)</f>
        <v>290.40959999999961</v>
      </c>
      <c r="AK150" s="14">
        <f t="shared" si="143"/>
        <v>69.162161355328763</v>
      </c>
      <c r="AL150" s="22">
        <f t="shared" si="112"/>
        <v>626.25415102719683</v>
      </c>
      <c r="AM150" s="60">
        <f t="shared" si="113"/>
        <v>912.58924351984524</v>
      </c>
      <c r="AN150" s="60">
        <f ca="1">AVERAGE(OFFSET($AM$3,0,0,'Données projet'!$E$10+1,1))-AVERAGE(OFFSET($H$3,0,0,'Données projet'!$E$10+1,1))</f>
        <v>515.72324585399997</v>
      </c>
      <c r="AO150" s="60">
        <f t="shared" si="144"/>
        <v>273.35778700650792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2.7134774427395314E-13</v>
      </c>
      <c r="BF150" s="14">
        <f t="shared" si="145"/>
        <v>3.6292411711343559E-12</v>
      </c>
      <c r="BG150" s="22">
        <f t="shared" si="115"/>
        <v>6.7935256943361388E-12</v>
      </c>
      <c r="BH150" s="60">
        <f t="shared" si="116"/>
        <v>286.33509249265524</v>
      </c>
      <c r="BI150" s="60">
        <f ca="1">AVERAGE(OFFSET($BH$3,0,0,'Données projet'!$E$11+1,1))-AVERAGE(OFFSET($H$3,0,0,'Données projet'!$E$11+1,1))</f>
        <v>336.25341821407534</v>
      </c>
      <c r="BJ150" s="60">
        <f t="shared" si="146"/>
        <v>360.3246221345039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0.20286262425092913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0.20286262425092913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1.0818439477588981E-13</v>
      </c>
      <c r="CA150" s="14">
        <f t="shared" si="147"/>
        <v>1.6104228458716316E-12</v>
      </c>
      <c r="CB150" s="22">
        <f t="shared" si="118"/>
        <v>2.9932409441277661E-12</v>
      </c>
      <c r="CC150" s="60">
        <f t="shared" si="119"/>
        <v>286.33509249265143</v>
      </c>
      <c r="CD150" s="60">
        <f ca="1">AVERAGE(OFFSET($CC$3,0,0,'Données projet'!$E$12+1,1))-AVERAGE(OFFSET($H$3,0,0,'Données projet'!$E$12+1,1))</f>
        <v>438.41611139377829</v>
      </c>
      <c r="CE150" s="60">
        <f t="shared" si="148"/>
        <v>345.17417065809605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-4.5224624045658861E-14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395.27840703467933</v>
      </c>
      <c r="CZ150" s="60">
        <f t="shared" si="150"/>
        <v>364.24192380053944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-2.8421709430404007E-13</v>
      </c>
      <c r="DP150" s="18">
        <f>DO150*VLOOKUP('Données projet'!$B$14,Paramètres!$A$1:$I$89,3,0)*VLOOKUP('Données projet'!$B$14,Paramètres!$A$1:$I$89,5,0)</f>
        <v>-2.2168933355715128E-13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308.76306523144956</v>
      </c>
      <c r="DU150" s="60">
        <f t="shared" si="152"/>
        <v>283.28099819802776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2.2737367544323206E-13</v>
      </c>
      <c r="EK150" s="18">
        <f>EJ150*VLOOKUP('Données projet'!$B$15,Paramètres!$A$1:$I$89,3,0)*VLOOKUP('Données projet'!$B$15,Paramètres!$A$1:$I$89,5,0)</f>
        <v>1.5252226148732008E-13</v>
      </c>
      <c r="EL150" s="14">
        <f t="shared" si="153"/>
        <v>2.1814502464536512E-12</v>
      </c>
      <c r="EM150" s="22">
        <f t="shared" si="127"/>
        <v>4.0650021179971913E-12</v>
      </c>
      <c r="EN150" s="60">
        <f t="shared" si="128"/>
        <v>286.33509249265251</v>
      </c>
      <c r="EO150" s="60">
        <f ca="1">AVERAGE(OFFSET($EN$3,0,0,'Données projet'!$E$15+1,1))-AVERAGE(OFFSET($H$3,0,0,'Données projet'!$E$15+1,1))</f>
        <v>375.49921531693559</v>
      </c>
      <c r="EP150" s="60">
        <f t="shared" si="154"/>
        <v>306.93934681565599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5.6843418860808015E-14</v>
      </c>
      <c r="FF150" s="18">
        <f>FE150*VLOOKUP('Données projet'!$B$16,Paramètres!$A$1:$I$89,3,0)*VLOOKUP('Données projet'!$B$16,Paramètres!$A$1:$I$89,5,0)</f>
        <v>4.6111381379887463E-14</v>
      </c>
      <c r="FG150" s="14">
        <f t="shared" si="155"/>
        <v>7.5804141040779151E-13</v>
      </c>
      <c r="FH150" s="22">
        <f t="shared" si="130"/>
        <v>1.4005661123635408E-12</v>
      </c>
      <c r="FI150" s="60">
        <f t="shared" si="131"/>
        <v>286.33509249264984</v>
      </c>
      <c r="FJ150" s="60">
        <f ca="1">AVERAGE(OFFSET($FI$3,0,0,'Données projet'!$E$16+1,1))-AVERAGE(OFFSET($H$3,0,0,'Données projet'!$E$16+1,1))</f>
        <v>308.58270639204238</v>
      </c>
      <c r="FK150" s="60">
        <f t="shared" si="156"/>
        <v>258.90832875500325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2.2000000000000002</v>
      </c>
      <c r="FZ150" s="13">
        <f>IF('Données projet'!$A$244&gt;35,FZ149+FY150-GH149,IF(A150&lt;'Données projet'!$A$244,$FW$205^A150,IF(A150='Données projet'!$A$244,'Données projet'!$B$244,FZ149+FY150-GH149)))</f>
        <v>286.39999999999958</v>
      </c>
      <c r="GA150" s="18">
        <f>FZ150*VLOOKUP('Données projet'!$B$17,Paramètres!$A$1:$I$89,3,0)*VLOOKUP('Données projet'!$B$17,Paramètres!$A$1:$I$89,5,0)</f>
        <v>277.0060799999996</v>
      </c>
      <c r="GB150" s="14">
        <f t="shared" si="157"/>
        <v>66.333912209573896</v>
      </c>
      <c r="GC150" s="22">
        <f t="shared" si="133"/>
        <v>597.98381976500718</v>
      </c>
      <c r="GD150" s="60">
        <f t="shared" si="134"/>
        <v>884.3189122576556</v>
      </c>
      <c r="GE150" s="60">
        <f ca="1">AVERAGE(OFFSET($GD$3,0,0,'Données projet'!$E$17+1,1))-AVERAGE(OFFSET($H$3,0,0,'Données projet'!$E$17+1,1))</f>
        <v>495.77880062178235</v>
      </c>
      <c r="GF150" s="60">
        <f t="shared" si="158"/>
        <v>263.55891737750301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5.9</v>
      </c>
      <c r="N151" s="14">
        <f>IF('Données projet'!$A$36&gt;35,N150+M151-V150,IF(A151&lt;'Données projet'!$A$36,$K$205^A151,IF(A151='Données projet'!$A$36,'Données projet'!$B$36,N150+M151-V150)))</f>
        <v>474.20000000000027</v>
      </c>
      <c r="O151" s="14">
        <f>N151*VLOOKUP('Données projet'!$B$9,Paramètres!$A$1:$I$89,3,0)*VLOOKUP('Données projet'!$B$9,Paramètres!$A$1:$I$89,5,0)</f>
        <v>406.8636000000003</v>
      </c>
      <c r="P151" s="14">
        <f t="shared" si="141"/>
        <v>93.166773966082019</v>
      </c>
      <c r="Q151" s="22">
        <f t="shared" si="108"/>
        <v>870.88623465759338</v>
      </c>
      <c r="R151" s="60">
        <f t="shared" si="109"/>
        <v>1157.342730983105</v>
      </c>
      <c r="S151" s="60">
        <f ca="1">AVERAGE(OFFSET($R$3,0,0,'Données projet'!$E$9+1,1))-AVERAGE(OFFSET($H$3,0,0,'Données projet'!$E$9+1,1))</f>
        <v>598.73855311281966</v>
      </c>
      <c r="T151" s="60">
        <f t="shared" si="142"/>
        <v>275.88160405468193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IF('Données projet'!$A$62&gt;35,AI150+AH151-AQ150,IF(A151&lt;'Données projet'!$A$62,$AF$205^A151,IF(A151='Données projet'!$A$62,'Données projet'!$B$62,AI150+AH151-AQ150)))</f>
        <v>288.59999999999957</v>
      </c>
      <c r="AJ151" s="14">
        <f>AI151*VLOOKUP('Données projet'!$B$10,Paramètres!$A$1:$I$89,3,0)*VLOOKUP('Données projet'!$B$10,Paramètres!$A$1:$I$89,5,0)</f>
        <v>292.64039999999954</v>
      </c>
      <c r="AK151" s="14">
        <f t="shared" si="143"/>
        <v>69.631385425089945</v>
      </c>
      <c r="AL151" s="22">
        <f t="shared" si="112"/>
        <v>630.95669294869742</v>
      </c>
      <c r="AM151" s="60">
        <f t="shared" si="113"/>
        <v>917.41318927420912</v>
      </c>
      <c r="AN151" s="60">
        <f ca="1">AVERAGE(OFFSET($AM$3,0,0,'Données projet'!$E$10+1,1))-AVERAGE(OFFSET($H$3,0,0,'Données projet'!$E$10+1,1))</f>
        <v>515.72324585399997</v>
      </c>
      <c r="AO151" s="60">
        <f t="shared" si="144"/>
        <v>273.35778700650792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2.7134774427395314E-13</v>
      </c>
      <c r="BF151" s="14">
        <f t="shared" si="145"/>
        <v>3.6292411711343559E-12</v>
      </c>
      <c r="BG151" s="22">
        <f t="shared" si="115"/>
        <v>6.7935256943361388E-12</v>
      </c>
      <c r="BH151" s="60">
        <f t="shared" si="116"/>
        <v>286.45649632551851</v>
      </c>
      <c r="BI151" s="60">
        <f ca="1">AVERAGE(OFFSET($BH$3,0,0,'Données projet'!$E$11+1,1))-AVERAGE(OFFSET($H$3,0,0,'Données projet'!$E$11+1,1))</f>
        <v>336.25341821407534</v>
      </c>
      <c r="BJ151" s="60">
        <f t="shared" si="146"/>
        <v>360.3246221345039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0.19731533512270572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0.19731533512270572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1.0818439477588981E-13</v>
      </c>
      <c r="CA151" s="14">
        <f t="shared" si="147"/>
        <v>1.6104228458716316E-12</v>
      </c>
      <c r="CB151" s="22">
        <f t="shared" si="118"/>
        <v>2.9932409441277661E-12</v>
      </c>
      <c r="CC151" s="60">
        <f t="shared" si="119"/>
        <v>286.45649632551471</v>
      </c>
      <c r="CD151" s="60">
        <f ca="1">AVERAGE(OFFSET($CC$3,0,0,'Données projet'!$E$12+1,1))-AVERAGE(OFFSET($H$3,0,0,'Données projet'!$E$12+1,1))</f>
        <v>438.41611139377829</v>
      </c>
      <c r="CE151" s="60">
        <f t="shared" si="148"/>
        <v>345.17417065809605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-4.5224624045658861E-14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395.27840703467933</v>
      </c>
      <c r="CZ151" s="60">
        <f t="shared" si="150"/>
        <v>364.24192380053944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-2.8421709430404007E-13</v>
      </c>
      <c r="DP151" s="18">
        <f>DO151*VLOOKUP('Données projet'!$B$14,Paramètres!$A$1:$I$89,3,0)*VLOOKUP('Données projet'!$B$14,Paramètres!$A$1:$I$89,5,0)</f>
        <v>-2.2168933355715128E-13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308.76306523144956</v>
      </c>
      <c r="DU151" s="60">
        <f t="shared" si="152"/>
        <v>283.28099819802776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2.2737367544323206E-13</v>
      </c>
      <c r="EK151" s="18">
        <f>EJ151*VLOOKUP('Données projet'!$B$15,Paramètres!$A$1:$I$89,3,0)*VLOOKUP('Données projet'!$B$15,Paramètres!$A$1:$I$89,5,0)</f>
        <v>1.5252226148732008E-13</v>
      </c>
      <c r="EL151" s="14">
        <f t="shared" si="153"/>
        <v>2.1814502464536512E-12</v>
      </c>
      <c r="EM151" s="22">
        <f t="shared" si="127"/>
        <v>4.0650021179971913E-12</v>
      </c>
      <c r="EN151" s="60">
        <f t="shared" si="128"/>
        <v>286.45649632551579</v>
      </c>
      <c r="EO151" s="60">
        <f ca="1">AVERAGE(OFFSET($EN$3,0,0,'Données projet'!$E$15+1,1))-AVERAGE(OFFSET($H$3,0,0,'Données projet'!$E$15+1,1))</f>
        <v>375.49921531693559</v>
      </c>
      <c r="EP151" s="60">
        <f t="shared" si="154"/>
        <v>306.93934681565599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5.6843418860808015E-14</v>
      </c>
      <c r="FF151" s="18">
        <f>FE151*VLOOKUP('Données projet'!$B$16,Paramètres!$A$1:$I$89,3,0)*VLOOKUP('Données projet'!$B$16,Paramètres!$A$1:$I$89,5,0)</f>
        <v>4.6111381379887463E-14</v>
      </c>
      <c r="FG151" s="14">
        <f t="shared" si="155"/>
        <v>7.5804141040779151E-13</v>
      </c>
      <c r="FH151" s="22">
        <f t="shared" si="130"/>
        <v>1.4005661123635408E-12</v>
      </c>
      <c r="FI151" s="60">
        <f t="shared" si="131"/>
        <v>286.45649632551311</v>
      </c>
      <c r="FJ151" s="60">
        <f ca="1">AVERAGE(OFFSET($FI$3,0,0,'Données projet'!$E$16+1,1))-AVERAGE(OFFSET($H$3,0,0,'Données projet'!$E$16+1,1))</f>
        <v>308.58270639204238</v>
      </c>
      <c r="FK151" s="60">
        <f t="shared" si="156"/>
        <v>258.90832875500325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2.2000000000000002</v>
      </c>
      <c r="FZ151" s="13">
        <f>IF('Données projet'!$A$244&gt;35,FZ150+FY151-GH150,IF(A151&lt;'Données projet'!$A$244,$FW$205^A151,IF(A151='Données projet'!$A$244,'Données projet'!$B$244,FZ150+FY151-GH150)))</f>
        <v>288.59999999999957</v>
      </c>
      <c r="GA151" s="18">
        <f>FZ151*VLOOKUP('Données projet'!$B$17,Paramètres!$A$1:$I$89,3,0)*VLOOKUP('Données projet'!$B$17,Paramètres!$A$1:$I$89,5,0)</f>
        <v>279.13391999999959</v>
      </c>
      <c r="GB151" s="14">
        <f t="shared" si="157"/>
        <v>66.783948293470274</v>
      </c>
      <c r="GC151" s="22">
        <f t="shared" si="133"/>
        <v>602.47362061112665</v>
      </c>
      <c r="GD151" s="60">
        <f t="shared" si="134"/>
        <v>888.93011693663834</v>
      </c>
      <c r="GE151" s="60">
        <f ca="1">AVERAGE(OFFSET($GD$3,0,0,'Données projet'!$E$17+1,1))-AVERAGE(OFFSET($H$3,0,0,'Données projet'!$E$17+1,1))</f>
        <v>495.77880062178235</v>
      </c>
      <c r="GF151" s="60">
        <f t="shared" si="158"/>
        <v>263.55891737750301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5.9</v>
      </c>
      <c r="N152" s="14">
        <f>IF('Données projet'!$A$36&gt;35,N151+M152-V151,IF(A152&lt;'Données projet'!$A$36,$K$205^A152,IF(A152='Données projet'!$A$36,'Données projet'!$B$36,N151+M152-V151)))</f>
        <v>480.10000000000025</v>
      </c>
      <c r="O152" s="14">
        <f>N152*VLOOKUP('Données projet'!$B$9,Paramètres!$A$1:$I$89,3,0)*VLOOKUP('Données projet'!$B$9,Paramètres!$A$1:$I$89,5,0)</f>
        <v>411.92580000000027</v>
      </c>
      <c r="P152" s="14">
        <f t="shared" si="141"/>
        <v>94.190288648770007</v>
      </c>
      <c r="Q152" s="22">
        <f t="shared" si="108"/>
        <v>881.48552106327486</v>
      </c>
      <c r="R152" s="60">
        <f t="shared" si="109"/>
        <v>1168.0613151365678</v>
      </c>
      <c r="S152" s="60">
        <f ca="1">AVERAGE(OFFSET($R$3,0,0,'Données projet'!$E$9+1,1))-AVERAGE(OFFSET($H$3,0,0,'Données projet'!$E$9+1,1))</f>
        <v>598.73855311281966</v>
      </c>
      <c r="T152" s="60">
        <f t="shared" si="142"/>
        <v>275.88160405468193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IF('Données projet'!$A$62&gt;35,AI151+AH152-AQ151,IF(A152&lt;'Données projet'!$A$62,$AF$205^A152,IF(A152='Données projet'!$A$62,'Données projet'!$B$62,AI151+AH152-AQ151)))</f>
        <v>290.79999999999956</v>
      </c>
      <c r="AJ152" s="14">
        <f>AI152*VLOOKUP('Données projet'!$B$10,Paramètres!$A$1:$I$89,3,0)*VLOOKUP('Données projet'!$B$10,Paramètres!$A$1:$I$89,5,0)</f>
        <v>294.87119999999959</v>
      </c>
      <c r="AK152" s="14">
        <f t="shared" si="143"/>
        <v>70.100193324247002</v>
      </c>
      <c r="AL152" s="22">
        <f t="shared" si="112"/>
        <v>635.65851003972955</v>
      </c>
      <c r="AM152" s="60">
        <f t="shared" si="113"/>
        <v>922.23430411302263</v>
      </c>
      <c r="AN152" s="60">
        <f ca="1">AVERAGE(OFFSET($AM$3,0,0,'Données projet'!$E$10+1,1))-AVERAGE(OFFSET($H$3,0,0,'Données projet'!$E$10+1,1))</f>
        <v>515.72324585399997</v>
      </c>
      <c r="AO152" s="60">
        <f t="shared" si="144"/>
        <v>273.35778700650792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2.7134774427395314E-13</v>
      </c>
      <c r="BF152" s="14">
        <f t="shared" si="145"/>
        <v>3.6292411711343559E-12</v>
      </c>
      <c r="BG152" s="22">
        <f t="shared" si="115"/>
        <v>6.7935256943361388E-12</v>
      </c>
      <c r="BH152" s="60">
        <f t="shared" si="116"/>
        <v>286.5757940732999</v>
      </c>
      <c r="BI152" s="60">
        <f ca="1">AVERAGE(OFFSET($BH$3,0,0,'Données projet'!$E$11+1,1))-AVERAGE(OFFSET($H$3,0,0,'Données projet'!$E$11+1,1))</f>
        <v>336.25341821407534</v>
      </c>
      <c r="BJ152" s="60">
        <f t="shared" si="146"/>
        <v>360.3246221345039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0.19191973690741282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0.19191973690741282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1.0818439477588981E-13</v>
      </c>
      <c r="CA152" s="14">
        <f t="shared" si="147"/>
        <v>1.6104228458716316E-12</v>
      </c>
      <c r="CB152" s="22">
        <f t="shared" si="118"/>
        <v>2.9932409441277661E-12</v>
      </c>
      <c r="CC152" s="60">
        <f t="shared" si="119"/>
        <v>286.57579407329609</v>
      </c>
      <c r="CD152" s="60">
        <f ca="1">AVERAGE(OFFSET($CC$3,0,0,'Données projet'!$E$12+1,1))-AVERAGE(OFFSET($H$3,0,0,'Données projet'!$E$12+1,1))</f>
        <v>438.41611139377829</v>
      </c>
      <c r="CE152" s="60">
        <f t="shared" si="148"/>
        <v>345.17417065809605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-4.5224624045658861E-14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395.27840703467933</v>
      </c>
      <c r="CZ152" s="60">
        <f t="shared" si="150"/>
        <v>364.24192380053944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-2.8421709430404007E-13</v>
      </c>
      <c r="DP152" s="18">
        <f>DO152*VLOOKUP('Données projet'!$B$14,Paramètres!$A$1:$I$89,3,0)*VLOOKUP('Données projet'!$B$14,Paramètres!$A$1:$I$89,5,0)</f>
        <v>-2.2168933355715128E-13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308.76306523144956</v>
      </c>
      <c r="DU152" s="60">
        <f t="shared" si="152"/>
        <v>283.28099819802776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2.2737367544323206E-13</v>
      </c>
      <c r="EK152" s="18">
        <f>EJ152*VLOOKUP('Données projet'!$B$15,Paramètres!$A$1:$I$89,3,0)*VLOOKUP('Données projet'!$B$15,Paramètres!$A$1:$I$89,5,0)</f>
        <v>1.5252226148732008E-13</v>
      </c>
      <c r="EL152" s="14">
        <f t="shared" si="153"/>
        <v>2.1814502464536512E-12</v>
      </c>
      <c r="EM152" s="22">
        <f t="shared" si="127"/>
        <v>4.0650021179971913E-12</v>
      </c>
      <c r="EN152" s="60">
        <f t="shared" si="128"/>
        <v>286.57579407329717</v>
      </c>
      <c r="EO152" s="60">
        <f ca="1">AVERAGE(OFFSET($EN$3,0,0,'Données projet'!$E$15+1,1))-AVERAGE(OFFSET($H$3,0,0,'Données projet'!$E$15+1,1))</f>
        <v>375.49921531693559</v>
      </c>
      <c r="EP152" s="60">
        <f t="shared" si="154"/>
        <v>306.93934681565599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5.6843418860808015E-14</v>
      </c>
      <c r="FF152" s="18">
        <f>FE152*VLOOKUP('Données projet'!$B$16,Paramètres!$A$1:$I$89,3,0)*VLOOKUP('Données projet'!$B$16,Paramètres!$A$1:$I$89,5,0)</f>
        <v>4.6111381379887463E-14</v>
      </c>
      <c r="FG152" s="14">
        <f t="shared" si="155"/>
        <v>7.5804141040779151E-13</v>
      </c>
      <c r="FH152" s="22">
        <f t="shared" si="130"/>
        <v>1.4005661123635408E-12</v>
      </c>
      <c r="FI152" s="60">
        <f t="shared" si="131"/>
        <v>286.5757940732945</v>
      </c>
      <c r="FJ152" s="60">
        <f ca="1">AVERAGE(OFFSET($FI$3,0,0,'Données projet'!$E$16+1,1))-AVERAGE(OFFSET($H$3,0,0,'Données projet'!$E$16+1,1))</f>
        <v>308.58270639204238</v>
      </c>
      <c r="FK152" s="60">
        <f t="shared" si="156"/>
        <v>258.90832875500325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2.2000000000000002</v>
      </c>
      <c r="FZ152" s="13">
        <f>IF('Données projet'!$A$244&gt;35,FZ151+FY152-GH151,IF(A152&lt;'Données projet'!$A$244,$FW$205^A152,IF(A152='Données projet'!$A$244,'Données projet'!$B$244,FZ151+FY152-GH151)))</f>
        <v>290.79999999999956</v>
      </c>
      <c r="GA152" s="18">
        <f>FZ152*VLOOKUP('Données projet'!$B$17,Paramètres!$A$1:$I$89,3,0)*VLOOKUP('Données projet'!$B$17,Paramètres!$A$1:$I$89,5,0)</f>
        <v>281.26175999999958</v>
      </c>
      <c r="GB152" s="14">
        <f t="shared" si="157"/>
        <v>67.233585225232218</v>
      </c>
      <c r="GC152" s="22">
        <f t="shared" si="133"/>
        <v>606.96272626727875</v>
      </c>
      <c r="GD152" s="60">
        <f t="shared" si="134"/>
        <v>893.53852034057184</v>
      </c>
      <c r="GE152" s="60">
        <f ca="1">AVERAGE(OFFSET($GD$3,0,0,'Données projet'!$E$17+1,1))-AVERAGE(OFFSET($H$3,0,0,'Données projet'!$E$17+1,1))</f>
        <v>495.77880062178235</v>
      </c>
      <c r="GF152" s="60">
        <f t="shared" si="158"/>
        <v>263.55891737750301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486</v>
      </c>
      <c r="L153" s="13">
        <f>VLOOKUP(A153,'Données projet'!$A$35:$I$55,9,0)</f>
        <v>5.9</v>
      </c>
      <c r="M153" s="13">
        <f t="array" ref="M153">INDEX(L:L,MIN(IF(ISNUMBER(L153:L349),ROW(L153:L349),"")))</f>
        <v>5.9</v>
      </c>
      <c r="N153" s="14">
        <f>IF('Données projet'!$A$36&gt;35,N152+M153-V152,IF(A153&lt;'Données projet'!$A$36,$K$205^A153,IF(A153='Données projet'!$A$36,'Données projet'!$B$36,N152+M153-V152)))</f>
        <v>486.00000000000023</v>
      </c>
      <c r="O153" s="14">
        <f>N153*VLOOKUP('Données projet'!$B$9,Paramètres!$A$1:$I$89,3,0)*VLOOKUP('Données projet'!$B$9,Paramètres!$A$1:$I$89,5,0)</f>
        <v>416.98800000000023</v>
      </c>
      <c r="P153" s="14">
        <f t="shared" si="141"/>
        <v>95.212340250556068</v>
      </c>
      <c r="Q153" s="22">
        <f t="shared" si="108"/>
        <v>892.08225926971897</v>
      </c>
      <c r="R153" s="60">
        <f t="shared" si="109"/>
        <v>1178.7752815415793</v>
      </c>
      <c r="S153" s="60">
        <f ca="1">AVERAGE(OFFSET($R$3,0,0,'Données projet'!$E$9+1,1))-AVERAGE(OFFSET($H$3,0,0,'Données projet'!$E$9+1,1))</f>
        <v>598.73855311281966</v>
      </c>
      <c r="T153" s="60">
        <f t="shared" si="142"/>
        <v>275.88160405468193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486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IF('Données projet'!$A$62&gt;35,AI152+AH153-AQ152,IF(A153&lt;'Données projet'!$A$62,$AF$205^A153,IF(A153='Données projet'!$A$62,'Données projet'!$B$62,AI152+AH153-AQ152)))</f>
        <v>292.99999999999955</v>
      </c>
      <c r="AJ153" s="14">
        <f>AI153*VLOOKUP('Données projet'!$B$10,Paramètres!$A$1:$I$89,3,0)*VLOOKUP('Données projet'!$B$10,Paramètres!$A$1:$I$89,5,0)</f>
        <v>297.10199999999952</v>
      </c>
      <c r="AK153" s="14">
        <f t="shared" si="143"/>
        <v>70.568588566272751</v>
      </c>
      <c r="AL153" s="22">
        <f t="shared" si="112"/>
        <v>640.35960841959081</v>
      </c>
      <c r="AM153" s="60">
        <f t="shared" si="113"/>
        <v>927.05263069145121</v>
      </c>
      <c r="AN153" s="60">
        <f ca="1">AVERAGE(OFFSET($AM$3,0,0,'Données projet'!$E$10+1,1))-AVERAGE(OFFSET($H$3,0,0,'Données projet'!$E$10+1,1))</f>
        <v>515.72324585399997</v>
      </c>
      <c r="AO153" s="60">
        <f t="shared" si="144"/>
        <v>273.35778700650792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2.7134774427395314E-13</v>
      </c>
      <c r="BF153" s="14">
        <f t="shared" si="145"/>
        <v>3.6292411711343559E-12</v>
      </c>
      <c r="BG153" s="22">
        <f t="shared" si="115"/>
        <v>6.7935256943361388E-12</v>
      </c>
      <c r="BH153" s="60">
        <f t="shared" si="116"/>
        <v>286.69302227186716</v>
      </c>
      <c r="BI153" s="60">
        <f ca="1">AVERAGE(OFFSET($BH$3,0,0,'Données projet'!$E$11+1,1))-AVERAGE(OFFSET($H$3,0,0,'Données projet'!$E$11+1,1))</f>
        <v>336.25341821407534</v>
      </c>
      <c r="BJ153" s="60">
        <f t="shared" si="146"/>
        <v>360.3246221345039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0.18667168160905928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0.18667168160905928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1.0818439477588981E-13</v>
      </c>
      <c r="CA153" s="14">
        <f t="shared" si="147"/>
        <v>1.6104228458716316E-12</v>
      </c>
      <c r="CB153" s="22">
        <f t="shared" si="118"/>
        <v>2.9932409441277661E-12</v>
      </c>
      <c r="CC153" s="60">
        <f t="shared" si="119"/>
        <v>286.69302227186336</v>
      </c>
      <c r="CD153" s="60">
        <f ca="1">AVERAGE(OFFSET($CC$3,0,0,'Données projet'!$E$12+1,1))-AVERAGE(OFFSET($H$3,0,0,'Données projet'!$E$12+1,1))</f>
        <v>438.41611139377829</v>
      </c>
      <c r="CE153" s="60">
        <f t="shared" si="148"/>
        <v>345.17417065809605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-4.5224624045658861E-14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395.27840703467933</v>
      </c>
      <c r="CZ153" s="60">
        <f t="shared" si="150"/>
        <v>364.24192380053944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-2.8421709430404007E-13</v>
      </c>
      <c r="DP153" s="18">
        <f>DO153*VLOOKUP('Données projet'!$B$14,Paramètres!$A$1:$I$89,3,0)*VLOOKUP('Données projet'!$B$14,Paramètres!$A$1:$I$89,5,0)</f>
        <v>-2.2168933355715128E-13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308.76306523144956</v>
      </c>
      <c r="DU153" s="60">
        <f t="shared" si="152"/>
        <v>283.28099819802776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2.2737367544323206E-13</v>
      </c>
      <c r="EK153" s="18">
        <f>EJ153*VLOOKUP('Données projet'!$B$15,Paramètres!$A$1:$I$89,3,0)*VLOOKUP('Données projet'!$B$15,Paramètres!$A$1:$I$89,5,0)</f>
        <v>1.5252226148732008E-13</v>
      </c>
      <c r="EL153" s="14">
        <f t="shared" si="153"/>
        <v>2.1814502464536512E-12</v>
      </c>
      <c r="EM153" s="22">
        <f t="shared" si="127"/>
        <v>4.0650021179971913E-12</v>
      </c>
      <c r="EN153" s="60">
        <f t="shared" si="128"/>
        <v>286.69302227186444</v>
      </c>
      <c r="EO153" s="60">
        <f ca="1">AVERAGE(OFFSET($EN$3,0,0,'Données projet'!$E$15+1,1))-AVERAGE(OFFSET($H$3,0,0,'Données projet'!$E$15+1,1))</f>
        <v>375.49921531693559</v>
      </c>
      <c r="EP153" s="60">
        <f t="shared" si="154"/>
        <v>306.93934681565599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5.6843418860808015E-14</v>
      </c>
      <c r="FF153" s="18">
        <f>FE153*VLOOKUP('Données projet'!$B$16,Paramètres!$A$1:$I$89,3,0)*VLOOKUP('Données projet'!$B$16,Paramètres!$A$1:$I$89,5,0)</f>
        <v>4.6111381379887463E-14</v>
      </c>
      <c r="FG153" s="14">
        <f t="shared" si="155"/>
        <v>7.5804141040779151E-13</v>
      </c>
      <c r="FH153" s="22">
        <f t="shared" si="130"/>
        <v>1.4005661123635408E-12</v>
      </c>
      <c r="FI153" s="60">
        <f t="shared" si="131"/>
        <v>286.69302227186176</v>
      </c>
      <c r="FJ153" s="60">
        <f ca="1">AVERAGE(OFFSET($FI$3,0,0,'Données projet'!$E$16+1,1))-AVERAGE(OFFSET($H$3,0,0,'Données projet'!$E$16+1,1))</f>
        <v>308.58270639204238</v>
      </c>
      <c r="FK153" s="60">
        <f t="shared" si="156"/>
        <v>258.90832875500325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293</v>
      </c>
      <c r="FX153" s="13">
        <f>VLOOKUP(A153,'Données projet'!$A$243:$I$263,9,0)</f>
        <v>2.2000000000000002</v>
      </c>
      <c r="FY153" s="13">
        <f t="array" ref="FY153">INDEX(FX:FX,MIN(IF(ISNUMBER(FX153:FX349),ROW(FX153:FX349),"")))</f>
        <v>2.2000000000000002</v>
      </c>
      <c r="FZ153" s="13">
        <f>IF('Données projet'!$A$244&gt;35,FZ152+FY153-GH152,IF(A153&lt;'Données projet'!$A$244,$FW$205^A153,IF(A153='Données projet'!$A$244,'Données projet'!$B$244,FZ152+FY153-GH152)))</f>
        <v>292.99999999999955</v>
      </c>
      <c r="GA153" s="18">
        <f>FZ153*VLOOKUP('Données projet'!$B$17,Paramètres!$A$1:$I$89,3,0)*VLOOKUP('Données projet'!$B$17,Paramètres!$A$1:$I$89,5,0)</f>
        <v>283.38959999999958</v>
      </c>
      <c r="GB153" s="14">
        <f t="shared" si="157"/>
        <v>67.682826374656315</v>
      </c>
      <c r="GC153" s="22">
        <f t="shared" si="133"/>
        <v>611.45114260252558</v>
      </c>
      <c r="GD153" s="60">
        <f t="shared" si="134"/>
        <v>898.14416487438598</v>
      </c>
      <c r="GE153" s="60">
        <f ca="1">AVERAGE(OFFSET($GD$3,0,0,'Données projet'!$E$17+1,1))-AVERAGE(OFFSET($H$3,0,0,'Données projet'!$E$17+1,1))</f>
        <v>495.77880062178235</v>
      </c>
      <c r="GF153" s="60">
        <f t="shared" si="158"/>
        <v>263.55891737750301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293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1.9508661353029313E-13</v>
      </c>
      <c r="P154" s="14">
        <f t="shared" si="141"/>
        <v>2.711421636700695E-12</v>
      </c>
      <c r="Q154" s="22">
        <f t="shared" ref="Q154:Q203" si="162">(O154+P154)*0.475*44/12</f>
        <v>5.0621685358189711E-12</v>
      </c>
      <c r="R154" s="60">
        <f t="shared" si="109"/>
        <v>286.80821682327041</v>
      </c>
      <c r="S154" s="60">
        <f ca="1">AVERAGE(OFFSET($R$3,0,0,'Données projet'!$E$9+1,1))-AVERAGE(OFFSET($H$3,0,0,'Données projet'!$E$9+1,1))</f>
        <v>598.73855311281966</v>
      </c>
      <c r="T154" s="60">
        <f t="shared" si="142"/>
        <v>275.88160405468193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-4.6111381379887462E-13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515.72324585399997</v>
      </c>
      <c r="AO154" s="60">
        <f t="shared" si="144"/>
        <v>273.35778700650792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2.7134774427395314E-13</v>
      </c>
      <c r="BF154" s="14">
        <f t="shared" ref="BF154:BF203" si="167">EXP(-1.0587+0.8836*LN(BE154)+0.284)</f>
        <v>3.6292411711343559E-12</v>
      </c>
      <c r="BG154" s="22">
        <f t="shared" ref="BG154:BG203" si="168">(BE154+BF154)*0.475*44/12</f>
        <v>6.7935256943361388E-12</v>
      </c>
      <c r="BH154" s="60">
        <f t="shared" si="116"/>
        <v>286.80821682327218</v>
      </c>
      <c r="BI154" s="60">
        <f ca="1">AVERAGE(OFFSET($BH$3,0,0,'Données projet'!$E$11+1,1))-AVERAGE(OFFSET($H$3,0,0,'Données projet'!$E$11+1,1))</f>
        <v>336.25341821407534</v>
      </c>
      <c r="BJ154" s="60">
        <f t="shared" si="146"/>
        <v>360.3246221345039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0.18156713465882246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0.18156713465882246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1.0818439477588981E-13</v>
      </c>
      <c r="CA154" s="14">
        <f t="shared" ref="CA154:CA203" si="170">EXP(-1.0587+0.8836*LN(BZ154)+0.284)</f>
        <v>1.6104228458716316E-12</v>
      </c>
      <c r="CB154" s="22">
        <f t="shared" ref="CB154:CB203" si="171">(BZ154+CA154)*0.475*44/12</f>
        <v>2.9932409441277661E-12</v>
      </c>
      <c r="CC154" s="60">
        <f t="shared" si="119"/>
        <v>286.80821682326837</v>
      </c>
      <c r="CD154" s="60">
        <f ca="1">AVERAGE(OFFSET($CC$3,0,0,'Données projet'!$E$12+1,1))-AVERAGE(OFFSET($H$3,0,0,'Données projet'!$E$12+1,1))</f>
        <v>438.41611139377829</v>
      </c>
      <c r="CE154" s="60">
        <f t="shared" si="148"/>
        <v>345.17417065809605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-4.5224624045658861E-14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395.27840703467933</v>
      </c>
      <c r="CZ154" s="60">
        <f t="shared" si="150"/>
        <v>364.24192380053944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-2.8421709430404007E-13</v>
      </c>
      <c r="DP154" s="18">
        <f>DO154*VLOOKUP('Données projet'!$B$14,Paramètres!$A$1:$I$89,3,0)*VLOOKUP('Données projet'!$B$14,Paramètres!$A$1:$I$89,5,0)</f>
        <v>-2.2168933355715128E-13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308.76306523144956</v>
      </c>
      <c r="DU154" s="60">
        <f t="shared" si="152"/>
        <v>283.28099819802776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2.2737367544323206E-13</v>
      </c>
      <c r="EK154" s="18">
        <f>EJ154*VLOOKUP('Données projet'!$B$15,Paramètres!$A$1:$I$89,3,0)*VLOOKUP('Données projet'!$B$15,Paramètres!$A$1:$I$89,5,0)</f>
        <v>1.5252226148732008E-13</v>
      </c>
      <c r="EL154" s="14">
        <f t="shared" ref="EL154:EL203" si="179">EXP(-1.0587+0.8836*LN(EK154)+0.284)</f>
        <v>2.1814502464536512E-12</v>
      </c>
      <c r="EM154" s="22">
        <f t="shared" ref="EM154:EM203" si="180">(EK154+EL154)*0.475*44/12</f>
        <v>4.0650021179971913E-12</v>
      </c>
      <c r="EN154" s="60">
        <f t="shared" si="128"/>
        <v>286.80821682326945</v>
      </c>
      <c r="EO154" s="60">
        <f ca="1">AVERAGE(OFFSET($EN$3,0,0,'Données projet'!$E$15+1,1))-AVERAGE(OFFSET($H$3,0,0,'Données projet'!$E$15+1,1))</f>
        <v>375.49921531693559</v>
      </c>
      <c r="EP154" s="60">
        <f t="shared" si="154"/>
        <v>306.93934681565599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5.6843418860808015E-14</v>
      </c>
      <c r="FF154" s="18">
        <f>FE154*VLOOKUP('Données projet'!$B$16,Paramètres!$A$1:$I$89,3,0)*VLOOKUP('Données projet'!$B$16,Paramètres!$A$1:$I$89,5,0)</f>
        <v>4.6111381379887463E-14</v>
      </c>
      <c r="FG154" s="14">
        <f t="shared" ref="FG154:FG203" si="182">EXP(-1.0587+0.8836*LN(FF154)+0.284)</f>
        <v>7.5804141040779151E-13</v>
      </c>
      <c r="FH154" s="22">
        <f t="shared" ref="FH154:FH203" si="183">(FF154+FG154)*0.475*44/12</f>
        <v>1.4005661123635408E-12</v>
      </c>
      <c r="FI154" s="60">
        <f t="shared" si="131"/>
        <v>286.80821682326678</v>
      </c>
      <c r="FJ154" s="60">
        <f ca="1">AVERAGE(OFFSET($FI$3,0,0,'Données projet'!$E$16+1,1))-AVERAGE(OFFSET($H$3,0,0,'Données projet'!$E$16+1,1))</f>
        <v>308.58270639204238</v>
      </c>
      <c r="FK154" s="60">
        <f t="shared" si="156"/>
        <v>258.90832875500325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-4.5474735088646412E-13</v>
      </c>
      <c r="GA154" s="18">
        <f>FZ154*VLOOKUP('Données projet'!$B$17,Paramètres!$A$1:$I$89,3,0)*VLOOKUP('Données projet'!$B$17,Paramètres!$A$1:$I$89,5,0)</f>
        <v>-4.3983163777738812E-13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495.77880062178235</v>
      </c>
      <c r="GF154" s="60">
        <f t="shared" si="158"/>
        <v>263.55891737750301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1.9508661353029313E-13</v>
      </c>
      <c r="P155" s="14">
        <f t="shared" si="141"/>
        <v>2.711421636700695E-12</v>
      </c>
      <c r="Q155" s="22">
        <f t="shared" si="162"/>
        <v>5.0621685358189711E-12</v>
      </c>
      <c r="R155" s="60">
        <f t="shared" si="109"/>
        <v>286.92141300674496</v>
      </c>
      <c r="S155" s="60">
        <f ca="1">AVERAGE(OFFSET($R$3,0,0,'Données projet'!$E$9+1,1))-AVERAGE(OFFSET($H$3,0,0,'Données projet'!$E$9+1,1))</f>
        <v>598.73855311281966</v>
      </c>
      <c r="T155" s="60">
        <f t="shared" si="142"/>
        <v>275.88160405468193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-4.6111381379887462E-13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515.72324585399997</v>
      </c>
      <c r="AO155" s="60">
        <f t="shared" si="144"/>
        <v>273.35778700650792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2.7134774427395314E-13</v>
      </c>
      <c r="BF155" s="14">
        <f t="shared" si="167"/>
        <v>3.6292411711343559E-12</v>
      </c>
      <c r="BG155" s="22">
        <f t="shared" si="168"/>
        <v>6.7935256943361388E-12</v>
      </c>
      <c r="BH155" s="60">
        <f t="shared" si="116"/>
        <v>286.92141300674672</v>
      </c>
      <c r="BI155" s="60">
        <f ca="1">AVERAGE(OFFSET($BH$3,0,0,'Données projet'!$E$11+1,1))-AVERAGE(OFFSET($H$3,0,0,'Données projet'!$E$11+1,1))</f>
        <v>336.25341821407534</v>
      </c>
      <c r="BJ155" s="60">
        <f t="shared" si="146"/>
        <v>360.3246221345039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0.17660217181337631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0.17660217181337631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1.0818439477588981E-13</v>
      </c>
      <c r="CA155" s="14">
        <f t="shared" si="170"/>
        <v>1.6104228458716316E-12</v>
      </c>
      <c r="CB155" s="22">
        <f t="shared" si="171"/>
        <v>2.9932409441277661E-12</v>
      </c>
      <c r="CC155" s="60">
        <f t="shared" si="119"/>
        <v>286.92141300674291</v>
      </c>
      <c r="CD155" s="60">
        <f ca="1">AVERAGE(OFFSET($CC$3,0,0,'Données projet'!$E$12+1,1))-AVERAGE(OFFSET($H$3,0,0,'Données projet'!$E$12+1,1))</f>
        <v>438.41611139377829</v>
      </c>
      <c r="CE155" s="60">
        <f t="shared" si="148"/>
        <v>345.17417065809605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-4.5224624045658861E-14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395.27840703467933</v>
      </c>
      <c r="CZ155" s="60">
        <f t="shared" si="150"/>
        <v>364.24192380053944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-2.8421709430404007E-13</v>
      </c>
      <c r="DP155" s="18">
        <f>DO155*VLOOKUP('Données projet'!$B$14,Paramètres!$A$1:$I$89,3,0)*VLOOKUP('Données projet'!$B$14,Paramètres!$A$1:$I$89,5,0)</f>
        <v>-2.2168933355715128E-13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308.76306523144956</v>
      </c>
      <c r="DU155" s="60">
        <f t="shared" si="152"/>
        <v>283.28099819802776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2.2737367544323206E-13</v>
      </c>
      <c r="EK155" s="18">
        <f>EJ155*VLOOKUP('Données projet'!$B$15,Paramètres!$A$1:$I$89,3,0)*VLOOKUP('Données projet'!$B$15,Paramètres!$A$1:$I$89,5,0)</f>
        <v>1.5252226148732008E-13</v>
      </c>
      <c r="EL155" s="14">
        <f t="shared" si="179"/>
        <v>2.1814502464536512E-12</v>
      </c>
      <c r="EM155" s="22">
        <f t="shared" si="180"/>
        <v>4.0650021179971913E-12</v>
      </c>
      <c r="EN155" s="60">
        <f t="shared" si="128"/>
        <v>286.92141300674399</v>
      </c>
      <c r="EO155" s="60">
        <f ca="1">AVERAGE(OFFSET($EN$3,0,0,'Données projet'!$E$15+1,1))-AVERAGE(OFFSET($H$3,0,0,'Données projet'!$E$15+1,1))</f>
        <v>375.49921531693559</v>
      </c>
      <c r="EP155" s="60">
        <f t="shared" si="154"/>
        <v>306.93934681565599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5.6843418860808015E-14</v>
      </c>
      <c r="FF155" s="18">
        <f>FE155*VLOOKUP('Données projet'!$B$16,Paramètres!$A$1:$I$89,3,0)*VLOOKUP('Données projet'!$B$16,Paramètres!$A$1:$I$89,5,0)</f>
        <v>4.6111381379887463E-14</v>
      </c>
      <c r="FG155" s="14">
        <f t="shared" si="182"/>
        <v>7.5804141040779151E-13</v>
      </c>
      <c r="FH155" s="22">
        <f t="shared" si="183"/>
        <v>1.4005661123635408E-12</v>
      </c>
      <c r="FI155" s="60">
        <f t="shared" si="131"/>
        <v>286.92141300674132</v>
      </c>
      <c r="FJ155" s="60">
        <f ca="1">AVERAGE(OFFSET($FI$3,0,0,'Données projet'!$E$16+1,1))-AVERAGE(OFFSET($H$3,0,0,'Données projet'!$E$16+1,1))</f>
        <v>308.58270639204238</v>
      </c>
      <c r="FK155" s="60">
        <f t="shared" si="156"/>
        <v>258.90832875500325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-4.5474735088646412E-13</v>
      </c>
      <c r="GA155" s="18">
        <f>FZ155*VLOOKUP('Données projet'!$B$17,Paramètres!$A$1:$I$89,3,0)*VLOOKUP('Données projet'!$B$17,Paramètres!$A$1:$I$89,5,0)</f>
        <v>-4.3983163777738812E-13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495.77880062178235</v>
      </c>
      <c r="GF155" s="60">
        <f t="shared" si="158"/>
        <v>263.55891737750301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1.9508661353029313E-13</v>
      </c>
      <c r="P156" s="14">
        <f t="shared" si="141"/>
        <v>2.711421636700695E-12</v>
      </c>
      <c r="Q156" s="22">
        <f t="shared" si="162"/>
        <v>5.0621685358189711E-12</v>
      </c>
      <c r="R156" s="60">
        <f t="shared" si="109"/>
        <v>287.03264548950506</v>
      </c>
      <c r="S156" s="60">
        <f ca="1">AVERAGE(OFFSET($R$3,0,0,'Données projet'!$E$9+1,1))-AVERAGE(OFFSET($H$3,0,0,'Données projet'!$E$9+1,1))</f>
        <v>598.73855311281966</v>
      </c>
      <c r="T156" s="60">
        <f t="shared" si="142"/>
        <v>275.88160405468193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-4.6111381379887462E-13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515.72324585399997</v>
      </c>
      <c r="AO156" s="60">
        <f t="shared" si="144"/>
        <v>273.35778700650792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2.7134774427395314E-13</v>
      </c>
      <c r="BF156" s="14">
        <f t="shared" si="167"/>
        <v>3.6292411711343559E-12</v>
      </c>
      <c r="BG156" s="22">
        <f t="shared" si="168"/>
        <v>6.7935256943361388E-12</v>
      </c>
      <c r="BH156" s="60">
        <f t="shared" si="116"/>
        <v>287.03264548950682</v>
      </c>
      <c r="BI156" s="60">
        <f ca="1">AVERAGE(OFFSET($BH$3,0,0,'Données projet'!$E$11+1,1))-AVERAGE(OFFSET($H$3,0,0,'Données projet'!$E$11+1,1))</f>
        <v>336.25341821407534</v>
      </c>
      <c r="BJ156" s="60">
        <f t="shared" si="146"/>
        <v>360.3246221345039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0.17177297613803494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0.17177297613803494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1.0818439477588981E-13</v>
      </c>
      <c r="CA156" s="14">
        <f t="shared" si="170"/>
        <v>1.6104228458716316E-12</v>
      </c>
      <c r="CB156" s="22">
        <f t="shared" si="171"/>
        <v>2.9932409441277661E-12</v>
      </c>
      <c r="CC156" s="60">
        <f t="shared" si="119"/>
        <v>287.03264548950301</v>
      </c>
      <c r="CD156" s="60">
        <f ca="1">AVERAGE(OFFSET($CC$3,0,0,'Données projet'!$E$12+1,1))-AVERAGE(OFFSET($H$3,0,0,'Données projet'!$E$12+1,1))</f>
        <v>438.41611139377829</v>
      </c>
      <c r="CE156" s="60">
        <f t="shared" si="148"/>
        <v>345.17417065809605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-4.5224624045658861E-14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395.27840703467933</v>
      </c>
      <c r="CZ156" s="60">
        <f t="shared" si="150"/>
        <v>364.24192380053944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-2.8421709430404007E-13</v>
      </c>
      <c r="DP156" s="18">
        <f>DO156*VLOOKUP('Données projet'!$B$14,Paramètres!$A$1:$I$89,3,0)*VLOOKUP('Données projet'!$B$14,Paramètres!$A$1:$I$89,5,0)</f>
        <v>-2.2168933355715128E-13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308.76306523144956</v>
      </c>
      <c r="DU156" s="60">
        <f t="shared" si="152"/>
        <v>283.28099819802776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2.2737367544323206E-13</v>
      </c>
      <c r="EK156" s="18">
        <f>EJ156*VLOOKUP('Données projet'!$B$15,Paramètres!$A$1:$I$89,3,0)*VLOOKUP('Données projet'!$B$15,Paramètres!$A$1:$I$89,5,0)</f>
        <v>1.5252226148732008E-13</v>
      </c>
      <c r="EL156" s="14">
        <f t="shared" si="179"/>
        <v>2.1814502464536512E-12</v>
      </c>
      <c r="EM156" s="22">
        <f t="shared" si="180"/>
        <v>4.0650021179971913E-12</v>
      </c>
      <c r="EN156" s="60">
        <f t="shared" si="128"/>
        <v>287.03264548950409</v>
      </c>
      <c r="EO156" s="60">
        <f ca="1">AVERAGE(OFFSET($EN$3,0,0,'Données projet'!$E$15+1,1))-AVERAGE(OFFSET($H$3,0,0,'Données projet'!$E$15+1,1))</f>
        <v>375.49921531693559</v>
      </c>
      <c r="EP156" s="60">
        <f t="shared" si="154"/>
        <v>306.93934681565599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5.6843418860808015E-14</v>
      </c>
      <c r="FF156" s="18">
        <f>FE156*VLOOKUP('Données projet'!$B$16,Paramètres!$A$1:$I$89,3,0)*VLOOKUP('Données projet'!$B$16,Paramètres!$A$1:$I$89,5,0)</f>
        <v>4.6111381379887463E-14</v>
      </c>
      <c r="FG156" s="14">
        <f t="shared" si="182"/>
        <v>7.5804141040779151E-13</v>
      </c>
      <c r="FH156" s="22">
        <f t="shared" si="183"/>
        <v>1.4005661123635408E-12</v>
      </c>
      <c r="FI156" s="60">
        <f t="shared" si="131"/>
        <v>287.03264548950142</v>
      </c>
      <c r="FJ156" s="60">
        <f ca="1">AVERAGE(OFFSET($FI$3,0,0,'Données projet'!$E$16+1,1))-AVERAGE(OFFSET($H$3,0,0,'Données projet'!$E$16+1,1))</f>
        <v>308.58270639204238</v>
      </c>
      <c r="FK156" s="60">
        <f t="shared" si="156"/>
        <v>258.90832875500325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-4.5474735088646412E-13</v>
      </c>
      <c r="GA156" s="18">
        <f>FZ156*VLOOKUP('Données projet'!$B$17,Paramètres!$A$1:$I$89,3,0)*VLOOKUP('Données projet'!$B$17,Paramètres!$A$1:$I$89,5,0)</f>
        <v>-4.3983163777738812E-13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495.77880062178235</v>
      </c>
      <c r="GF156" s="60">
        <f t="shared" si="158"/>
        <v>263.55891737750301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1.9508661353029313E-13</v>
      </c>
      <c r="P157" s="14">
        <f t="shared" si="141"/>
        <v>2.711421636700695E-12</v>
      </c>
      <c r="Q157" s="22">
        <f t="shared" si="162"/>
        <v>5.0621685358189711E-12</v>
      </c>
      <c r="R157" s="60">
        <f t="shared" si="109"/>
        <v>287.14194833736781</v>
      </c>
      <c r="S157" s="60">
        <f ca="1">AVERAGE(OFFSET($R$3,0,0,'Données projet'!$E$9+1,1))-AVERAGE(OFFSET($H$3,0,0,'Données projet'!$E$9+1,1))</f>
        <v>598.73855311281966</v>
      </c>
      <c r="T157" s="60">
        <f t="shared" si="142"/>
        <v>275.88160405468193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-4.6111381379887462E-13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515.72324585399997</v>
      </c>
      <c r="AO157" s="60">
        <f t="shared" si="144"/>
        <v>273.35778700650792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2.7134774427395314E-13</v>
      </c>
      <c r="BF157" s="14">
        <f t="shared" si="167"/>
        <v>3.6292411711343559E-12</v>
      </c>
      <c r="BG157" s="22">
        <f t="shared" si="168"/>
        <v>6.7935256943361388E-12</v>
      </c>
      <c r="BH157" s="60">
        <f t="shared" si="116"/>
        <v>287.14194833736957</v>
      </c>
      <c r="BI157" s="60">
        <f ca="1">AVERAGE(OFFSET($BH$3,0,0,'Données projet'!$E$11+1,1))-AVERAGE(OFFSET($H$3,0,0,'Données projet'!$E$11+1,1))</f>
        <v>336.25341821407534</v>
      </c>
      <c r="BJ157" s="60">
        <f t="shared" si="146"/>
        <v>360.3246221345039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0.16707583507239215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0.16707583507239215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1.0818439477588981E-13</v>
      </c>
      <c r="CA157" s="14">
        <f t="shared" si="170"/>
        <v>1.6104228458716316E-12</v>
      </c>
      <c r="CB157" s="22">
        <f t="shared" si="171"/>
        <v>2.9932409441277661E-12</v>
      </c>
      <c r="CC157" s="60">
        <f t="shared" si="119"/>
        <v>287.14194833736576</v>
      </c>
      <c r="CD157" s="60">
        <f ca="1">AVERAGE(OFFSET($CC$3,0,0,'Données projet'!$E$12+1,1))-AVERAGE(OFFSET($H$3,0,0,'Données projet'!$E$12+1,1))</f>
        <v>438.41611139377829</v>
      </c>
      <c r="CE157" s="60">
        <f t="shared" si="148"/>
        <v>345.17417065809605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-4.5224624045658861E-14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395.27840703467933</v>
      </c>
      <c r="CZ157" s="60">
        <f t="shared" si="150"/>
        <v>364.24192380053944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-2.8421709430404007E-13</v>
      </c>
      <c r="DP157" s="18">
        <f>DO157*VLOOKUP('Données projet'!$B$14,Paramètres!$A$1:$I$89,3,0)*VLOOKUP('Données projet'!$B$14,Paramètres!$A$1:$I$89,5,0)</f>
        <v>-2.2168933355715128E-13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308.76306523144956</v>
      </c>
      <c r="DU157" s="60">
        <f t="shared" si="152"/>
        <v>283.28099819802776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2.2737367544323206E-13</v>
      </c>
      <c r="EK157" s="18">
        <f>EJ157*VLOOKUP('Données projet'!$B$15,Paramètres!$A$1:$I$89,3,0)*VLOOKUP('Données projet'!$B$15,Paramètres!$A$1:$I$89,5,0)</f>
        <v>1.5252226148732008E-13</v>
      </c>
      <c r="EL157" s="14">
        <f t="shared" si="179"/>
        <v>2.1814502464536512E-12</v>
      </c>
      <c r="EM157" s="22">
        <f t="shared" si="180"/>
        <v>4.0650021179971913E-12</v>
      </c>
      <c r="EN157" s="60">
        <f t="shared" si="128"/>
        <v>287.14194833736684</v>
      </c>
      <c r="EO157" s="60">
        <f ca="1">AVERAGE(OFFSET($EN$3,0,0,'Données projet'!$E$15+1,1))-AVERAGE(OFFSET($H$3,0,0,'Données projet'!$E$15+1,1))</f>
        <v>375.49921531693559</v>
      </c>
      <c r="EP157" s="60">
        <f t="shared" si="154"/>
        <v>306.93934681565599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5.6843418860808015E-14</v>
      </c>
      <c r="FF157" s="18">
        <f>FE157*VLOOKUP('Données projet'!$B$16,Paramètres!$A$1:$I$89,3,0)*VLOOKUP('Données projet'!$B$16,Paramètres!$A$1:$I$89,5,0)</f>
        <v>4.6111381379887463E-14</v>
      </c>
      <c r="FG157" s="14">
        <f t="shared" si="182"/>
        <v>7.5804141040779151E-13</v>
      </c>
      <c r="FH157" s="22">
        <f t="shared" si="183"/>
        <v>1.4005661123635408E-12</v>
      </c>
      <c r="FI157" s="60">
        <f t="shared" si="131"/>
        <v>287.14194833736417</v>
      </c>
      <c r="FJ157" s="60">
        <f ca="1">AVERAGE(OFFSET($FI$3,0,0,'Données projet'!$E$16+1,1))-AVERAGE(OFFSET($H$3,0,0,'Données projet'!$E$16+1,1))</f>
        <v>308.58270639204238</v>
      </c>
      <c r="FK157" s="60">
        <f t="shared" si="156"/>
        <v>258.90832875500325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-4.5474735088646412E-13</v>
      </c>
      <c r="GA157" s="18">
        <f>FZ157*VLOOKUP('Données projet'!$B$17,Paramètres!$A$1:$I$89,3,0)*VLOOKUP('Données projet'!$B$17,Paramètres!$A$1:$I$89,5,0)</f>
        <v>-4.3983163777738812E-13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495.77880062178235</v>
      </c>
      <c r="GF157" s="60">
        <f t="shared" si="158"/>
        <v>263.55891737750301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1.9508661353029313E-13</v>
      </c>
      <c r="P158" s="14">
        <f t="shared" si="141"/>
        <v>2.711421636700695E-12</v>
      </c>
      <c r="Q158" s="22">
        <f t="shared" si="162"/>
        <v>5.0621685358189711E-12</v>
      </c>
      <c r="R158" s="60">
        <f t="shared" si="109"/>
        <v>287.24935502518474</v>
      </c>
      <c r="S158" s="60">
        <f ca="1">AVERAGE(OFFSET($R$3,0,0,'Données projet'!$E$9+1,1))-AVERAGE(OFFSET($H$3,0,0,'Données projet'!$E$9+1,1))</f>
        <v>598.73855311281966</v>
      </c>
      <c r="T158" s="60">
        <f t="shared" si="142"/>
        <v>275.88160405468193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-4.6111381379887462E-13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515.72324585399997</v>
      </c>
      <c r="AO158" s="60">
        <f t="shared" si="144"/>
        <v>273.35778700650792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2.7134774427395314E-13</v>
      </c>
      <c r="BF158" s="14">
        <f t="shared" si="167"/>
        <v>3.6292411711343559E-12</v>
      </c>
      <c r="BG158" s="22">
        <f t="shared" si="168"/>
        <v>6.7935256943361388E-12</v>
      </c>
      <c r="BH158" s="60">
        <f t="shared" si="116"/>
        <v>287.2493550251865</v>
      </c>
      <c r="BI158" s="60">
        <f ca="1">AVERAGE(OFFSET($BH$3,0,0,'Données projet'!$E$11+1,1))-AVERAGE(OFFSET($H$3,0,0,'Données projet'!$E$11+1,1))</f>
        <v>336.25341821407534</v>
      </c>
      <c r="BJ158" s="60">
        <f t="shared" si="146"/>
        <v>360.3246221345039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0.16250713757620128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0.16250713757620128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1.0818439477588981E-13</v>
      </c>
      <c r="CA158" s="14">
        <f t="shared" si="170"/>
        <v>1.6104228458716316E-12</v>
      </c>
      <c r="CB158" s="22">
        <f t="shared" si="171"/>
        <v>2.9932409441277661E-12</v>
      </c>
      <c r="CC158" s="60">
        <f t="shared" si="119"/>
        <v>287.24935502518269</v>
      </c>
      <c r="CD158" s="60">
        <f ca="1">AVERAGE(OFFSET($CC$3,0,0,'Données projet'!$E$12+1,1))-AVERAGE(OFFSET($H$3,0,0,'Données projet'!$E$12+1,1))</f>
        <v>438.41611139377829</v>
      </c>
      <c r="CE158" s="60">
        <f t="shared" si="148"/>
        <v>345.17417065809605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-4.5224624045658861E-14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395.27840703467933</v>
      </c>
      <c r="CZ158" s="60">
        <f t="shared" si="150"/>
        <v>364.24192380053944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-2.8421709430404007E-13</v>
      </c>
      <c r="DP158" s="18">
        <f>DO158*VLOOKUP('Données projet'!$B$14,Paramètres!$A$1:$I$89,3,0)*VLOOKUP('Données projet'!$B$14,Paramètres!$A$1:$I$89,5,0)</f>
        <v>-2.2168933355715128E-13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308.76306523144956</v>
      </c>
      <c r="DU158" s="60">
        <f t="shared" si="152"/>
        <v>283.28099819802776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2.2737367544323206E-13</v>
      </c>
      <c r="EK158" s="18">
        <f>EJ158*VLOOKUP('Données projet'!$B$15,Paramètres!$A$1:$I$89,3,0)*VLOOKUP('Données projet'!$B$15,Paramètres!$A$1:$I$89,5,0)</f>
        <v>1.5252226148732008E-13</v>
      </c>
      <c r="EL158" s="14">
        <f t="shared" si="179"/>
        <v>2.1814502464536512E-12</v>
      </c>
      <c r="EM158" s="22">
        <f t="shared" si="180"/>
        <v>4.0650021179971913E-12</v>
      </c>
      <c r="EN158" s="60">
        <f t="shared" si="128"/>
        <v>287.24935502518377</v>
      </c>
      <c r="EO158" s="60">
        <f ca="1">AVERAGE(OFFSET($EN$3,0,0,'Données projet'!$E$15+1,1))-AVERAGE(OFFSET($H$3,0,0,'Données projet'!$E$15+1,1))</f>
        <v>375.49921531693559</v>
      </c>
      <c r="EP158" s="60">
        <f t="shared" si="154"/>
        <v>306.93934681565599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5.6843418860808015E-14</v>
      </c>
      <c r="FF158" s="18">
        <f>FE158*VLOOKUP('Données projet'!$B$16,Paramètres!$A$1:$I$89,3,0)*VLOOKUP('Données projet'!$B$16,Paramètres!$A$1:$I$89,5,0)</f>
        <v>4.6111381379887463E-14</v>
      </c>
      <c r="FG158" s="14">
        <f t="shared" si="182"/>
        <v>7.5804141040779151E-13</v>
      </c>
      <c r="FH158" s="22">
        <f t="shared" si="183"/>
        <v>1.4005661123635408E-12</v>
      </c>
      <c r="FI158" s="60">
        <f t="shared" si="131"/>
        <v>287.2493550251811</v>
      </c>
      <c r="FJ158" s="60">
        <f ca="1">AVERAGE(OFFSET($FI$3,0,0,'Données projet'!$E$16+1,1))-AVERAGE(OFFSET($H$3,0,0,'Données projet'!$E$16+1,1))</f>
        <v>308.58270639204238</v>
      </c>
      <c r="FK158" s="60">
        <f t="shared" si="156"/>
        <v>258.90832875500325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-4.5474735088646412E-13</v>
      </c>
      <c r="GA158" s="18">
        <f>FZ158*VLOOKUP('Données projet'!$B$17,Paramètres!$A$1:$I$89,3,0)*VLOOKUP('Données projet'!$B$17,Paramètres!$A$1:$I$89,5,0)</f>
        <v>-4.3983163777738812E-13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495.77880062178235</v>
      </c>
      <c r="GF158" s="60">
        <f t="shared" si="158"/>
        <v>263.55891737750301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1.9508661353029313E-13</v>
      </c>
      <c r="P159" s="14">
        <f t="shared" si="141"/>
        <v>2.711421636700695E-12</v>
      </c>
      <c r="Q159" s="22">
        <f t="shared" si="162"/>
        <v>5.0621685358189711E-12</v>
      </c>
      <c r="R159" s="60">
        <f t="shared" si="109"/>
        <v>287.35489844709338</v>
      </c>
      <c r="S159" s="60">
        <f ca="1">AVERAGE(OFFSET($R$3,0,0,'Données projet'!$E$9+1,1))-AVERAGE(OFFSET($H$3,0,0,'Données projet'!$E$9+1,1))</f>
        <v>598.73855311281966</v>
      </c>
      <c r="T159" s="60">
        <f t="shared" si="142"/>
        <v>275.88160405468193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-4.6111381379887462E-13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515.72324585399997</v>
      </c>
      <c r="AO159" s="60">
        <f t="shared" si="144"/>
        <v>273.35778700650792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2.7134774427395314E-13</v>
      </c>
      <c r="BF159" s="14">
        <f t="shared" si="167"/>
        <v>3.6292411711343559E-12</v>
      </c>
      <c r="BG159" s="22">
        <f t="shared" si="168"/>
        <v>6.7935256943361388E-12</v>
      </c>
      <c r="BH159" s="60">
        <f t="shared" si="116"/>
        <v>287.35489844709514</v>
      </c>
      <c r="BI159" s="60">
        <f ca="1">AVERAGE(OFFSET($BH$3,0,0,'Données projet'!$E$11+1,1))-AVERAGE(OFFSET($H$3,0,0,'Données projet'!$E$11+1,1))</f>
        <v>336.25341821407534</v>
      </c>
      <c r="BJ159" s="60">
        <f t="shared" si="146"/>
        <v>360.3246221345039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0.15806337135330109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0.15806337135330109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1.0818439477588981E-13</v>
      </c>
      <c r="CA159" s="14">
        <f t="shared" si="170"/>
        <v>1.6104228458716316E-12</v>
      </c>
      <c r="CB159" s="22">
        <f t="shared" si="171"/>
        <v>2.9932409441277661E-12</v>
      </c>
      <c r="CC159" s="60">
        <f t="shared" si="119"/>
        <v>287.35489844709133</v>
      </c>
      <c r="CD159" s="60">
        <f ca="1">AVERAGE(OFFSET($CC$3,0,0,'Données projet'!$E$12+1,1))-AVERAGE(OFFSET($H$3,0,0,'Données projet'!$E$12+1,1))</f>
        <v>438.41611139377829</v>
      </c>
      <c r="CE159" s="60">
        <f t="shared" si="148"/>
        <v>345.17417065809605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-4.5224624045658861E-14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395.27840703467933</v>
      </c>
      <c r="CZ159" s="60">
        <f t="shared" si="150"/>
        <v>364.24192380053944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-2.8421709430404007E-13</v>
      </c>
      <c r="DP159" s="18">
        <f>DO159*VLOOKUP('Données projet'!$B$14,Paramètres!$A$1:$I$89,3,0)*VLOOKUP('Données projet'!$B$14,Paramètres!$A$1:$I$89,5,0)</f>
        <v>-2.2168933355715128E-13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308.76306523144956</v>
      </c>
      <c r="DU159" s="60">
        <f t="shared" si="152"/>
        <v>283.28099819802776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2.2737367544323206E-13</v>
      </c>
      <c r="EK159" s="18">
        <f>EJ159*VLOOKUP('Données projet'!$B$15,Paramètres!$A$1:$I$89,3,0)*VLOOKUP('Données projet'!$B$15,Paramètres!$A$1:$I$89,5,0)</f>
        <v>1.5252226148732008E-13</v>
      </c>
      <c r="EL159" s="14">
        <f t="shared" si="179"/>
        <v>2.1814502464536512E-12</v>
      </c>
      <c r="EM159" s="22">
        <f t="shared" si="180"/>
        <v>4.0650021179971913E-12</v>
      </c>
      <c r="EN159" s="60">
        <f t="shared" si="128"/>
        <v>287.35489844709241</v>
      </c>
      <c r="EO159" s="60">
        <f ca="1">AVERAGE(OFFSET($EN$3,0,0,'Données projet'!$E$15+1,1))-AVERAGE(OFFSET($H$3,0,0,'Données projet'!$E$15+1,1))</f>
        <v>375.49921531693559</v>
      </c>
      <c r="EP159" s="60">
        <f t="shared" si="154"/>
        <v>306.93934681565599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5.6843418860808015E-14</v>
      </c>
      <c r="FF159" s="18">
        <f>FE159*VLOOKUP('Données projet'!$B$16,Paramètres!$A$1:$I$89,3,0)*VLOOKUP('Données projet'!$B$16,Paramètres!$A$1:$I$89,5,0)</f>
        <v>4.6111381379887463E-14</v>
      </c>
      <c r="FG159" s="14">
        <f t="shared" si="182"/>
        <v>7.5804141040779151E-13</v>
      </c>
      <c r="FH159" s="22">
        <f t="shared" si="183"/>
        <v>1.4005661123635408E-12</v>
      </c>
      <c r="FI159" s="60">
        <f t="shared" si="131"/>
        <v>287.35489844708974</v>
      </c>
      <c r="FJ159" s="60">
        <f ca="1">AVERAGE(OFFSET($FI$3,0,0,'Données projet'!$E$16+1,1))-AVERAGE(OFFSET($H$3,0,0,'Données projet'!$E$16+1,1))</f>
        <v>308.58270639204238</v>
      </c>
      <c r="FK159" s="60">
        <f t="shared" si="156"/>
        <v>258.90832875500325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-4.5474735088646412E-13</v>
      </c>
      <c r="GA159" s="18">
        <f>FZ159*VLOOKUP('Données projet'!$B$17,Paramètres!$A$1:$I$89,3,0)*VLOOKUP('Données projet'!$B$17,Paramètres!$A$1:$I$89,5,0)</f>
        <v>-4.3983163777738812E-13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495.77880062178235</v>
      </c>
      <c r="GF159" s="60">
        <f t="shared" si="158"/>
        <v>263.55891737750301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1.9508661353029313E-13</v>
      </c>
      <c r="P160" s="14">
        <f t="shared" si="141"/>
        <v>2.711421636700695E-12</v>
      </c>
      <c r="Q160" s="22">
        <f t="shared" si="162"/>
        <v>5.0621685358189711E-12</v>
      </c>
      <c r="R160" s="60">
        <f t="shared" si="109"/>
        <v>287.45861092659163</v>
      </c>
      <c r="S160" s="60">
        <f ca="1">AVERAGE(OFFSET($R$3,0,0,'Données projet'!$E$9+1,1))-AVERAGE(OFFSET($H$3,0,0,'Données projet'!$E$9+1,1))</f>
        <v>598.73855311281966</v>
      </c>
      <c r="T160" s="60">
        <f t="shared" si="142"/>
        <v>275.88160405468193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-4.6111381379887462E-13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515.72324585399997</v>
      </c>
      <c r="AO160" s="60">
        <f t="shared" si="144"/>
        <v>273.35778700650792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2.7134774427395314E-13</v>
      </c>
      <c r="BF160" s="14">
        <f t="shared" si="167"/>
        <v>3.6292411711343559E-12</v>
      </c>
      <c r="BG160" s="22">
        <f t="shared" si="168"/>
        <v>6.7935256943361388E-12</v>
      </c>
      <c r="BH160" s="60">
        <f t="shared" si="116"/>
        <v>287.45861092659339</v>
      </c>
      <c r="BI160" s="60">
        <f ca="1">AVERAGE(OFFSET($BH$3,0,0,'Données projet'!$E$11+1,1))-AVERAGE(OFFSET($H$3,0,0,'Données projet'!$E$11+1,1))</f>
        <v>336.25341821407534</v>
      </c>
      <c r="BJ160" s="60">
        <f t="shared" si="146"/>
        <v>360.3246221345039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0.15374112015145364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0.15374112015145364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1.0818439477588981E-13</v>
      </c>
      <c r="CA160" s="14">
        <f t="shared" si="170"/>
        <v>1.6104228458716316E-12</v>
      </c>
      <c r="CB160" s="22">
        <f t="shared" si="171"/>
        <v>2.9932409441277661E-12</v>
      </c>
      <c r="CC160" s="60">
        <f t="shared" si="119"/>
        <v>287.45861092658959</v>
      </c>
      <c r="CD160" s="60">
        <f ca="1">AVERAGE(OFFSET($CC$3,0,0,'Données projet'!$E$12+1,1))-AVERAGE(OFFSET($H$3,0,0,'Données projet'!$E$12+1,1))</f>
        <v>438.41611139377829</v>
      </c>
      <c r="CE160" s="60">
        <f t="shared" si="148"/>
        <v>345.17417065809605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-4.5224624045658861E-14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395.27840703467933</v>
      </c>
      <c r="CZ160" s="60">
        <f t="shared" si="150"/>
        <v>364.24192380053944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-2.8421709430404007E-13</v>
      </c>
      <c r="DP160" s="18">
        <f>DO160*VLOOKUP('Données projet'!$B$14,Paramètres!$A$1:$I$89,3,0)*VLOOKUP('Données projet'!$B$14,Paramètres!$A$1:$I$89,5,0)</f>
        <v>-2.2168933355715128E-13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308.76306523144956</v>
      </c>
      <c r="DU160" s="60">
        <f t="shared" si="152"/>
        <v>283.28099819802776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2.2737367544323206E-13</v>
      </c>
      <c r="EK160" s="18">
        <f>EJ160*VLOOKUP('Données projet'!$B$15,Paramètres!$A$1:$I$89,3,0)*VLOOKUP('Données projet'!$B$15,Paramètres!$A$1:$I$89,5,0)</f>
        <v>1.5252226148732008E-13</v>
      </c>
      <c r="EL160" s="14">
        <f t="shared" si="179"/>
        <v>2.1814502464536512E-12</v>
      </c>
      <c r="EM160" s="22">
        <f t="shared" si="180"/>
        <v>4.0650021179971913E-12</v>
      </c>
      <c r="EN160" s="60">
        <f t="shared" si="128"/>
        <v>287.45861092659067</v>
      </c>
      <c r="EO160" s="60">
        <f ca="1">AVERAGE(OFFSET($EN$3,0,0,'Données projet'!$E$15+1,1))-AVERAGE(OFFSET($H$3,0,0,'Données projet'!$E$15+1,1))</f>
        <v>375.49921531693559</v>
      </c>
      <c r="EP160" s="60">
        <f t="shared" si="154"/>
        <v>306.93934681565599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5.6843418860808015E-14</v>
      </c>
      <c r="FF160" s="18">
        <f>FE160*VLOOKUP('Données projet'!$B$16,Paramètres!$A$1:$I$89,3,0)*VLOOKUP('Données projet'!$B$16,Paramètres!$A$1:$I$89,5,0)</f>
        <v>4.6111381379887463E-14</v>
      </c>
      <c r="FG160" s="14">
        <f t="shared" si="182"/>
        <v>7.5804141040779151E-13</v>
      </c>
      <c r="FH160" s="22">
        <f t="shared" si="183"/>
        <v>1.4005661123635408E-12</v>
      </c>
      <c r="FI160" s="60">
        <f t="shared" si="131"/>
        <v>287.45861092658799</v>
      </c>
      <c r="FJ160" s="60">
        <f ca="1">AVERAGE(OFFSET($FI$3,0,0,'Données projet'!$E$16+1,1))-AVERAGE(OFFSET($H$3,0,0,'Données projet'!$E$16+1,1))</f>
        <v>308.58270639204238</v>
      </c>
      <c r="FK160" s="60">
        <f t="shared" si="156"/>
        <v>258.90832875500325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-4.5474735088646412E-13</v>
      </c>
      <c r="GA160" s="18">
        <f>FZ160*VLOOKUP('Données projet'!$B$17,Paramètres!$A$1:$I$89,3,0)*VLOOKUP('Données projet'!$B$17,Paramètres!$A$1:$I$89,5,0)</f>
        <v>-4.3983163777738812E-13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495.77880062178235</v>
      </c>
      <c r="GF160" s="60">
        <f t="shared" si="158"/>
        <v>263.55891737750301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1.9508661353029313E-13</v>
      </c>
      <c r="P161" s="14">
        <f t="shared" si="141"/>
        <v>2.711421636700695E-12</v>
      </c>
      <c r="Q161" s="22">
        <f t="shared" si="162"/>
        <v>5.0621685358189711E-12</v>
      </c>
      <c r="R161" s="60">
        <f t="shared" si="109"/>
        <v>287.56052422643705</v>
      </c>
      <c r="S161" s="60">
        <f ca="1">AVERAGE(OFFSET($R$3,0,0,'Données projet'!$E$9+1,1))-AVERAGE(OFFSET($H$3,0,0,'Données projet'!$E$9+1,1))</f>
        <v>598.73855311281966</v>
      </c>
      <c r="T161" s="60">
        <f t="shared" si="142"/>
        <v>275.88160405468193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-4.6111381379887462E-13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515.72324585399997</v>
      </c>
      <c r="AO161" s="60">
        <f t="shared" si="144"/>
        <v>273.35778700650792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2.7134774427395314E-13</v>
      </c>
      <c r="BF161" s="14">
        <f t="shared" si="167"/>
        <v>3.6292411711343559E-12</v>
      </c>
      <c r="BG161" s="22">
        <f t="shared" si="168"/>
        <v>6.7935256943361388E-12</v>
      </c>
      <c r="BH161" s="60">
        <f t="shared" si="116"/>
        <v>287.56052422643882</v>
      </c>
      <c r="BI161" s="60">
        <f ca="1">AVERAGE(OFFSET($BH$3,0,0,'Données projet'!$E$11+1,1))-AVERAGE(OFFSET($H$3,0,0,'Données projet'!$E$11+1,1))</f>
        <v>336.25341821407534</v>
      </c>
      <c r="BJ161" s="60">
        <f t="shared" si="146"/>
        <v>360.3246221345039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0.149537061136018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0.149537061136018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1.0818439477588981E-13</v>
      </c>
      <c r="CA161" s="14">
        <f t="shared" si="170"/>
        <v>1.6104228458716316E-12</v>
      </c>
      <c r="CB161" s="22">
        <f t="shared" si="171"/>
        <v>2.9932409441277661E-12</v>
      </c>
      <c r="CC161" s="60">
        <f t="shared" si="119"/>
        <v>287.56052422643501</v>
      </c>
      <c r="CD161" s="60">
        <f ca="1">AVERAGE(OFFSET($CC$3,0,0,'Données projet'!$E$12+1,1))-AVERAGE(OFFSET($H$3,0,0,'Données projet'!$E$12+1,1))</f>
        <v>438.41611139377829</v>
      </c>
      <c r="CE161" s="60">
        <f t="shared" si="148"/>
        <v>345.17417065809605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-4.5224624045658861E-14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395.27840703467933</v>
      </c>
      <c r="CZ161" s="60">
        <f t="shared" si="150"/>
        <v>364.24192380053944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-2.8421709430404007E-13</v>
      </c>
      <c r="DP161" s="18">
        <f>DO161*VLOOKUP('Données projet'!$B$14,Paramètres!$A$1:$I$89,3,0)*VLOOKUP('Données projet'!$B$14,Paramètres!$A$1:$I$89,5,0)</f>
        <v>-2.2168933355715128E-13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308.76306523144956</v>
      </c>
      <c r="DU161" s="60">
        <f t="shared" si="152"/>
        <v>283.28099819802776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2.2737367544323206E-13</v>
      </c>
      <c r="EK161" s="18">
        <f>EJ161*VLOOKUP('Données projet'!$B$15,Paramètres!$A$1:$I$89,3,0)*VLOOKUP('Données projet'!$B$15,Paramètres!$A$1:$I$89,5,0)</f>
        <v>1.5252226148732008E-13</v>
      </c>
      <c r="EL161" s="14">
        <f t="shared" si="179"/>
        <v>2.1814502464536512E-12</v>
      </c>
      <c r="EM161" s="22">
        <f t="shared" si="180"/>
        <v>4.0650021179971913E-12</v>
      </c>
      <c r="EN161" s="60">
        <f t="shared" si="128"/>
        <v>287.56052422643609</v>
      </c>
      <c r="EO161" s="60">
        <f ca="1">AVERAGE(OFFSET($EN$3,0,0,'Données projet'!$E$15+1,1))-AVERAGE(OFFSET($H$3,0,0,'Données projet'!$E$15+1,1))</f>
        <v>375.49921531693559</v>
      </c>
      <c r="EP161" s="60">
        <f t="shared" si="154"/>
        <v>306.93934681565599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5.6843418860808015E-14</v>
      </c>
      <c r="FF161" s="18">
        <f>FE161*VLOOKUP('Données projet'!$B$16,Paramètres!$A$1:$I$89,3,0)*VLOOKUP('Données projet'!$B$16,Paramètres!$A$1:$I$89,5,0)</f>
        <v>4.6111381379887463E-14</v>
      </c>
      <c r="FG161" s="14">
        <f t="shared" si="182"/>
        <v>7.5804141040779151E-13</v>
      </c>
      <c r="FH161" s="22">
        <f t="shared" si="183"/>
        <v>1.4005661123635408E-12</v>
      </c>
      <c r="FI161" s="60">
        <f t="shared" si="131"/>
        <v>287.56052422643342</v>
      </c>
      <c r="FJ161" s="60">
        <f ca="1">AVERAGE(OFFSET($FI$3,0,0,'Données projet'!$E$16+1,1))-AVERAGE(OFFSET($H$3,0,0,'Données projet'!$E$16+1,1))</f>
        <v>308.58270639204238</v>
      </c>
      <c r="FK161" s="60">
        <f t="shared" si="156"/>
        <v>258.90832875500325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-4.5474735088646412E-13</v>
      </c>
      <c r="GA161" s="18">
        <f>FZ161*VLOOKUP('Données projet'!$B$17,Paramètres!$A$1:$I$89,3,0)*VLOOKUP('Données projet'!$B$17,Paramètres!$A$1:$I$89,5,0)</f>
        <v>-4.3983163777738812E-13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495.77880062178235</v>
      </c>
      <c r="GF161" s="60">
        <f t="shared" si="158"/>
        <v>263.55891737750301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1.9508661353029313E-13</v>
      </c>
      <c r="P162" s="14">
        <f t="shared" si="141"/>
        <v>2.711421636700695E-12</v>
      </c>
      <c r="Q162" s="22">
        <f t="shared" si="162"/>
        <v>5.0621685358189711E-12</v>
      </c>
      <c r="R162" s="60">
        <f t="shared" si="109"/>
        <v>287.66066955837402</v>
      </c>
      <c r="S162" s="60">
        <f ca="1">AVERAGE(OFFSET($R$3,0,0,'Données projet'!$E$9+1,1))-AVERAGE(OFFSET($H$3,0,0,'Données projet'!$E$9+1,1))</f>
        <v>598.73855311281966</v>
      </c>
      <c r="T162" s="60">
        <f t="shared" si="142"/>
        <v>275.88160405468193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-4.6111381379887462E-13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515.72324585399997</v>
      </c>
      <c r="AO162" s="60">
        <f t="shared" si="144"/>
        <v>273.35778700650792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2.7134774427395314E-13</v>
      </c>
      <c r="BF162" s="14">
        <f t="shared" si="167"/>
        <v>3.6292411711343559E-12</v>
      </c>
      <c r="BG162" s="22">
        <f t="shared" si="168"/>
        <v>6.7935256943361388E-12</v>
      </c>
      <c r="BH162" s="60">
        <f t="shared" si="116"/>
        <v>287.66066955837579</v>
      </c>
      <c r="BI162" s="60">
        <f ca="1">AVERAGE(OFFSET($BH$3,0,0,'Données projet'!$E$11+1,1))-AVERAGE(OFFSET($H$3,0,0,'Données projet'!$E$11+1,1))</f>
        <v>336.25341821407534</v>
      </c>
      <c r="BJ162" s="60">
        <f t="shared" si="146"/>
        <v>360.3246221345039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0.14544796233544133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0.14544796233544133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1.0818439477588981E-13</v>
      </c>
      <c r="CA162" s="14">
        <f t="shared" si="170"/>
        <v>1.6104228458716316E-12</v>
      </c>
      <c r="CB162" s="22">
        <f t="shared" si="171"/>
        <v>2.9932409441277661E-12</v>
      </c>
      <c r="CC162" s="60">
        <f t="shared" si="119"/>
        <v>287.66066955837198</v>
      </c>
      <c r="CD162" s="60">
        <f ca="1">AVERAGE(OFFSET($CC$3,0,0,'Données projet'!$E$12+1,1))-AVERAGE(OFFSET($H$3,0,0,'Données projet'!$E$12+1,1))</f>
        <v>438.41611139377829</v>
      </c>
      <c r="CE162" s="60">
        <f t="shared" si="148"/>
        <v>345.17417065809605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-4.5224624045658861E-14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395.27840703467933</v>
      </c>
      <c r="CZ162" s="60">
        <f t="shared" si="150"/>
        <v>364.24192380053944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-2.8421709430404007E-13</v>
      </c>
      <c r="DP162" s="18">
        <f>DO162*VLOOKUP('Données projet'!$B$14,Paramètres!$A$1:$I$89,3,0)*VLOOKUP('Données projet'!$B$14,Paramètres!$A$1:$I$89,5,0)</f>
        <v>-2.2168933355715128E-13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308.76306523144956</v>
      </c>
      <c r="DU162" s="60">
        <f t="shared" si="152"/>
        <v>283.28099819802776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2.2737367544323206E-13</v>
      </c>
      <c r="EK162" s="18">
        <f>EJ162*VLOOKUP('Données projet'!$B$15,Paramètres!$A$1:$I$89,3,0)*VLOOKUP('Données projet'!$B$15,Paramètres!$A$1:$I$89,5,0)</f>
        <v>1.5252226148732008E-13</v>
      </c>
      <c r="EL162" s="14">
        <f t="shared" si="179"/>
        <v>2.1814502464536512E-12</v>
      </c>
      <c r="EM162" s="22">
        <f t="shared" si="180"/>
        <v>4.0650021179971913E-12</v>
      </c>
      <c r="EN162" s="60">
        <f t="shared" si="128"/>
        <v>287.66066955837306</v>
      </c>
      <c r="EO162" s="60">
        <f ca="1">AVERAGE(OFFSET($EN$3,0,0,'Données projet'!$E$15+1,1))-AVERAGE(OFFSET($H$3,0,0,'Données projet'!$E$15+1,1))</f>
        <v>375.49921531693559</v>
      </c>
      <c r="EP162" s="60">
        <f t="shared" si="154"/>
        <v>306.93934681565599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5.6843418860808015E-14</v>
      </c>
      <c r="FF162" s="18">
        <f>FE162*VLOOKUP('Données projet'!$B$16,Paramètres!$A$1:$I$89,3,0)*VLOOKUP('Données projet'!$B$16,Paramètres!$A$1:$I$89,5,0)</f>
        <v>4.6111381379887463E-14</v>
      </c>
      <c r="FG162" s="14">
        <f t="shared" si="182"/>
        <v>7.5804141040779151E-13</v>
      </c>
      <c r="FH162" s="22">
        <f t="shared" si="183"/>
        <v>1.4005661123635408E-12</v>
      </c>
      <c r="FI162" s="60">
        <f t="shared" si="131"/>
        <v>287.66066955837039</v>
      </c>
      <c r="FJ162" s="60">
        <f ca="1">AVERAGE(OFFSET($FI$3,0,0,'Données projet'!$E$16+1,1))-AVERAGE(OFFSET($H$3,0,0,'Données projet'!$E$16+1,1))</f>
        <v>308.58270639204238</v>
      </c>
      <c r="FK162" s="60">
        <f t="shared" si="156"/>
        <v>258.90832875500325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-4.5474735088646412E-13</v>
      </c>
      <c r="GA162" s="18">
        <f>FZ162*VLOOKUP('Données projet'!$B$17,Paramètres!$A$1:$I$89,3,0)*VLOOKUP('Données projet'!$B$17,Paramètres!$A$1:$I$89,5,0)</f>
        <v>-4.3983163777738812E-13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495.77880062178235</v>
      </c>
      <c r="GF162" s="60">
        <f t="shared" si="158"/>
        <v>263.55891737750301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1.9508661353029313E-13</v>
      </c>
      <c r="P163" s="14">
        <f t="shared" si="141"/>
        <v>2.711421636700695E-12</v>
      </c>
      <c r="Q163" s="22">
        <f t="shared" si="162"/>
        <v>5.0621685358189711E-12</v>
      </c>
      <c r="R163" s="60">
        <f t="shared" si="109"/>
        <v>287.75907759269342</v>
      </c>
      <c r="S163" s="60">
        <f ca="1">AVERAGE(OFFSET($R$3,0,0,'Données projet'!$E$9+1,1))-AVERAGE(OFFSET($H$3,0,0,'Données projet'!$E$9+1,1))</f>
        <v>598.73855311281966</v>
      </c>
      <c r="T163" s="60">
        <f t="shared" si="142"/>
        <v>275.88160405468193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-4.6111381379887462E-13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515.72324585399997</v>
      </c>
      <c r="AO163" s="60">
        <f t="shared" si="144"/>
        <v>273.35778700650792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2.7134774427395314E-13</v>
      </c>
      <c r="BF163" s="14">
        <f t="shared" si="167"/>
        <v>3.6292411711343559E-12</v>
      </c>
      <c r="BG163" s="22">
        <f t="shared" si="168"/>
        <v>6.7935256943361388E-12</v>
      </c>
      <c r="BH163" s="60">
        <f t="shared" si="116"/>
        <v>287.75907759269518</v>
      </c>
      <c r="BI163" s="60">
        <f ca="1">AVERAGE(OFFSET($BH$3,0,0,'Données projet'!$E$11+1,1))-AVERAGE(OFFSET($H$3,0,0,'Données projet'!$E$11+1,1))</f>
        <v>336.25341821407534</v>
      </c>
      <c r="BJ163" s="60">
        <f t="shared" si="146"/>
        <v>360.3246221345039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0.14147068015660277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0.14147068015660277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1.0818439477588981E-13</v>
      </c>
      <c r="CA163" s="14">
        <f t="shared" si="170"/>
        <v>1.6104228458716316E-12</v>
      </c>
      <c r="CB163" s="22">
        <f t="shared" si="171"/>
        <v>2.9932409441277661E-12</v>
      </c>
      <c r="CC163" s="60">
        <f t="shared" si="119"/>
        <v>287.75907759269137</v>
      </c>
      <c r="CD163" s="60">
        <f ca="1">AVERAGE(OFFSET($CC$3,0,0,'Données projet'!$E$12+1,1))-AVERAGE(OFFSET($H$3,0,0,'Données projet'!$E$12+1,1))</f>
        <v>438.41611139377829</v>
      </c>
      <c r="CE163" s="60">
        <f t="shared" si="148"/>
        <v>345.17417065809605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-4.5224624045658861E-14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395.27840703467933</v>
      </c>
      <c r="CZ163" s="60">
        <f t="shared" si="150"/>
        <v>364.24192380053944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-2.8421709430404007E-13</v>
      </c>
      <c r="DP163" s="18">
        <f>DO163*VLOOKUP('Données projet'!$B$14,Paramètres!$A$1:$I$89,3,0)*VLOOKUP('Données projet'!$B$14,Paramètres!$A$1:$I$89,5,0)</f>
        <v>-2.2168933355715128E-13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308.76306523144956</v>
      </c>
      <c r="DU163" s="60">
        <f t="shared" si="152"/>
        <v>283.28099819802776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2.2737367544323206E-13</v>
      </c>
      <c r="EK163" s="18">
        <f>EJ163*VLOOKUP('Données projet'!$B$15,Paramètres!$A$1:$I$89,3,0)*VLOOKUP('Données projet'!$B$15,Paramètres!$A$1:$I$89,5,0)</f>
        <v>1.5252226148732008E-13</v>
      </c>
      <c r="EL163" s="14">
        <f t="shared" si="179"/>
        <v>2.1814502464536512E-12</v>
      </c>
      <c r="EM163" s="22">
        <f t="shared" si="180"/>
        <v>4.0650021179971913E-12</v>
      </c>
      <c r="EN163" s="60">
        <f t="shared" si="128"/>
        <v>287.75907759269245</v>
      </c>
      <c r="EO163" s="60">
        <f ca="1">AVERAGE(OFFSET($EN$3,0,0,'Données projet'!$E$15+1,1))-AVERAGE(OFFSET($H$3,0,0,'Données projet'!$E$15+1,1))</f>
        <v>375.49921531693559</v>
      </c>
      <c r="EP163" s="60">
        <f t="shared" si="154"/>
        <v>306.93934681565599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5.6843418860808015E-14</v>
      </c>
      <c r="FF163" s="18">
        <f>FE163*VLOOKUP('Données projet'!$B$16,Paramètres!$A$1:$I$89,3,0)*VLOOKUP('Données projet'!$B$16,Paramètres!$A$1:$I$89,5,0)</f>
        <v>4.6111381379887463E-14</v>
      </c>
      <c r="FG163" s="14">
        <f t="shared" si="182"/>
        <v>7.5804141040779151E-13</v>
      </c>
      <c r="FH163" s="22">
        <f t="shared" si="183"/>
        <v>1.4005661123635408E-12</v>
      </c>
      <c r="FI163" s="60">
        <f t="shared" si="131"/>
        <v>287.75907759268978</v>
      </c>
      <c r="FJ163" s="60">
        <f ca="1">AVERAGE(OFFSET($FI$3,0,0,'Données projet'!$E$16+1,1))-AVERAGE(OFFSET($H$3,0,0,'Données projet'!$E$16+1,1))</f>
        <v>308.58270639204238</v>
      </c>
      <c r="FK163" s="60">
        <f t="shared" si="156"/>
        <v>258.90832875500325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-4.5474735088646412E-13</v>
      </c>
      <c r="GA163" s="18">
        <f>FZ163*VLOOKUP('Données projet'!$B$17,Paramètres!$A$1:$I$89,3,0)*VLOOKUP('Données projet'!$B$17,Paramètres!$A$1:$I$89,5,0)</f>
        <v>-4.3983163777738812E-13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495.77880062178235</v>
      </c>
      <c r="GF163" s="60">
        <f t="shared" si="158"/>
        <v>263.55891737750301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1.9508661353029313E-13</v>
      </c>
      <c r="P164" s="14">
        <f t="shared" si="141"/>
        <v>2.711421636700695E-12</v>
      </c>
      <c r="Q164" s="22">
        <f t="shared" si="162"/>
        <v>5.0621685358189711E-12</v>
      </c>
      <c r="R164" s="60">
        <f t="shared" si="109"/>
        <v>287.85577846762476</v>
      </c>
      <c r="S164" s="60">
        <f ca="1">AVERAGE(OFFSET($R$3,0,0,'Données projet'!$E$9+1,1))-AVERAGE(OFFSET($H$3,0,0,'Données projet'!$E$9+1,1))</f>
        <v>598.73855311281966</v>
      </c>
      <c r="T164" s="60">
        <f t="shared" si="142"/>
        <v>275.88160405468193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-4.6111381379887462E-13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515.72324585399997</v>
      </c>
      <c r="AO164" s="60">
        <f t="shared" si="144"/>
        <v>273.35778700650792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2.7134774427395314E-13</v>
      </c>
      <c r="BF164" s="14">
        <f t="shared" si="167"/>
        <v>3.6292411711343559E-12</v>
      </c>
      <c r="BG164" s="22">
        <f t="shared" si="168"/>
        <v>6.7935256943361388E-12</v>
      </c>
      <c r="BH164" s="60">
        <f t="shared" si="116"/>
        <v>287.85577846762652</v>
      </c>
      <c r="BI164" s="60">
        <f ca="1">AVERAGE(OFFSET($BH$3,0,0,'Données projet'!$E$11+1,1))-AVERAGE(OFFSET($H$3,0,0,'Données projet'!$E$11+1,1))</f>
        <v>336.25341821407534</v>
      </c>
      <c r="BJ164" s="60">
        <f t="shared" si="146"/>
        <v>360.3246221345039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0.13760215696810074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0.13760215696810074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1.0818439477588981E-13</v>
      </c>
      <c r="CA164" s="14">
        <f t="shared" si="170"/>
        <v>1.6104228458716316E-12</v>
      </c>
      <c r="CB164" s="22">
        <f t="shared" si="171"/>
        <v>2.9932409441277661E-12</v>
      </c>
      <c r="CC164" s="60">
        <f t="shared" si="119"/>
        <v>287.85577846762271</v>
      </c>
      <c r="CD164" s="60">
        <f ca="1">AVERAGE(OFFSET($CC$3,0,0,'Données projet'!$E$12+1,1))-AVERAGE(OFFSET($H$3,0,0,'Données projet'!$E$12+1,1))</f>
        <v>438.41611139377829</v>
      </c>
      <c r="CE164" s="60">
        <f t="shared" si="148"/>
        <v>345.17417065809605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-4.5224624045658861E-14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395.27840703467933</v>
      </c>
      <c r="CZ164" s="60">
        <f t="shared" si="150"/>
        <v>364.24192380053944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-2.8421709430404007E-13</v>
      </c>
      <c r="DP164" s="18">
        <f>DO164*VLOOKUP('Données projet'!$B$14,Paramètres!$A$1:$I$89,3,0)*VLOOKUP('Données projet'!$B$14,Paramètres!$A$1:$I$89,5,0)</f>
        <v>-2.2168933355715128E-13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308.76306523144956</v>
      </c>
      <c r="DU164" s="60">
        <f t="shared" si="152"/>
        <v>283.28099819802776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2.2737367544323206E-13</v>
      </c>
      <c r="EK164" s="18">
        <f>EJ164*VLOOKUP('Données projet'!$B$15,Paramètres!$A$1:$I$89,3,0)*VLOOKUP('Données projet'!$B$15,Paramètres!$A$1:$I$89,5,0)</f>
        <v>1.5252226148732008E-13</v>
      </c>
      <c r="EL164" s="14">
        <f t="shared" si="179"/>
        <v>2.1814502464536512E-12</v>
      </c>
      <c r="EM164" s="22">
        <f t="shared" si="180"/>
        <v>4.0650021179971913E-12</v>
      </c>
      <c r="EN164" s="60">
        <f t="shared" si="128"/>
        <v>287.85577846762379</v>
      </c>
      <c r="EO164" s="60">
        <f ca="1">AVERAGE(OFFSET($EN$3,0,0,'Données projet'!$E$15+1,1))-AVERAGE(OFFSET($H$3,0,0,'Données projet'!$E$15+1,1))</f>
        <v>375.49921531693559</v>
      </c>
      <c r="EP164" s="60">
        <f t="shared" si="154"/>
        <v>306.93934681565599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5.6843418860808015E-14</v>
      </c>
      <c r="FF164" s="18">
        <f>FE164*VLOOKUP('Données projet'!$B$16,Paramètres!$A$1:$I$89,3,0)*VLOOKUP('Données projet'!$B$16,Paramètres!$A$1:$I$89,5,0)</f>
        <v>4.6111381379887463E-14</v>
      </c>
      <c r="FG164" s="14">
        <f t="shared" si="182"/>
        <v>7.5804141040779151E-13</v>
      </c>
      <c r="FH164" s="22">
        <f t="shared" si="183"/>
        <v>1.4005661123635408E-12</v>
      </c>
      <c r="FI164" s="60">
        <f t="shared" si="131"/>
        <v>287.85577846762112</v>
      </c>
      <c r="FJ164" s="60">
        <f ca="1">AVERAGE(OFFSET($FI$3,0,0,'Données projet'!$E$16+1,1))-AVERAGE(OFFSET($H$3,0,0,'Données projet'!$E$16+1,1))</f>
        <v>308.58270639204238</v>
      </c>
      <c r="FK164" s="60">
        <f t="shared" si="156"/>
        <v>258.90832875500325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-4.5474735088646412E-13</v>
      </c>
      <c r="GA164" s="18">
        <f>FZ164*VLOOKUP('Données projet'!$B$17,Paramètres!$A$1:$I$89,3,0)*VLOOKUP('Données projet'!$B$17,Paramètres!$A$1:$I$89,5,0)</f>
        <v>-4.3983163777738812E-13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495.77880062178235</v>
      </c>
      <c r="GF164" s="60">
        <f t="shared" si="158"/>
        <v>263.55891737750301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1.9508661353029313E-13</v>
      </c>
      <c r="P165" s="14">
        <f t="shared" si="141"/>
        <v>2.711421636700695E-12</v>
      </c>
      <c r="Q165" s="22">
        <f t="shared" si="162"/>
        <v>5.0621685358189711E-12</v>
      </c>
      <c r="R165" s="60">
        <f t="shared" si="109"/>
        <v>287.95080179856677</v>
      </c>
      <c r="S165" s="60">
        <f ca="1">AVERAGE(OFFSET($R$3,0,0,'Données projet'!$E$9+1,1))-AVERAGE(OFFSET($H$3,0,0,'Données projet'!$E$9+1,1))</f>
        <v>598.73855311281966</v>
      </c>
      <c r="T165" s="60">
        <f t="shared" si="142"/>
        <v>275.88160405468193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-4.6111381379887462E-13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515.72324585399997</v>
      </c>
      <c r="AO165" s="60">
        <f t="shared" si="144"/>
        <v>273.35778700650792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2.7134774427395314E-13</v>
      </c>
      <c r="BF165" s="14">
        <f t="shared" si="167"/>
        <v>3.6292411711343559E-12</v>
      </c>
      <c r="BG165" s="22">
        <f t="shared" si="168"/>
        <v>6.7935256943361388E-12</v>
      </c>
      <c r="BH165" s="60">
        <f t="shared" si="116"/>
        <v>287.95080179856853</v>
      </c>
      <c r="BI165" s="60">
        <f ca="1">AVERAGE(OFFSET($BH$3,0,0,'Données projet'!$E$11+1,1))-AVERAGE(OFFSET($H$3,0,0,'Données projet'!$E$11+1,1))</f>
        <v>336.25341821407534</v>
      </c>
      <c r="BJ165" s="60">
        <f t="shared" si="146"/>
        <v>360.3246221345039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0.1338394187496251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0.1338394187496251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1.0818439477588981E-13</v>
      </c>
      <c r="CA165" s="14">
        <f t="shared" si="170"/>
        <v>1.6104228458716316E-12</v>
      </c>
      <c r="CB165" s="22">
        <f t="shared" si="171"/>
        <v>2.9932409441277661E-12</v>
      </c>
      <c r="CC165" s="60">
        <f t="shared" si="119"/>
        <v>287.95080179856473</v>
      </c>
      <c r="CD165" s="60">
        <f ca="1">AVERAGE(OFFSET($CC$3,0,0,'Données projet'!$E$12+1,1))-AVERAGE(OFFSET($H$3,0,0,'Données projet'!$E$12+1,1))</f>
        <v>438.41611139377829</v>
      </c>
      <c r="CE165" s="60">
        <f t="shared" si="148"/>
        <v>345.17417065809605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-4.5224624045658861E-14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395.27840703467933</v>
      </c>
      <c r="CZ165" s="60">
        <f t="shared" si="150"/>
        <v>364.24192380053944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-2.8421709430404007E-13</v>
      </c>
      <c r="DP165" s="18">
        <f>DO165*VLOOKUP('Données projet'!$B$14,Paramètres!$A$1:$I$89,3,0)*VLOOKUP('Données projet'!$B$14,Paramètres!$A$1:$I$89,5,0)</f>
        <v>-2.2168933355715128E-13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308.76306523144956</v>
      </c>
      <c r="DU165" s="60">
        <f t="shared" si="152"/>
        <v>283.28099819802776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2.2737367544323206E-13</v>
      </c>
      <c r="EK165" s="18">
        <f>EJ165*VLOOKUP('Données projet'!$B$15,Paramètres!$A$1:$I$89,3,0)*VLOOKUP('Données projet'!$B$15,Paramètres!$A$1:$I$89,5,0)</f>
        <v>1.5252226148732008E-13</v>
      </c>
      <c r="EL165" s="14">
        <f t="shared" si="179"/>
        <v>2.1814502464536512E-12</v>
      </c>
      <c r="EM165" s="22">
        <f t="shared" si="180"/>
        <v>4.0650021179971913E-12</v>
      </c>
      <c r="EN165" s="60">
        <f t="shared" si="128"/>
        <v>287.95080179856581</v>
      </c>
      <c r="EO165" s="60">
        <f ca="1">AVERAGE(OFFSET($EN$3,0,0,'Données projet'!$E$15+1,1))-AVERAGE(OFFSET($H$3,0,0,'Données projet'!$E$15+1,1))</f>
        <v>375.49921531693559</v>
      </c>
      <c r="EP165" s="60">
        <f t="shared" si="154"/>
        <v>306.93934681565599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5.6843418860808015E-14</v>
      </c>
      <c r="FF165" s="18">
        <f>FE165*VLOOKUP('Données projet'!$B$16,Paramètres!$A$1:$I$89,3,0)*VLOOKUP('Données projet'!$B$16,Paramètres!$A$1:$I$89,5,0)</f>
        <v>4.6111381379887463E-14</v>
      </c>
      <c r="FG165" s="14">
        <f t="shared" si="182"/>
        <v>7.5804141040779151E-13</v>
      </c>
      <c r="FH165" s="22">
        <f t="shared" si="183"/>
        <v>1.4005661123635408E-12</v>
      </c>
      <c r="FI165" s="60">
        <f t="shared" si="131"/>
        <v>287.95080179856313</v>
      </c>
      <c r="FJ165" s="60">
        <f ca="1">AVERAGE(OFFSET($FI$3,0,0,'Données projet'!$E$16+1,1))-AVERAGE(OFFSET($H$3,0,0,'Données projet'!$E$16+1,1))</f>
        <v>308.58270639204238</v>
      </c>
      <c r="FK165" s="60">
        <f t="shared" si="156"/>
        <v>258.90832875500325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-4.5474735088646412E-13</v>
      </c>
      <c r="GA165" s="18">
        <f>FZ165*VLOOKUP('Données projet'!$B$17,Paramètres!$A$1:$I$89,3,0)*VLOOKUP('Données projet'!$B$17,Paramètres!$A$1:$I$89,5,0)</f>
        <v>-4.3983163777738812E-13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495.77880062178235</v>
      </c>
      <c r="GF165" s="60">
        <f t="shared" si="158"/>
        <v>263.55891737750301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1.9508661353029313E-13</v>
      </c>
      <c r="P166" s="14">
        <f t="shared" si="141"/>
        <v>2.711421636700695E-12</v>
      </c>
      <c r="Q166" s="22">
        <f t="shared" si="162"/>
        <v>5.0621685358189711E-12</v>
      </c>
      <c r="R166" s="60">
        <f t="shared" si="109"/>
        <v>288.04417668715729</v>
      </c>
      <c r="S166" s="60">
        <f ca="1">AVERAGE(OFFSET($R$3,0,0,'Données projet'!$E$9+1,1))-AVERAGE(OFFSET($H$3,0,0,'Données projet'!$E$9+1,1))</f>
        <v>598.73855311281966</v>
      </c>
      <c r="T166" s="60">
        <f t="shared" si="142"/>
        <v>275.88160405468193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-4.6111381379887462E-13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515.72324585399997</v>
      </c>
      <c r="AO166" s="60">
        <f t="shared" si="144"/>
        <v>273.35778700650792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2.7134774427395314E-13</v>
      </c>
      <c r="BF166" s="14">
        <f t="shared" si="167"/>
        <v>3.6292411711343559E-12</v>
      </c>
      <c r="BG166" s="22">
        <f t="shared" si="168"/>
        <v>6.7935256943361388E-12</v>
      </c>
      <c r="BH166" s="60">
        <f t="shared" si="116"/>
        <v>288.04417668715905</v>
      </c>
      <c r="BI166" s="60">
        <f ca="1">AVERAGE(OFFSET($BH$3,0,0,'Données projet'!$E$11+1,1))-AVERAGE(OFFSET($H$3,0,0,'Données projet'!$E$11+1,1))</f>
        <v>336.25341821407534</v>
      </c>
      <c r="BJ166" s="60">
        <f t="shared" si="146"/>
        <v>360.3246221345039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0.13017957280560746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0.13017957280560746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1.0818439477588981E-13</v>
      </c>
      <c r="CA166" s="14">
        <f t="shared" si="170"/>
        <v>1.6104228458716316E-12</v>
      </c>
      <c r="CB166" s="22">
        <f t="shared" si="171"/>
        <v>2.9932409441277661E-12</v>
      </c>
      <c r="CC166" s="60">
        <f t="shared" si="119"/>
        <v>288.04417668715524</v>
      </c>
      <c r="CD166" s="60">
        <f ca="1">AVERAGE(OFFSET($CC$3,0,0,'Données projet'!$E$12+1,1))-AVERAGE(OFFSET($H$3,0,0,'Données projet'!$E$12+1,1))</f>
        <v>438.41611139377829</v>
      </c>
      <c r="CE166" s="60">
        <f t="shared" si="148"/>
        <v>345.17417065809605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-4.5224624045658861E-14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395.27840703467933</v>
      </c>
      <c r="CZ166" s="60">
        <f t="shared" si="150"/>
        <v>364.24192380053944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-2.8421709430404007E-13</v>
      </c>
      <c r="DP166" s="18">
        <f>DO166*VLOOKUP('Données projet'!$B$14,Paramètres!$A$1:$I$89,3,0)*VLOOKUP('Données projet'!$B$14,Paramètres!$A$1:$I$89,5,0)</f>
        <v>-2.2168933355715128E-13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308.76306523144956</v>
      </c>
      <c r="DU166" s="60">
        <f t="shared" si="152"/>
        <v>283.28099819802776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2.2737367544323206E-13</v>
      </c>
      <c r="EK166" s="18">
        <f>EJ166*VLOOKUP('Données projet'!$B$15,Paramètres!$A$1:$I$89,3,0)*VLOOKUP('Données projet'!$B$15,Paramètres!$A$1:$I$89,5,0)</f>
        <v>1.5252226148732008E-13</v>
      </c>
      <c r="EL166" s="14">
        <f t="shared" si="179"/>
        <v>2.1814502464536512E-12</v>
      </c>
      <c r="EM166" s="22">
        <f t="shared" si="180"/>
        <v>4.0650021179971913E-12</v>
      </c>
      <c r="EN166" s="60">
        <f t="shared" si="128"/>
        <v>288.04417668715632</v>
      </c>
      <c r="EO166" s="60">
        <f ca="1">AVERAGE(OFFSET($EN$3,0,0,'Données projet'!$E$15+1,1))-AVERAGE(OFFSET($H$3,0,0,'Données projet'!$E$15+1,1))</f>
        <v>375.49921531693559</v>
      </c>
      <c r="EP166" s="60">
        <f t="shared" si="154"/>
        <v>306.93934681565599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5.6843418860808015E-14</v>
      </c>
      <c r="FF166" s="18">
        <f>FE166*VLOOKUP('Données projet'!$B$16,Paramètres!$A$1:$I$89,3,0)*VLOOKUP('Données projet'!$B$16,Paramètres!$A$1:$I$89,5,0)</f>
        <v>4.6111381379887463E-14</v>
      </c>
      <c r="FG166" s="14">
        <f t="shared" si="182"/>
        <v>7.5804141040779151E-13</v>
      </c>
      <c r="FH166" s="22">
        <f t="shared" si="183"/>
        <v>1.4005661123635408E-12</v>
      </c>
      <c r="FI166" s="60">
        <f t="shared" si="131"/>
        <v>288.04417668715365</v>
      </c>
      <c r="FJ166" s="60">
        <f ca="1">AVERAGE(OFFSET($FI$3,0,0,'Données projet'!$E$16+1,1))-AVERAGE(OFFSET($H$3,0,0,'Données projet'!$E$16+1,1))</f>
        <v>308.58270639204238</v>
      </c>
      <c r="FK166" s="60">
        <f t="shared" si="156"/>
        <v>258.90832875500325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-4.5474735088646412E-13</v>
      </c>
      <c r="GA166" s="18">
        <f>FZ166*VLOOKUP('Données projet'!$B$17,Paramètres!$A$1:$I$89,3,0)*VLOOKUP('Données projet'!$B$17,Paramètres!$A$1:$I$89,5,0)</f>
        <v>-4.3983163777738812E-13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495.77880062178235</v>
      </c>
      <c r="GF166" s="60">
        <f t="shared" si="158"/>
        <v>263.55891737750301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1.9508661353029313E-13</v>
      </c>
      <c r="P167" s="14">
        <f t="shared" si="141"/>
        <v>2.711421636700695E-12</v>
      </c>
      <c r="Q167" s="22">
        <f t="shared" si="162"/>
        <v>5.0621685358189711E-12</v>
      </c>
      <c r="R167" s="60">
        <f t="shared" si="109"/>
        <v>288.13593173018575</v>
      </c>
      <c r="S167" s="60">
        <f ca="1">AVERAGE(OFFSET($R$3,0,0,'Données projet'!$E$9+1,1))-AVERAGE(OFFSET($H$3,0,0,'Données projet'!$E$9+1,1))</f>
        <v>598.73855311281966</v>
      </c>
      <c r="T167" s="60">
        <f t="shared" si="142"/>
        <v>275.88160405468193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-4.6111381379887462E-13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515.72324585399997</v>
      </c>
      <c r="AO167" s="60">
        <f t="shared" si="144"/>
        <v>273.35778700650792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2.7134774427395314E-13</v>
      </c>
      <c r="BF167" s="14">
        <f t="shared" si="167"/>
        <v>3.6292411711343559E-12</v>
      </c>
      <c r="BG167" s="22">
        <f t="shared" si="168"/>
        <v>6.7935256943361388E-12</v>
      </c>
      <c r="BH167" s="60">
        <f t="shared" si="116"/>
        <v>288.13593173018751</v>
      </c>
      <c r="BI167" s="60">
        <f ca="1">AVERAGE(OFFSET($BH$3,0,0,'Données projet'!$E$11+1,1))-AVERAGE(OFFSET($H$3,0,0,'Données projet'!$E$11+1,1))</f>
        <v>336.25341821407534</v>
      </c>
      <c r="BJ167" s="60">
        <f t="shared" si="146"/>
        <v>360.3246221345039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0.12661980554139193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0.12661980554139193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1.0818439477588981E-13</v>
      </c>
      <c r="CA167" s="14">
        <f t="shared" si="170"/>
        <v>1.6104228458716316E-12</v>
      </c>
      <c r="CB167" s="22">
        <f t="shared" si="171"/>
        <v>2.9932409441277661E-12</v>
      </c>
      <c r="CC167" s="60">
        <f t="shared" si="119"/>
        <v>288.1359317301837</v>
      </c>
      <c r="CD167" s="60">
        <f ca="1">AVERAGE(OFFSET($CC$3,0,0,'Données projet'!$E$12+1,1))-AVERAGE(OFFSET($H$3,0,0,'Données projet'!$E$12+1,1))</f>
        <v>438.41611139377829</v>
      </c>
      <c r="CE167" s="60">
        <f t="shared" si="148"/>
        <v>345.17417065809605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-4.5224624045658861E-14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395.27840703467933</v>
      </c>
      <c r="CZ167" s="60">
        <f t="shared" si="150"/>
        <v>364.24192380053944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-2.8421709430404007E-13</v>
      </c>
      <c r="DP167" s="18">
        <f>DO167*VLOOKUP('Données projet'!$B$14,Paramètres!$A$1:$I$89,3,0)*VLOOKUP('Données projet'!$B$14,Paramètres!$A$1:$I$89,5,0)</f>
        <v>-2.2168933355715128E-13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308.76306523144956</v>
      </c>
      <c r="DU167" s="60">
        <f t="shared" si="152"/>
        <v>283.28099819802776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2.2737367544323206E-13</v>
      </c>
      <c r="EK167" s="18">
        <f>EJ167*VLOOKUP('Données projet'!$B$15,Paramètres!$A$1:$I$89,3,0)*VLOOKUP('Données projet'!$B$15,Paramètres!$A$1:$I$89,5,0)</f>
        <v>1.5252226148732008E-13</v>
      </c>
      <c r="EL167" s="14">
        <f t="shared" si="179"/>
        <v>2.1814502464536512E-12</v>
      </c>
      <c r="EM167" s="22">
        <f t="shared" si="180"/>
        <v>4.0650021179971913E-12</v>
      </c>
      <c r="EN167" s="60">
        <f t="shared" si="128"/>
        <v>288.13593173018478</v>
      </c>
      <c r="EO167" s="60">
        <f ca="1">AVERAGE(OFFSET($EN$3,0,0,'Données projet'!$E$15+1,1))-AVERAGE(OFFSET($H$3,0,0,'Données projet'!$E$15+1,1))</f>
        <v>375.49921531693559</v>
      </c>
      <c r="EP167" s="60">
        <f t="shared" si="154"/>
        <v>306.93934681565599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5.6843418860808015E-14</v>
      </c>
      <c r="FF167" s="18">
        <f>FE167*VLOOKUP('Données projet'!$B$16,Paramètres!$A$1:$I$89,3,0)*VLOOKUP('Données projet'!$B$16,Paramètres!$A$1:$I$89,5,0)</f>
        <v>4.6111381379887463E-14</v>
      </c>
      <c r="FG167" s="14">
        <f t="shared" si="182"/>
        <v>7.5804141040779151E-13</v>
      </c>
      <c r="FH167" s="22">
        <f t="shared" si="183"/>
        <v>1.4005661123635408E-12</v>
      </c>
      <c r="FI167" s="60">
        <f t="shared" si="131"/>
        <v>288.13593173018211</v>
      </c>
      <c r="FJ167" s="60">
        <f ca="1">AVERAGE(OFFSET($FI$3,0,0,'Données projet'!$E$16+1,1))-AVERAGE(OFFSET($H$3,0,0,'Données projet'!$E$16+1,1))</f>
        <v>308.58270639204238</v>
      </c>
      <c r="FK167" s="60">
        <f t="shared" si="156"/>
        <v>258.90832875500325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-4.5474735088646412E-13</v>
      </c>
      <c r="GA167" s="18">
        <f>FZ167*VLOOKUP('Données projet'!$B$17,Paramètres!$A$1:$I$89,3,0)*VLOOKUP('Données projet'!$B$17,Paramètres!$A$1:$I$89,5,0)</f>
        <v>-4.3983163777738812E-13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495.77880062178235</v>
      </c>
      <c r="GF167" s="60">
        <f t="shared" si="158"/>
        <v>263.55891737750301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1.9508661353029313E-13</v>
      </c>
      <c r="P168" s="14">
        <f t="shared" si="141"/>
        <v>2.711421636700695E-12</v>
      </c>
      <c r="Q168" s="22">
        <f t="shared" si="162"/>
        <v>5.0621685358189711E-12</v>
      </c>
      <c r="R168" s="60">
        <f t="shared" si="109"/>
        <v>288.22609502835121</v>
      </c>
      <c r="S168" s="60">
        <f ca="1">AVERAGE(OFFSET($R$3,0,0,'Données projet'!$E$9+1,1))-AVERAGE(OFFSET($H$3,0,0,'Données projet'!$E$9+1,1))</f>
        <v>598.73855311281966</v>
      </c>
      <c r="T168" s="60">
        <f t="shared" si="142"/>
        <v>275.88160405468193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-4.6111381379887462E-13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515.72324585399997</v>
      </c>
      <c r="AO168" s="60">
        <f t="shared" si="144"/>
        <v>273.35778700650792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2.7134774427395314E-13</v>
      </c>
      <c r="BF168" s="14">
        <f t="shared" si="167"/>
        <v>3.6292411711343559E-12</v>
      </c>
      <c r="BG168" s="22">
        <f t="shared" si="168"/>
        <v>6.7935256943361388E-12</v>
      </c>
      <c r="BH168" s="60">
        <f t="shared" si="116"/>
        <v>288.22609502835297</v>
      </c>
      <c r="BI168" s="60">
        <f ca="1">AVERAGE(OFFSET($BH$3,0,0,'Données projet'!$E$11+1,1))-AVERAGE(OFFSET($H$3,0,0,'Données projet'!$E$11+1,1))</f>
        <v>336.25341821407534</v>
      </c>
      <c r="BJ168" s="60">
        <f t="shared" si="146"/>
        <v>360.3246221345039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0.12315738030021639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0.12315738030021639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1.0818439477588981E-13</v>
      </c>
      <c r="CA168" s="14">
        <f t="shared" si="170"/>
        <v>1.6104228458716316E-12</v>
      </c>
      <c r="CB168" s="22">
        <f t="shared" si="171"/>
        <v>2.9932409441277661E-12</v>
      </c>
      <c r="CC168" s="60">
        <f t="shared" si="119"/>
        <v>288.22609502834916</v>
      </c>
      <c r="CD168" s="60">
        <f ca="1">AVERAGE(OFFSET($CC$3,0,0,'Données projet'!$E$12+1,1))-AVERAGE(OFFSET($H$3,0,0,'Données projet'!$E$12+1,1))</f>
        <v>438.41611139377829</v>
      </c>
      <c r="CE168" s="60">
        <f t="shared" si="148"/>
        <v>345.17417065809605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-4.5224624045658861E-14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395.27840703467933</v>
      </c>
      <c r="CZ168" s="60">
        <f t="shared" si="150"/>
        <v>364.24192380053944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-2.8421709430404007E-13</v>
      </c>
      <c r="DP168" s="18">
        <f>DO168*VLOOKUP('Données projet'!$B$14,Paramètres!$A$1:$I$89,3,0)*VLOOKUP('Données projet'!$B$14,Paramètres!$A$1:$I$89,5,0)</f>
        <v>-2.2168933355715128E-13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308.76306523144956</v>
      </c>
      <c r="DU168" s="60">
        <f t="shared" si="152"/>
        <v>283.28099819802776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2.2737367544323206E-13</v>
      </c>
      <c r="EK168" s="18">
        <f>EJ168*VLOOKUP('Données projet'!$B$15,Paramètres!$A$1:$I$89,3,0)*VLOOKUP('Données projet'!$B$15,Paramètres!$A$1:$I$89,5,0)</f>
        <v>1.5252226148732008E-13</v>
      </c>
      <c r="EL168" s="14">
        <f t="shared" si="179"/>
        <v>2.1814502464536512E-12</v>
      </c>
      <c r="EM168" s="22">
        <f t="shared" si="180"/>
        <v>4.0650021179971913E-12</v>
      </c>
      <c r="EN168" s="60">
        <f t="shared" si="128"/>
        <v>288.22609502835024</v>
      </c>
      <c r="EO168" s="60">
        <f ca="1">AVERAGE(OFFSET($EN$3,0,0,'Données projet'!$E$15+1,1))-AVERAGE(OFFSET($H$3,0,0,'Données projet'!$E$15+1,1))</f>
        <v>375.49921531693559</v>
      </c>
      <c r="EP168" s="60">
        <f t="shared" si="154"/>
        <v>306.93934681565599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5.6843418860808015E-14</v>
      </c>
      <c r="FF168" s="18">
        <f>FE168*VLOOKUP('Données projet'!$B$16,Paramètres!$A$1:$I$89,3,0)*VLOOKUP('Données projet'!$B$16,Paramètres!$A$1:$I$89,5,0)</f>
        <v>4.6111381379887463E-14</v>
      </c>
      <c r="FG168" s="14">
        <f t="shared" si="182"/>
        <v>7.5804141040779151E-13</v>
      </c>
      <c r="FH168" s="22">
        <f t="shared" si="183"/>
        <v>1.4005661123635408E-12</v>
      </c>
      <c r="FI168" s="60">
        <f t="shared" si="131"/>
        <v>288.22609502834757</v>
      </c>
      <c r="FJ168" s="60">
        <f ca="1">AVERAGE(OFFSET($FI$3,0,0,'Données projet'!$E$16+1,1))-AVERAGE(OFFSET($H$3,0,0,'Données projet'!$E$16+1,1))</f>
        <v>308.58270639204238</v>
      </c>
      <c r="FK168" s="60">
        <f t="shared" si="156"/>
        <v>258.90832875500325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-4.5474735088646412E-13</v>
      </c>
      <c r="GA168" s="18">
        <f>FZ168*VLOOKUP('Données projet'!$B$17,Paramètres!$A$1:$I$89,3,0)*VLOOKUP('Données projet'!$B$17,Paramètres!$A$1:$I$89,5,0)</f>
        <v>-4.3983163777738812E-13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495.77880062178235</v>
      </c>
      <c r="GF168" s="60">
        <f t="shared" si="158"/>
        <v>263.55891737750301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1.9508661353029313E-13</v>
      </c>
      <c r="P169" s="14">
        <f t="shared" si="141"/>
        <v>2.711421636700695E-12</v>
      </c>
      <c r="Q169" s="22">
        <f t="shared" si="162"/>
        <v>5.0621685358189711E-12</v>
      </c>
      <c r="R169" s="60">
        <f t="shared" si="109"/>
        <v>288.31469419486848</v>
      </c>
      <c r="S169" s="60">
        <f ca="1">AVERAGE(OFFSET($R$3,0,0,'Données projet'!$E$9+1,1))-AVERAGE(OFFSET($H$3,0,0,'Données projet'!$E$9+1,1))</f>
        <v>598.73855311281966</v>
      </c>
      <c r="T169" s="60">
        <f t="shared" si="142"/>
        <v>275.88160405468193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-4.6111381379887462E-13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515.72324585399997</v>
      </c>
      <c r="AO169" s="60">
        <f t="shared" si="144"/>
        <v>273.35778700650792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2.7134774427395314E-13</v>
      </c>
      <c r="BF169" s="14">
        <f t="shared" si="167"/>
        <v>3.6292411711343559E-12</v>
      </c>
      <c r="BG169" s="22">
        <f t="shared" si="168"/>
        <v>6.7935256943361388E-12</v>
      </c>
      <c r="BH169" s="60">
        <f t="shared" si="116"/>
        <v>288.31469419487024</v>
      </c>
      <c r="BI169" s="60">
        <f ca="1">AVERAGE(OFFSET($BH$3,0,0,'Données projet'!$E$11+1,1))-AVERAGE(OFFSET($H$3,0,0,'Données projet'!$E$11+1,1))</f>
        <v>336.25341821407534</v>
      </c>
      <c r="BJ169" s="60">
        <f t="shared" si="146"/>
        <v>360.3246221345039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0.11978963525934182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0.11978963525934182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1.0818439477588981E-13</v>
      </c>
      <c r="CA169" s="14">
        <f t="shared" si="170"/>
        <v>1.6104228458716316E-12</v>
      </c>
      <c r="CB169" s="22">
        <f t="shared" si="171"/>
        <v>2.9932409441277661E-12</v>
      </c>
      <c r="CC169" s="60">
        <f t="shared" si="119"/>
        <v>288.31469419486643</v>
      </c>
      <c r="CD169" s="60">
        <f ca="1">AVERAGE(OFFSET($CC$3,0,0,'Données projet'!$E$12+1,1))-AVERAGE(OFFSET($H$3,0,0,'Données projet'!$E$12+1,1))</f>
        <v>438.41611139377829</v>
      </c>
      <c r="CE169" s="60">
        <f t="shared" si="148"/>
        <v>345.17417065809605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-4.5224624045658861E-14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395.27840703467933</v>
      </c>
      <c r="CZ169" s="60">
        <f t="shared" si="150"/>
        <v>364.24192380053944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-2.8421709430404007E-13</v>
      </c>
      <c r="DP169" s="18">
        <f>DO169*VLOOKUP('Données projet'!$B$14,Paramètres!$A$1:$I$89,3,0)*VLOOKUP('Données projet'!$B$14,Paramètres!$A$1:$I$89,5,0)</f>
        <v>-2.2168933355715128E-13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308.76306523144956</v>
      </c>
      <c r="DU169" s="60">
        <f t="shared" si="152"/>
        <v>283.28099819802776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2.2737367544323206E-13</v>
      </c>
      <c r="EK169" s="18">
        <f>EJ169*VLOOKUP('Données projet'!$B$15,Paramètres!$A$1:$I$89,3,0)*VLOOKUP('Données projet'!$B$15,Paramètres!$A$1:$I$89,5,0)</f>
        <v>1.5252226148732008E-13</v>
      </c>
      <c r="EL169" s="14">
        <f t="shared" si="179"/>
        <v>2.1814502464536512E-12</v>
      </c>
      <c r="EM169" s="22">
        <f t="shared" si="180"/>
        <v>4.0650021179971913E-12</v>
      </c>
      <c r="EN169" s="60">
        <f t="shared" si="128"/>
        <v>288.31469419486751</v>
      </c>
      <c r="EO169" s="60">
        <f ca="1">AVERAGE(OFFSET($EN$3,0,0,'Données projet'!$E$15+1,1))-AVERAGE(OFFSET($H$3,0,0,'Données projet'!$E$15+1,1))</f>
        <v>375.49921531693559</v>
      </c>
      <c r="EP169" s="60">
        <f t="shared" si="154"/>
        <v>306.93934681565599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5.6843418860808015E-14</v>
      </c>
      <c r="FF169" s="18">
        <f>FE169*VLOOKUP('Données projet'!$B$16,Paramètres!$A$1:$I$89,3,0)*VLOOKUP('Données projet'!$B$16,Paramètres!$A$1:$I$89,5,0)</f>
        <v>4.6111381379887463E-14</v>
      </c>
      <c r="FG169" s="14">
        <f t="shared" si="182"/>
        <v>7.5804141040779151E-13</v>
      </c>
      <c r="FH169" s="22">
        <f t="shared" si="183"/>
        <v>1.4005661123635408E-12</v>
      </c>
      <c r="FI169" s="60">
        <f t="shared" si="131"/>
        <v>288.31469419486484</v>
      </c>
      <c r="FJ169" s="60">
        <f ca="1">AVERAGE(OFFSET($FI$3,0,0,'Données projet'!$E$16+1,1))-AVERAGE(OFFSET($H$3,0,0,'Données projet'!$E$16+1,1))</f>
        <v>308.58270639204238</v>
      </c>
      <c r="FK169" s="60">
        <f t="shared" si="156"/>
        <v>258.90832875500325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-4.5474735088646412E-13</v>
      </c>
      <c r="GA169" s="18">
        <f>FZ169*VLOOKUP('Données projet'!$B$17,Paramètres!$A$1:$I$89,3,0)*VLOOKUP('Données projet'!$B$17,Paramètres!$A$1:$I$89,5,0)</f>
        <v>-4.3983163777738812E-13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495.77880062178235</v>
      </c>
      <c r="GF169" s="60">
        <f t="shared" si="158"/>
        <v>263.55891737750301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1.9508661353029313E-13</v>
      </c>
      <c r="P170" s="14">
        <f t="shared" si="141"/>
        <v>2.711421636700695E-12</v>
      </c>
      <c r="Q170" s="22">
        <f t="shared" si="162"/>
        <v>5.0621685358189711E-12</v>
      </c>
      <c r="R170" s="60">
        <f t="shared" si="109"/>
        <v>288.40175636392468</v>
      </c>
      <c r="S170" s="60">
        <f ca="1">AVERAGE(OFFSET($R$3,0,0,'Données projet'!$E$9+1,1))-AVERAGE(OFFSET($H$3,0,0,'Données projet'!$E$9+1,1))</f>
        <v>598.73855311281966</v>
      </c>
      <c r="T170" s="60">
        <f t="shared" si="142"/>
        <v>275.88160405468193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-4.6111381379887462E-13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515.72324585399997</v>
      </c>
      <c r="AO170" s="60">
        <f t="shared" si="144"/>
        <v>273.35778700650792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2.7134774427395314E-13</v>
      </c>
      <c r="BF170" s="14">
        <f t="shared" si="167"/>
        <v>3.6292411711343559E-12</v>
      </c>
      <c r="BG170" s="22">
        <f t="shared" si="168"/>
        <v>6.7935256943361388E-12</v>
      </c>
      <c r="BH170" s="60">
        <f t="shared" si="116"/>
        <v>288.40175636392644</v>
      </c>
      <c r="BI170" s="60">
        <f ca="1">AVERAGE(OFFSET($BH$3,0,0,'Données projet'!$E$11+1,1))-AVERAGE(OFFSET($H$3,0,0,'Données projet'!$E$11+1,1))</f>
        <v>336.25341821407534</v>
      </c>
      <c r="BJ170" s="60">
        <f t="shared" si="146"/>
        <v>360.3246221345039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0.11651398138371198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0.11651398138371198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1.0818439477588981E-13</v>
      </c>
      <c r="CA170" s="14">
        <f t="shared" si="170"/>
        <v>1.6104228458716316E-12</v>
      </c>
      <c r="CB170" s="22">
        <f t="shared" si="171"/>
        <v>2.9932409441277661E-12</v>
      </c>
      <c r="CC170" s="60">
        <f t="shared" si="119"/>
        <v>288.40175636392263</v>
      </c>
      <c r="CD170" s="60">
        <f ca="1">AVERAGE(OFFSET($CC$3,0,0,'Données projet'!$E$12+1,1))-AVERAGE(OFFSET($H$3,0,0,'Données projet'!$E$12+1,1))</f>
        <v>438.41611139377829</v>
      </c>
      <c r="CE170" s="60">
        <f t="shared" si="148"/>
        <v>345.17417065809605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-4.5224624045658861E-14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395.27840703467933</v>
      </c>
      <c r="CZ170" s="60">
        <f t="shared" si="150"/>
        <v>364.24192380053944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-2.8421709430404007E-13</v>
      </c>
      <c r="DP170" s="18">
        <f>DO170*VLOOKUP('Données projet'!$B$14,Paramètres!$A$1:$I$89,3,0)*VLOOKUP('Données projet'!$B$14,Paramètres!$A$1:$I$89,5,0)</f>
        <v>-2.2168933355715128E-13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308.76306523144956</v>
      </c>
      <c r="DU170" s="60">
        <f t="shared" si="152"/>
        <v>283.28099819802776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2.2737367544323206E-13</v>
      </c>
      <c r="EK170" s="18">
        <f>EJ170*VLOOKUP('Données projet'!$B$15,Paramètres!$A$1:$I$89,3,0)*VLOOKUP('Données projet'!$B$15,Paramètres!$A$1:$I$89,5,0)</f>
        <v>1.5252226148732008E-13</v>
      </c>
      <c r="EL170" s="14">
        <f t="shared" si="179"/>
        <v>2.1814502464536512E-12</v>
      </c>
      <c r="EM170" s="22">
        <f t="shared" si="180"/>
        <v>4.0650021179971913E-12</v>
      </c>
      <c r="EN170" s="60">
        <f t="shared" si="128"/>
        <v>288.40175636392371</v>
      </c>
      <c r="EO170" s="60">
        <f ca="1">AVERAGE(OFFSET($EN$3,0,0,'Données projet'!$E$15+1,1))-AVERAGE(OFFSET($H$3,0,0,'Données projet'!$E$15+1,1))</f>
        <v>375.49921531693559</v>
      </c>
      <c r="EP170" s="60">
        <f t="shared" si="154"/>
        <v>306.93934681565599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5.6843418860808015E-14</v>
      </c>
      <c r="FF170" s="18">
        <f>FE170*VLOOKUP('Données projet'!$B$16,Paramètres!$A$1:$I$89,3,0)*VLOOKUP('Données projet'!$B$16,Paramètres!$A$1:$I$89,5,0)</f>
        <v>4.6111381379887463E-14</v>
      </c>
      <c r="FG170" s="14">
        <f t="shared" si="182"/>
        <v>7.5804141040779151E-13</v>
      </c>
      <c r="FH170" s="22">
        <f t="shared" si="183"/>
        <v>1.4005661123635408E-12</v>
      </c>
      <c r="FI170" s="60">
        <f t="shared" si="131"/>
        <v>288.40175636392104</v>
      </c>
      <c r="FJ170" s="60">
        <f ca="1">AVERAGE(OFFSET($FI$3,0,0,'Données projet'!$E$16+1,1))-AVERAGE(OFFSET($H$3,0,0,'Données projet'!$E$16+1,1))</f>
        <v>308.58270639204238</v>
      </c>
      <c r="FK170" s="60">
        <f t="shared" si="156"/>
        <v>258.90832875500325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-4.5474735088646412E-13</v>
      </c>
      <c r="GA170" s="18">
        <f>FZ170*VLOOKUP('Données projet'!$B$17,Paramètres!$A$1:$I$89,3,0)*VLOOKUP('Données projet'!$B$17,Paramètres!$A$1:$I$89,5,0)</f>
        <v>-4.3983163777738812E-13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495.77880062178235</v>
      </c>
      <c r="GF170" s="60">
        <f t="shared" si="158"/>
        <v>263.55891737750301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1.9508661353029313E-13</v>
      </c>
      <c r="P171" s="14">
        <f t="shared" si="141"/>
        <v>2.711421636700695E-12</v>
      </c>
      <c r="Q171" s="22">
        <f t="shared" si="162"/>
        <v>5.0621685358189711E-12</v>
      </c>
      <c r="R171" s="60">
        <f t="shared" si="109"/>
        <v>288.48730819898958</v>
      </c>
      <c r="S171" s="60">
        <f ca="1">AVERAGE(OFFSET($R$3,0,0,'Données projet'!$E$9+1,1))-AVERAGE(OFFSET($H$3,0,0,'Données projet'!$E$9+1,1))</f>
        <v>598.73855311281966</v>
      </c>
      <c r="T171" s="60">
        <f t="shared" si="142"/>
        <v>275.88160405468193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-4.6111381379887462E-13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515.72324585399997</v>
      </c>
      <c r="AO171" s="60">
        <f t="shared" si="144"/>
        <v>273.35778700650792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2.7134774427395314E-13</v>
      </c>
      <c r="BF171" s="14">
        <f t="shared" si="167"/>
        <v>3.6292411711343559E-12</v>
      </c>
      <c r="BG171" s="22">
        <f t="shared" si="168"/>
        <v>6.7935256943361388E-12</v>
      </c>
      <c r="BH171" s="60">
        <f t="shared" si="116"/>
        <v>288.48730819899134</v>
      </c>
      <c r="BI171" s="60">
        <f ca="1">AVERAGE(OFFSET($BH$3,0,0,'Données projet'!$E$11+1,1))-AVERAGE(OFFSET($H$3,0,0,'Données projet'!$E$11+1,1))</f>
        <v>336.25341821407534</v>
      </c>
      <c r="BJ171" s="60">
        <f t="shared" si="146"/>
        <v>360.3246221345039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0.11332790043557039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0.11332790043557039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1.0818439477588981E-13</v>
      </c>
      <c r="CA171" s="14">
        <f t="shared" si="170"/>
        <v>1.6104228458716316E-12</v>
      </c>
      <c r="CB171" s="22">
        <f t="shared" si="171"/>
        <v>2.9932409441277661E-12</v>
      </c>
      <c r="CC171" s="60">
        <f t="shared" si="119"/>
        <v>288.48730819898753</v>
      </c>
      <c r="CD171" s="60">
        <f ca="1">AVERAGE(OFFSET($CC$3,0,0,'Données projet'!$E$12+1,1))-AVERAGE(OFFSET($H$3,0,0,'Données projet'!$E$12+1,1))</f>
        <v>438.41611139377829</v>
      </c>
      <c r="CE171" s="60">
        <f t="shared" si="148"/>
        <v>345.17417065809605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-4.5224624045658861E-14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395.27840703467933</v>
      </c>
      <c r="CZ171" s="60">
        <f t="shared" si="150"/>
        <v>364.24192380053944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-2.8421709430404007E-13</v>
      </c>
      <c r="DP171" s="18">
        <f>DO171*VLOOKUP('Données projet'!$B$14,Paramètres!$A$1:$I$89,3,0)*VLOOKUP('Données projet'!$B$14,Paramètres!$A$1:$I$89,5,0)</f>
        <v>-2.2168933355715128E-13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308.76306523144956</v>
      </c>
      <c r="DU171" s="60">
        <f t="shared" si="152"/>
        <v>283.28099819802776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2.2737367544323206E-13</v>
      </c>
      <c r="EK171" s="18">
        <f>EJ171*VLOOKUP('Données projet'!$B$15,Paramètres!$A$1:$I$89,3,0)*VLOOKUP('Données projet'!$B$15,Paramètres!$A$1:$I$89,5,0)</f>
        <v>1.5252226148732008E-13</v>
      </c>
      <c r="EL171" s="14">
        <f t="shared" si="179"/>
        <v>2.1814502464536512E-12</v>
      </c>
      <c r="EM171" s="22">
        <f t="shared" si="180"/>
        <v>4.0650021179971913E-12</v>
      </c>
      <c r="EN171" s="60">
        <f t="shared" si="128"/>
        <v>288.48730819898861</v>
      </c>
      <c r="EO171" s="60">
        <f ca="1">AVERAGE(OFFSET($EN$3,0,0,'Données projet'!$E$15+1,1))-AVERAGE(OFFSET($H$3,0,0,'Données projet'!$E$15+1,1))</f>
        <v>375.49921531693559</v>
      </c>
      <c r="EP171" s="60">
        <f t="shared" si="154"/>
        <v>306.93934681565599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5.6843418860808015E-14</v>
      </c>
      <c r="FF171" s="18">
        <f>FE171*VLOOKUP('Données projet'!$B$16,Paramètres!$A$1:$I$89,3,0)*VLOOKUP('Données projet'!$B$16,Paramètres!$A$1:$I$89,5,0)</f>
        <v>4.6111381379887463E-14</v>
      </c>
      <c r="FG171" s="14">
        <f t="shared" si="182"/>
        <v>7.5804141040779151E-13</v>
      </c>
      <c r="FH171" s="22">
        <f t="shared" si="183"/>
        <v>1.4005661123635408E-12</v>
      </c>
      <c r="FI171" s="60">
        <f t="shared" si="131"/>
        <v>288.48730819898594</v>
      </c>
      <c r="FJ171" s="60">
        <f ca="1">AVERAGE(OFFSET($FI$3,0,0,'Données projet'!$E$16+1,1))-AVERAGE(OFFSET($H$3,0,0,'Données projet'!$E$16+1,1))</f>
        <v>308.58270639204238</v>
      </c>
      <c r="FK171" s="60">
        <f t="shared" si="156"/>
        <v>258.90832875500325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-4.5474735088646412E-13</v>
      </c>
      <c r="GA171" s="18">
        <f>FZ171*VLOOKUP('Données projet'!$B$17,Paramètres!$A$1:$I$89,3,0)*VLOOKUP('Données projet'!$B$17,Paramètres!$A$1:$I$89,5,0)</f>
        <v>-4.3983163777738812E-13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495.77880062178235</v>
      </c>
      <c r="GF171" s="60">
        <f t="shared" si="158"/>
        <v>263.55891737750301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1.9508661353029313E-13</v>
      </c>
      <c r="P172" s="14">
        <f t="shared" si="141"/>
        <v>2.711421636700695E-12</v>
      </c>
      <c r="Q172" s="22">
        <f t="shared" si="162"/>
        <v>5.0621685358189711E-12</v>
      </c>
      <c r="R172" s="60">
        <f t="shared" si="109"/>
        <v>288.57137590098148</v>
      </c>
      <c r="S172" s="60">
        <f ca="1">AVERAGE(OFFSET($R$3,0,0,'Données projet'!$E$9+1,1))-AVERAGE(OFFSET($H$3,0,0,'Données projet'!$E$9+1,1))</f>
        <v>598.73855311281966</v>
      </c>
      <c r="T172" s="60">
        <f t="shared" si="142"/>
        <v>275.88160405468193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-4.6111381379887462E-13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515.72324585399997</v>
      </c>
      <c r="AO172" s="60">
        <f t="shared" si="144"/>
        <v>273.35778700650792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2.7134774427395314E-13</v>
      </c>
      <c r="BF172" s="14">
        <f t="shared" si="167"/>
        <v>3.6292411711343559E-12</v>
      </c>
      <c r="BG172" s="22">
        <f t="shared" si="168"/>
        <v>6.7935256943361388E-12</v>
      </c>
      <c r="BH172" s="60">
        <f t="shared" si="116"/>
        <v>288.57137590098324</v>
      </c>
      <c r="BI172" s="60">
        <f ca="1">AVERAGE(OFFSET($BH$3,0,0,'Données projet'!$E$11+1,1))-AVERAGE(OFFSET($H$3,0,0,'Données projet'!$E$11+1,1))</f>
        <v>336.25341821407534</v>
      </c>
      <c r="BJ172" s="60">
        <f t="shared" si="146"/>
        <v>360.3246221345039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0.11022894303850446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0.11022894303850446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1.0818439477588981E-13</v>
      </c>
      <c r="CA172" s="14">
        <f t="shared" si="170"/>
        <v>1.6104228458716316E-12</v>
      </c>
      <c r="CB172" s="22">
        <f t="shared" si="171"/>
        <v>2.9932409441277661E-12</v>
      </c>
      <c r="CC172" s="60">
        <f t="shared" si="119"/>
        <v>288.57137590097943</v>
      </c>
      <c r="CD172" s="60">
        <f ca="1">AVERAGE(OFFSET($CC$3,0,0,'Données projet'!$E$12+1,1))-AVERAGE(OFFSET($H$3,0,0,'Données projet'!$E$12+1,1))</f>
        <v>438.41611139377829</v>
      </c>
      <c r="CE172" s="60">
        <f t="shared" si="148"/>
        <v>345.17417065809605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-4.5224624045658861E-14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395.27840703467933</v>
      </c>
      <c r="CZ172" s="60">
        <f t="shared" si="150"/>
        <v>364.24192380053944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-2.8421709430404007E-13</v>
      </c>
      <c r="DP172" s="18">
        <f>DO172*VLOOKUP('Données projet'!$B$14,Paramètres!$A$1:$I$89,3,0)*VLOOKUP('Données projet'!$B$14,Paramètres!$A$1:$I$89,5,0)</f>
        <v>-2.2168933355715128E-13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308.76306523144956</v>
      </c>
      <c r="DU172" s="60">
        <f t="shared" si="152"/>
        <v>283.28099819802776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2.2737367544323206E-13</v>
      </c>
      <c r="EK172" s="18">
        <f>EJ172*VLOOKUP('Données projet'!$B$15,Paramètres!$A$1:$I$89,3,0)*VLOOKUP('Données projet'!$B$15,Paramètres!$A$1:$I$89,5,0)</f>
        <v>1.5252226148732008E-13</v>
      </c>
      <c r="EL172" s="14">
        <f t="shared" si="179"/>
        <v>2.1814502464536512E-12</v>
      </c>
      <c r="EM172" s="22">
        <f t="shared" si="180"/>
        <v>4.0650021179971913E-12</v>
      </c>
      <c r="EN172" s="60">
        <f t="shared" si="128"/>
        <v>288.57137590098051</v>
      </c>
      <c r="EO172" s="60">
        <f ca="1">AVERAGE(OFFSET($EN$3,0,0,'Données projet'!$E$15+1,1))-AVERAGE(OFFSET($H$3,0,0,'Données projet'!$E$15+1,1))</f>
        <v>375.49921531693559</v>
      </c>
      <c r="EP172" s="60">
        <f t="shared" si="154"/>
        <v>306.93934681565599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5.6843418860808015E-14</v>
      </c>
      <c r="FF172" s="18">
        <f>FE172*VLOOKUP('Données projet'!$B$16,Paramètres!$A$1:$I$89,3,0)*VLOOKUP('Données projet'!$B$16,Paramètres!$A$1:$I$89,5,0)</f>
        <v>4.6111381379887463E-14</v>
      </c>
      <c r="FG172" s="14">
        <f t="shared" si="182"/>
        <v>7.5804141040779151E-13</v>
      </c>
      <c r="FH172" s="22">
        <f t="shared" si="183"/>
        <v>1.4005661123635408E-12</v>
      </c>
      <c r="FI172" s="60">
        <f t="shared" si="131"/>
        <v>288.57137590097784</v>
      </c>
      <c r="FJ172" s="60">
        <f ca="1">AVERAGE(OFFSET($FI$3,0,0,'Données projet'!$E$16+1,1))-AVERAGE(OFFSET($H$3,0,0,'Données projet'!$E$16+1,1))</f>
        <v>308.58270639204238</v>
      </c>
      <c r="FK172" s="60">
        <f t="shared" si="156"/>
        <v>258.90832875500325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-4.5474735088646412E-13</v>
      </c>
      <c r="GA172" s="18">
        <f>FZ172*VLOOKUP('Données projet'!$B$17,Paramètres!$A$1:$I$89,3,0)*VLOOKUP('Données projet'!$B$17,Paramètres!$A$1:$I$89,5,0)</f>
        <v>-4.3983163777738812E-13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495.77880062178235</v>
      </c>
      <c r="GF172" s="60">
        <f t="shared" si="158"/>
        <v>263.55891737750301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1.9508661353029313E-13</v>
      </c>
      <c r="P173" s="14">
        <f t="shared" si="141"/>
        <v>2.711421636700695E-12</v>
      </c>
      <c r="Q173" s="22">
        <f t="shared" si="162"/>
        <v>5.0621685358189711E-12</v>
      </c>
      <c r="R173" s="60">
        <f t="shared" si="109"/>
        <v>288.65398521629095</v>
      </c>
      <c r="S173" s="60">
        <f ca="1">AVERAGE(OFFSET($R$3,0,0,'Données projet'!$E$9+1,1))-AVERAGE(OFFSET($H$3,0,0,'Données projet'!$E$9+1,1))</f>
        <v>598.73855311281966</v>
      </c>
      <c r="T173" s="60">
        <f t="shared" si="142"/>
        <v>275.88160405468193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-4.6111381379887462E-13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515.72324585399997</v>
      </c>
      <c r="AO173" s="60">
        <f t="shared" si="144"/>
        <v>273.35778700650792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2.7134774427395314E-13</v>
      </c>
      <c r="BF173" s="14">
        <f t="shared" si="167"/>
        <v>3.6292411711343559E-12</v>
      </c>
      <c r="BG173" s="22">
        <f t="shared" si="168"/>
        <v>6.7935256943361388E-12</v>
      </c>
      <c r="BH173" s="60">
        <f t="shared" si="116"/>
        <v>288.65398521629271</v>
      </c>
      <c r="BI173" s="60">
        <f ca="1">AVERAGE(OFFSET($BH$3,0,0,'Données projet'!$E$11+1,1))-AVERAGE(OFFSET($H$3,0,0,'Données projet'!$E$11+1,1))</f>
        <v>336.25341821407534</v>
      </c>
      <c r="BJ173" s="60">
        <f t="shared" si="146"/>
        <v>360.3246221345039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0.10721472679442837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0.10721472679442837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1.0818439477588981E-13</v>
      </c>
      <c r="CA173" s="14">
        <f t="shared" si="170"/>
        <v>1.6104228458716316E-12</v>
      </c>
      <c r="CB173" s="22">
        <f t="shared" si="171"/>
        <v>2.9932409441277661E-12</v>
      </c>
      <c r="CC173" s="60">
        <f t="shared" si="119"/>
        <v>288.6539852162889</v>
      </c>
      <c r="CD173" s="60">
        <f ca="1">AVERAGE(OFFSET($CC$3,0,0,'Données projet'!$E$12+1,1))-AVERAGE(OFFSET($H$3,0,0,'Données projet'!$E$12+1,1))</f>
        <v>438.41611139377829</v>
      </c>
      <c r="CE173" s="60">
        <f t="shared" si="148"/>
        <v>345.17417065809605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-4.5224624045658861E-14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395.27840703467933</v>
      </c>
      <c r="CZ173" s="60">
        <f t="shared" si="150"/>
        <v>364.24192380053944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-2.8421709430404007E-13</v>
      </c>
      <c r="DP173" s="18">
        <f>DO173*VLOOKUP('Données projet'!$B$14,Paramètres!$A$1:$I$89,3,0)*VLOOKUP('Données projet'!$B$14,Paramètres!$A$1:$I$89,5,0)</f>
        <v>-2.2168933355715128E-13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308.76306523144956</v>
      </c>
      <c r="DU173" s="60">
        <f t="shared" si="152"/>
        <v>283.28099819802776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2.2737367544323206E-13</v>
      </c>
      <c r="EK173" s="18">
        <f>EJ173*VLOOKUP('Données projet'!$B$15,Paramètres!$A$1:$I$89,3,0)*VLOOKUP('Données projet'!$B$15,Paramètres!$A$1:$I$89,5,0)</f>
        <v>1.5252226148732008E-13</v>
      </c>
      <c r="EL173" s="14">
        <f t="shared" si="179"/>
        <v>2.1814502464536512E-12</v>
      </c>
      <c r="EM173" s="22">
        <f t="shared" si="180"/>
        <v>4.0650021179971913E-12</v>
      </c>
      <c r="EN173" s="60">
        <f t="shared" si="128"/>
        <v>288.65398521628998</v>
      </c>
      <c r="EO173" s="60">
        <f ca="1">AVERAGE(OFFSET($EN$3,0,0,'Données projet'!$E$15+1,1))-AVERAGE(OFFSET($H$3,0,0,'Données projet'!$E$15+1,1))</f>
        <v>375.49921531693559</v>
      </c>
      <c r="EP173" s="60">
        <f t="shared" si="154"/>
        <v>306.93934681565599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5.6843418860808015E-14</v>
      </c>
      <c r="FF173" s="18">
        <f>FE173*VLOOKUP('Données projet'!$B$16,Paramètres!$A$1:$I$89,3,0)*VLOOKUP('Données projet'!$B$16,Paramètres!$A$1:$I$89,5,0)</f>
        <v>4.6111381379887463E-14</v>
      </c>
      <c r="FG173" s="14">
        <f t="shared" si="182"/>
        <v>7.5804141040779151E-13</v>
      </c>
      <c r="FH173" s="22">
        <f t="shared" si="183"/>
        <v>1.4005661123635408E-12</v>
      </c>
      <c r="FI173" s="60">
        <f t="shared" si="131"/>
        <v>288.65398521628731</v>
      </c>
      <c r="FJ173" s="60">
        <f ca="1">AVERAGE(OFFSET($FI$3,0,0,'Données projet'!$E$16+1,1))-AVERAGE(OFFSET($H$3,0,0,'Données projet'!$E$16+1,1))</f>
        <v>308.58270639204238</v>
      </c>
      <c r="FK173" s="60">
        <f t="shared" si="156"/>
        <v>258.90832875500325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-4.5474735088646412E-13</v>
      </c>
      <c r="GA173" s="18">
        <f>FZ173*VLOOKUP('Données projet'!$B$17,Paramètres!$A$1:$I$89,3,0)*VLOOKUP('Données projet'!$B$17,Paramètres!$A$1:$I$89,5,0)</f>
        <v>-4.3983163777738812E-13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495.77880062178235</v>
      </c>
      <c r="GF173" s="60">
        <f t="shared" si="158"/>
        <v>263.55891737750301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1.9508661353029313E-13</v>
      </c>
      <c r="P174" s="14">
        <f t="shared" si="141"/>
        <v>2.711421636700695E-12</v>
      </c>
      <c r="Q174" s="22">
        <f t="shared" si="162"/>
        <v>5.0621685358189711E-12</v>
      </c>
      <c r="R174" s="60">
        <f t="shared" si="109"/>
        <v>288.73516144466657</v>
      </c>
      <c r="S174" s="60">
        <f ca="1">AVERAGE(OFFSET($R$3,0,0,'Données projet'!$E$9+1,1))-AVERAGE(OFFSET($H$3,0,0,'Données projet'!$E$9+1,1))</f>
        <v>598.73855311281966</v>
      </c>
      <c r="T174" s="60">
        <f t="shared" si="142"/>
        <v>275.88160405468193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-4.6111381379887462E-13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515.72324585399997</v>
      </c>
      <c r="AO174" s="60">
        <f t="shared" si="144"/>
        <v>273.35778700650792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2.7134774427395314E-13</v>
      </c>
      <c r="BF174" s="14">
        <f t="shared" si="167"/>
        <v>3.6292411711343559E-12</v>
      </c>
      <c r="BG174" s="22">
        <f t="shared" si="168"/>
        <v>6.7935256943361388E-12</v>
      </c>
      <c r="BH174" s="60">
        <f t="shared" si="116"/>
        <v>288.73516144466834</v>
      </c>
      <c r="BI174" s="60">
        <f ca="1">AVERAGE(OFFSET($BH$3,0,0,'Données projet'!$E$11+1,1))-AVERAGE(OFFSET($H$3,0,0,'Données projet'!$E$11+1,1))</f>
        <v>336.25341821407534</v>
      </c>
      <c r="BJ174" s="60">
        <f t="shared" si="146"/>
        <v>360.3246221345039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0.10428293445205729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0.10428293445205729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1.0818439477588981E-13</v>
      </c>
      <c r="CA174" s="14">
        <f t="shared" si="170"/>
        <v>1.6104228458716316E-12</v>
      </c>
      <c r="CB174" s="22">
        <f t="shared" si="171"/>
        <v>2.9932409441277661E-12</v>
      </c>
      <c r="CC174" s="60">
        <f t="shared" si="119"/>
        <v>288.73516144466453</v>
      </c>
      <c r="CD174" s="60">
        <f ca="1">AVERAGE(OFFSET($CC$3,0,0,'Données projet'!$E$12+1,1))-AVERAGE(OFFSET($H$3,0,0,'Données projet'!$E$12+1,1))</f>
        <v>438.41611139377829</v>
      </c>
      <c r="CE174" s="60">
        <f t="shared" si="148"/>
        <v>345.17417065809605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-4.5224624045658861E-14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395.27840703467933</v>
      </c>
      <c r="CZ174" s="60">
        <f t="shared" si="150"/>
        <v>364.24192380053944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-2.8421709430404007E-13</v>
      </c>
      <c r="DP174" s="18">
        <f>DO174*VLOOKUP('Données projet'!$B$14,Paramètres!$A$1:$I$89,3,0)*VLOOKUP('Données projet'!$B$14,Paramètres!$A$1:$I$89,5,0)</f>
        <v>-2.2168933355715128E-13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308.76306523144956</v>
      </c>
      <c r="DU174" s="60">
        <f t="shared" si="152"/>
        <v>283.28099819802776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2.2737367544323206E-13</v>
      </c>
      <c r="EK174" s="18">
        <f>EJ174*VLOOKUP('Données projet'!$B$15,Paramètres!$A$1:$I$89,3,0)*VLOOKUP('Données projet'!$B$15,Paramètres!$A$1:$I$89,5,0)</f>
        <v>1.5252226148732008E-13</v>
      </c>
      <c r="EL174" s="14">
        <f t="shared" si="179"/>
        <v>2.1814502464536512E-12</v>
      </c>
      <c r="EM174" s="22">
        <f t="shared" si="180"/>
        <v>4.0650021179971913E-12</v>
      </c>
      <c r="EN174" s="60">
        <f t="shared" si="128"/>
        <v>288.73516144466561</v>
      </c>
      <c r="EO174" s="60">
        <f ca="1">AVERAGE(OFFSET($EN$3,0,0,'Données projet'!$E$15+1,1))-AVERAGE(OFFSET($H$3,0,0,'Données projet'!$E$15+1,1))</f>
        <v>375.49921531693559</v>
      </c>
      <c r="EP174" s="60">
        <f t="shared" si="154"/>
        <v>306.93934681565599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5.6843418860808015E-14</v>
      </c>
      <c r="FF174" s="18">
        <f>FE174*VLOOKUP('Données projet'!$B$16,Paramètres!$A$1:$I$89,3,0)*VLOOKUP('Données projet'!$B$16,Paramètres!$A$1:$I$89,5,0)</f>
        <v>4.6111381379887463E-14</v>
      </c>
      <c r="FG174" s="14">
        <f t="shared" si="182"/>
        <v>7.5804141040779151E-13</v>
      </c>
      <c r="FH174" s="22">
        <f t="shared" si="183"/>
        <v>1.4005661123635408E-12</v>
      </c>
      <c r="FI174" s="60">
        <f t="shared" si="131"/>
        <v>288.73516144466294</v>
      </c>
      <c r="FJ174" s="60">
        <f ca="1">AVERAGE(OFFSET($FI$3,0,0,'Données projet'!$E$16+1,1))-AVERAGE(OFFSET($H$3,0,0,'Données projet'!$E$16+1,1))</f>
        <v>308.58270639204238</v>
      </c>
      <c r="FK174" s="60">
        <f t="shared" si="156"/>
        <v>258.90832875500325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-4.5474735088646412E-13</v>
      </c>
      <c r="GA174" s="18">
        <f>FZ174*VLOOKUP('Données projet'!$B$17,Paramètres!$A$1:$I$89,3,0)*VLOOKUP('Données projet'!$B$17,Paramètres!$A$1:$I$89,5,0)</f>
        <v>-4.3983163777738812E-13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495.77880062178235</v>
      </c>
      <c r="GF174" s="60">
        <f t="shared" si="158"/>
        <v>263.55891737750301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1.9508661353029313E-13</v>
      </c>
      <c r="P175" s="14">
        <f t="shared" si="141"/>
        <v>2.711421636700695E-12</v>
      </c>
      <c r="Q175" s="22">
        <f t="shared" si="162"/>
        <v>5.0621685358189711E-12</v>
      </c>
      <c r="R175" s="60">
        <f t="shared" si="109"/>
        <v>288.81492944696271</v>
      </c>
      <c r="S175" s="60">
        <f ca="1">AVERAGE(OFFSET($R$3,0,0,'Données projet'!$E$9+1,1))-AVERAGE(OFFSET($H$3,0,0,'Données projet'!$E$9+1,1))</f>
        <v>598.73855311281966</v>
      </c>
      <c r="T175" s="60">
        <f t="shared" si="142"/>
        <v>275.88160405468193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-4.6111381379887462E-13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515.72324585399997</v>
      </c>
      <c r="AO175" s="60">
        <f t="shared" si="144"/>
        <v>273.35778700650792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2.7134774427395314E-13</v>
      </c>
      <c r="BF175" s="14">
        <f t="shared" si="167"/>
        <v>3.6292411711343559E-12</v>
      </c>
      <c r="BG175" s="22">
        <f t="shared" si="168"/>
        <v>6.7935256943361388E-12</v>
      </c>
      <c r="BH175" s="60">
        <f t="shared" si="116"/>
        <v>288.81492944696447</v>
      </c>
      <c r="BI175" s="60">
        <f ca="1">AVERAGE(OFFSET($BH$3,0,0,'Données projet'!$E$11+1,1))-AVERAGE(OFFSET($H$3,0,0,'Données projet'!$E$11+1,1))</f>
        <v>336.25341821407534</v>
      </c>
      <c r="BJ175" s="60">
        <f t="shared" si="146"/>
        <v>360.3246221345039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0.10143131212546461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0.10143131212546461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1.0818439477588981E-13</v>
      </c>
      <c r="CA175" s="14">
        <f t="shared" si="170"/>
        <v>1.6104228458716316E-12</v>
      </c>
      <c r="CB175" s="22">
        <f t="shared" si="171"/>
        <v>2.9932409441277661E-12</v>
      </c>
      <c r="CC175" s="60">
        <f t="shared" si="119"/>
        <v>288.81492944696066</v>
      </c>
      <c r="CD175" s="60">
        <f ca="1">AVERAGE(OFFSET($CC$3,0,0,'Données projet'!$E$12+1,1))-AVERAGE(OFFSET($H$3,0,0,'Données projet'!$E$12+1,1))</f>
        <v>438.41611139377829</v>
      </c>
      <c r="CE175" s="60">
        <f t="shared" si="148"/>
        <v>345.17417065809605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-4.5224624045658861E-14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395.27840703467933</v>
      </c>
      <c r="CZ175" s="60">
        <f t="shared" si="150"/>
        <v>364.24192380053944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-2.8421709430404007E-13</v>
      </c>
      <c r="DP175" s="18">
        <f>DO175*VLOOKUP('Données projet'!$B$14,Paramètres!$A$1:$I$89,3,0)*VLOOKUP('Données projet'!$B$14,Paramètres!$A$1:$I$89,5,0)</f>
        <v>-2.2168933355715128E-13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308.76306523144956</v>
      </c>
      <c r="DU175" s="60">
        <f t="shared" si="152"/>
        <v>283.28099819802776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2.2737367544323206E-13</v>
      </c>
      <c r="EK175" s="18">
        <f>EJ175*VLOOKUP('Données projet'!$B$15,Paramètres!$A$1:$I$89,3,0)*VLOOKUP('Données projet'!$B$15,Paramètres!$A$1:$I$89,5,0)</f>
        <v>1.5252226148732008E-13</v>
      </c>
      <c r="EL175" s="14">
        <f t="shared" si="179"/>
        <v>2.1814502464536512E-12</v>
      </c>
      <c r="EM175" s="22">
        <f t="shared" si="180"/>
        <v>4.0650021179971913E-12</v>
      </c>
      <c r="EN175" s="60">
        <f t="shared" si="128"/>
        <v>288.81492944696174</v>
      </c>
      <c r="EO175" s="60">
        <f ca="1">AVERAGE(OFFSET($EN$3,0,0,'Données projet'!$E$15+1,1))-AVERAGE(OFFSET($H$3,0,0,'Données projet'!$E$15+1,1))</f>
        <v>375.49921531693559</v>
      </c>
      <c r="EP175" s="60">
        <f t="shared" si="154"/>
        <v>306.93934681565599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5.6843418860808015E-14</v>
      </c>
      <c r="FF175" s="18">
        <f>FE175*VLOOKUP('Données projet'!$B$16,Paramètres!$A$1:$I$89,3,0)*VLOOKUP('Données projet'!$B$16,Paramètres!$A$1:$I$89,5,0)</f>
        <v>4.6111381379887463E-14</v>
      </c>
      <c r="FG175" s="14">
        <f t="shared" si="182"/>
        <v>7.5804141040779151E-13</v>
      </c>
      <c r="FH175" s="22">
        <f t="shared" si="183"/>
        <v>1.4005661123635408E-12</v>
      </c>
      <c r="FI175" s="60">
        <f t="shared" si="131"/>
        <v>288.81492944695907</v>
      </c>
      <c r="FJ175" s="60">
        <f ca="1">AVERAGE(OFFSET($FI$3,0,0,'Données projet'!$E$16+1,1))-AVERAGE(OFFSET($H$3,0,0,'Données projet'!$E$16+1,1))</f>
        <v>308.58270639204238</v>
      </c>
      <c r="FK175" s="60">
        <f t="shared" si="156"/>
        <v>258.90832875500325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-4.5474735088646412E-13</v>
      </c>
      <c r="GA175" s="18">
        <f>FZ175*VLOOKUP('Données projet'!$B$17,Paramètres!$A$1:$I$89,3,0)*VLOOKUP('Données projet'!$B$17,Paramètres!$A$1:$I$89,5,0)</f>
        <v>-4.3983163777738812E-13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495.77880062178235</v>
      </c>
      <c r="GF175" s="60">
        <f t="shared" si="158"/>
        <v>263.55891737750301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1.9508661353029313E-13</v>
      </c>
      <c r="P176" s="14">
        <f t="shared" si="141"/>
        <v>2.711421636700695E-12</v>
      </c>
      <c r="Q176" s="22">
        <f t="shared" si="162"/>
        <v>5.0621685358189711E-12</v>
      </c>
      <c r="R176" s="60">
        <f t="shared" si="109"/>
        <v>288.89331365275353</v>
      </c>
      <c r="S176" s="60">
        <f ca="1">AVERAGE(OFFSET($R$3,0,0,'Données projet'!$E$9+1,1))-AVERAGE(OFFSET($H$3,0,0,'Données projet'!$E$9+1,1))</f>
        <v>598.73855311281966</v>
      </c>
      <c r="T176" s="60">
        <f t="shared" si="142"/>
        <v>275.88160405468193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-4.6111381379887462E-13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515.72324585399997</v>
      </c>
      <c r="AO176" s="60">
        <f t="shared" si="144"/>
        <v>273.35778700650792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2.7134774427395314E-13</v>
      </c>
      <c r="BF176" s="14">
        <f t="shared" si="167"/>
        <v>3.6292411711343559E-12</v>
      </c>
      <c r="BG176" s="22">
        <f t="shared" si="168"/>
        <v>6.7935256943361388E-12</v>
      </c>
      <c r="BH176" s="60">
        <f t="shared" si="116"/>
        <v>288.8933136527553</v>
      </c>
      <c r="BI176" s="60">
        <f ca="1">AVERAGE(OFFSET($BH$3,0,0,'Données projet'!$E$11+1,1))-AVERAGE(OFFSET($H$3,0,0,'Données projet'!$E$11+1,1))</f>
        <v>336.25341821407534</v>
      </c>
      <c r="BJ176" s="60">
        <f t="shared" si="146"/>
        <v>360.3246221345039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9.8657667561352899E-2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9.8657667561352899E-2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1.0818439477588981E-13</v>
      </c>
      <c r="CA176" s="14">
        <f t="shared" si="170"/>
        <v>1.6104228458716316E-12</v>
      </c>
      <c r="CB176" s="22">
        <f t="shared" si="171"/>
        <v>2.9932409441277661E-12</v>
      </c>
      <c r="CC176" s="60">
        <f t="shared" si="119"/>
        <v>288.89331365275149</v>
      </c>
      <c r="CD176" s="60">
        <f ca="1">AVERAGE(OFFSET($CC$3,0,0,'Données projet'!$E$12+1,1))-AVERAGE(OFFSET($H$3,0,0,'Données projet'!$E$12+1,1))</f>
        <v>438.41611139377829</v>
      </c>
      <c r="CE176" s="60">
        <f t="shared" si="148"/>
        <v>345.17417065809605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-4.5224624045658861E-14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395.27840703467933</v>
      </c>
      <c r="CZ176" s="60">
        <f t="shared" si="150"/>
        <v>364.24192380053944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-2.8421709430404007E-13</v>
      </c>
      <c r="DP176" s="18">
        <f>DO176*VLOOKUP('Données projet'!$B$14,Paramètres!$A$1:$I$89,3,0)*VLOOKUP('Données projet'!$B$14,Paramètres!$A$1:$I$89,5,0)</f>
        <v>-2.2168933355715128E-13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308.76306523144956</v>
      </c>
      <c r="DU176" s="60">
        <f t="shared" si="152"/>
        <v>283.28099819802776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2.2737367544323206E-13</v>
      </c>
      <c r="EK176" s="18">
        <f>EJ176*VLOOKUP('Données projet'!$B$15,Paramètres!$A$1:$I$89,3,0)*VLOOKUP('Données projet'!$B$15,Paramètres!$A$1:$I$89,5,0)</f>
        <v>1.5252226148732008E-13</v>
      </c>
      <c r="EL176" s="14">
        <f t="shared" si="179"/>
        <v>2.1814502464536512E-12</v>
      </c>
      <c r="EM176" s="22">
        <f t="shared" si="180"/>
        <v>4.0650021179971913E-12</v>
      </c>
      <c r="EN176" s="60">
        <f t="shared" si="128"/>
        <v>288.89331365275257</v>
      </c>
      <c r="EO176" s="60">
        <f ca="1">AVERAGE(OFFSET($EN$3,0,0,'Données projet'!$E$15+1,1))-AVERAGE(OFFSET($H$3,0,0,'Données projet'!$E$15+1,1))</f>
        <v>375.49921531693559</v>
      </c>
      <c r="EP176" s="60">
        <f t="shared" si="154"/>
        <v>306.93934681565599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5.6843418860808015E-14</v>
      </c>
      <c r="FF176" s="18">
        <f>FE176*VLOOKUP('Données projet'!$B$16,Paramètres!$A$1:$I$89,3,0)*VLOOKUP('Données projet'!$B$16,Paramètres!$A$1:$I$89,5,0)</f>
        <v>4.6111381379887463E-14</v>
      </c>
      <c r="FG176" s="14">
        <f t="shared" si="182"/>
        <v>7.5804141040779151E-13</v>
      </c>
      <c r="FH176" s="22">
        <f t="shared" si="183"/>
        <v>1.4005661123635408E-12</v>
      </c>
      <c r="FI176" s="60">
        <f t="shared" si="131"/>
        <v>288.8933136527499</v>
      </c>
      <c r="FJ176" s="60">
        <f ca="1">AVERAGE(OFFSET($FI$3,0,0,'Données projet'!$E$16+1,1))-AVERAGE(OFFSET($H$3,0,0,'Données projet'!$E$16+1,1))</f>
        <v>308.58270639204238</v>
      </c>
      <c r="FK176" s="60">
        <f t="shared" si="156"/>
        <v>258.90832875500325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-4.5474735088646412E-13</v>
      </c>
      <c r="GA176" s="18">
        <f>FZ176*VLOOKUP('Données projet'!$B$17,Paramètres!$A$1:$I$89,3,0)*VLOOKUP('Données projet'!$B$17,Paramètres!$A$1:$I$89,5,0)</f>
        <v>-4.3983163777738812E-13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495.77880062178235</v>
      </c>
      <c r="GF176" s="60">
        <f t="shared" si="158"/>
        <v>263.55891737750301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1.9508661353029313E-13</v>
      </c>
      <c r="P177" s="14">
        <f t="shared" si="141"/>
        <v>2.711421636700695E-12</v>
      </c>
      <c r="Q177" s="22">
        <f t="shared" si="162"/>
        <v>5.0621685358189711E-12</v>
      </c>
      <c r="R177" s="60">
        <f t="shared" si="109"/>
        <v>288.97033806781479</v>
      </c>
      <c r="S177" s="60">
        <f ca="1">AVERAGE(OFFSET($R$3,0,0,'Données projet'!$E$9+1,1))-AVERAGE(OFFSET($H$3,0,0,'Données projet'!$E$9+1,1))</f>
        <v>598.73855311281966</v>
      </c>
      <c r="T177" s="60">
        <f t="shared" si="142"/>
        <v>275.88160405468193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-4.6111381379887462E-13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515.72324585399997</v>
      </c>
      <c r="AO177" s="60">
        <f t="shared" si="144"/>
        <v>273.35778700650792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2.7134774427395314E-13</v>
      </c>
      <c r="BF177" s="14">
        <f t="shared" si="167"/>
        <v>3.6292411711343559E-12</v>
      </c>
      <c r="BG177" s="22">
        <f t="shared" si="168"/>
        <v>6.7935256943361388E-12</v>
      </c>
      <c r="BH177" s="60">
        <f t="shared" si="116"/>
        <v>288.97033806781656</v>
      </c>
      <c r="BI177" s="60">
        <f ca="1">AVERAGE(OFFSET($BH$3,0,0,'Données projet'!$E$11+1,1))-AVERAGE(OFFSET($H$3,0,0,'Données projet'!$E$11+1,1))</f>
        <v>336.25341821407534</v>
      </c>
      <c r="BJ177" s="60">
        <f t="shared" si="146"/>
        <v>360.3246221345039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9.5959868453706451E-2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9.5959868453706451E-2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1.0818439477588981E-13</v>
      </c>
      <c r="CA177" s="14">
        <f t="shared" si="170"/>
        <v>1.6104228458716316E-12</v>
      </c>
      <c r="CB177" s="22">
        <f t="shared" si="171"/>
        <v>2.9932409441277661E-12</v>
      </c>
      <c r="CC177" s="60">
        <f t="shared" si="119"/>
        <v>288.97033806781275</v>
      </c>
      <c r="CD177" s="60">
        <f ca="1">AVERAGE(OFFSET($CC$3,0,0,'Données projet'!$E$12+1,1))-AVERAGE(OFFSET($H$3,0,0,'Données projet'!$E$12+1,1))</f>
        <v>438.41611139377829</v>
      </c>
      <c r="CE177" s="60">
        <f t="shared" si="148"/>
        <v>345.17417065809605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-4.5224624045658861E-14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395.27840703467933</v>
      </c>
      <c r="CZ177" s="60">
        <f t="shared" si="150"/>
        <v>364.24192380053944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-2.8421709430404007E-13</v>
      </c>
      <c r="DP177" s="18">
        <f>DO177*VLOOKUP('Données projet'!$B$14,Paramètres!$A$1:$I$89,3,0)*VLOOKUP('Données projet'!$B$14,Paramètres!$A$1:$I$89,5,0)</f>
        <v>-2.2168933355715128E-13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308.76306523144956</v>
      </c>
      <c r="DU177" s="60">
        <f t="shared" si="152"/>
        <v>283.28099819802776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2.2737367544323206E-13</v>
      </c>
      <c r="EK177" s="18">
        <f>EJ177*VLOOKUP('Données projet'!$B$15,Paramètres!$A$1:$I$89,3,0)*VLOOKUP('Données projet'!$B$15,Paramètres!$A$1:$I$89,5,0)</f>
        <v>1.5252226148732008E-13</v>
      </c>
      <c r="EL177" s="14">
        <f t="shared" si="179"/>
        <v>2.1814502464536512E-12</v>
      </c>
      <c r="EM177" s="22">
        <f t="shared" si="180"/>
        <v>4.0650021179971913E-12</v>
      </c>
      <c r="EN177" s="60">
        <f t="shared" si="128"/>
        <v>288.97033806781383</v>
      </c>
      <c r="EO177" s="60">
        <f ca="1">AVERAGE(OFFSET($EN$3,0,0,'Données projet'!$E$15+1,1))-AVERAGE(OFFSET($H$3,0,0,'Données projet'!$E$15+1,1))</f>
        <v>375.49921531693559</v>
      </c>
      <c r="EP177" s="60">
        <f t="shared" si="154"/>
        <v>306.93934681565599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5.6843418860808015E-14</v>
      </c>
      <c r="FF177" s="18">
        <f>FE177*VLOOKUP('Données projet'!$B$16,Paramètres!$A$1:$I$89,3,0)*VLOOKUP('Données projet'!$B$16,Paramètres!$A$1:$I$89,5,0)</f>
        <v>4.6111381379887463E-14</v>
      </c>
      <c r="FG177" s="14">
        <f t="shared" si="182"/>
        <v>7.5804141040779151E-13</v>
      </c>
      <c r="FH177" s="22">
        <f t="shared" si="183"/>
        <v>1.4005661123635408E-12</v>
      </c>
      <c r="FI177" s="60">
        <f t="shared" si="131"/>
        <v>288.97033806781116</v>
      </c>
      <c r="FJ177" s="60">
        <f ca="1">AVERAGE(OFFSET($FI$3,0,0,'Données projet'!$E$16+1,1))-AVERAGE(OFFSET($H$3,0,0,'Données projet'!$E$16+1,1))</f>
        <v>308.58270639204238</v>
      </c>
      <c r="FK177" s="60">
        <f t="shared" si="156"/>
        <v>258.90832875500325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-4.5474735088646412E-13</v>
      </c>
      <c r="GA177" s="18">
        <f>FZ177*VLOOKUP('Données projet'!$B$17,Paramètres!$A$1:$I$89,3,0)*VLOOKUP('Données projet'!$B$17,Paramètres!$A$1:$I$89,5,0)</f>
        <v>-4.3983163777738812E-13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495.77880062178235</v>
      </c>
      <c r="GF177" s="60">
        <f t="shared" si="158"/>
        <v>263.55891737750301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1.9508661353029313E-13</v>
      </c>
      <c r="P178" s="14">
        <f t="shared" si="141"/>
        <v>2.711421636700695E-12</v>
      </c>
      <c r="Q178" s="22">
        <f t="shared" si="162"/>
        <v>5.0621685358189711E-12</v>
      </c>
      <c r="R178" s="60">
        <f t="shared" si="109"/>
        <v>289.04602628147546</v>
      </c>
      <c r="S178" s="60">
        <f ca="1">AVERAGE(OFFSET($R$3,0,0,'Données projet'!$E$9+1,1))-AVERAGE(OFFSET($H$3,0,0,'Données projet'!$E$9+1,1))</f>
        <v>598.73855311281966</v>
      </c>
      <c r="T178" s="60">
        <f t="shared" si="142"/>
        <v>275.88160405468193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-4.6111381379887462E-13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515.72324585399997</v>
      </c>
      <c r="AO178" s="60">
        <f t="shared" si="144"/>
        <v>273.35778700650792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2.7134774427395314E-13</v>
      </c>
      <c r="BF178" s="14">
        <f t="shared" si="167"/>
        <v>3.6292411711343559E-12</v>
      </c>
      <c r="BG178" s="22">
        <f t="shared" si="168"/>
        <v>6.7935256943361388E-12</v>
      </c>
      <c r="BH178" s="60">
        <f t="shared" si="116"/>
        <v>289.04602628147722</v>
      </c>
      <c r="BI178" s="60">
        <f ca="1">AVERAGE(OFFSET($BH$3,0,0,'Données projet'!$E$11+1,1))-AVERAGE(OFFSET($H$3,0,0,'Données projet'!$E$11+1,1))</f>
        <v>336.25341821407534</v>
      </c>
      <c r="BJ178" s="60">
        <f t="shared" si="146"/>
        <v>360.3246221345039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9.3335840804529682E-2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9.3335840804529682E-2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1.0818439477588981E-13</v>
      </c>
      <c r="CA178" s="14">
        <f t="shared" si="170"/>
        <v>1.6104228458716316E-12</v>
      </c>
      <c r="CB178" s="22">
        <f t="shared" si="171"/>
        <v>2.9932409441277661E-12</v>
      </c>
      <c r="CC178" s="60">
        <f t="shared" si="119"/>
        <v>289.04602628147342</v>
      </c>
      <c r="CD178" s="60">
        <f ca="1">AVERAGE(OFFSET($CC$3,0,0,'Données projet'!$E$12+1,1))-AVERAGE(OFFSET($H$3,0,0,'Données projet'!$E$12+1,1))</f>
        <v>438.41611139377829</v>
      </c>
      <c r="CE178" s="60">
        <f t="shared" si="148"/>
        <v>345.17417065809605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-4.5224624045658861E-14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395.27840703467933</v>
      </c>
      <c r="CZ178" s="60">
        <f t="shared" si="150"/>
        <v>364.24192380053944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-2.8421709430404007E-13</v>
      </c>
      <c r="DP178" s="18">
        <f>DO178*VLOOKUP('Données projet'!$B$14,Paramètres!$A$1:$I$89,3,0)*VLOOKUP('Données projet'!$B$14,Paramètres!$A$1:$I$89,5,0)</f>
        <v>-2.2168933355715128E-13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308.76306523144956</v>
      </c>
      <c r="DU178" s="60">
        <f t="shared" si="152"/>
        <v>283.28099819802776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2.2737367544323206E-13</v>
      </c>
      <c r="EK178" s="18">
        <f>EJ178*VLOOKUP('Données projet'!$B$15,Paramètres!$A$1:$I$89,3,0)*VLOOKUP('Données projet'!$B$15,Paramètres!$A$1:$I$89,5,0)</f>
        <v>1.5252226148732008E-13</v>
      </c>
      <c r="EL178" s="14">
        <f t="shared" si="179"/>
        <v>2.1814502464536512E-12</v>
      </c>
      <c r="EM178" s="22">
        <f t="shared" si="180"/>
        <v>4.0650021179971913E-12</v>
      </c>
      <c r="EN178" s="60">
        <f t="shared" si="128"/>
        <v>289.0460262814745</v>
      </c>
      <c r="EO178" s="60">
        <f ca="1">AVERAGE(OFFSET($EN$3,0,0,'Données projet'!$E$15+1,1))-AVERAGE(OFFSET($H$3,0,0,'Données projet'!$E$15+1,1))</f>
        <v>375.49921531693559</v>
      </c>
      <c r="EP178" s="60">
        <f t="shared" si="154"/>
        <v>306.93934681565599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5.6843418860808015E-14</v>
      </c>
      <c r="FF178" s="18">
        <f>FE178*VLOOKUP('Données projet'!$B$16,Paramètres!$A$1:$I$89,3,0)*VLOOKUP('Données projet'!$B$16,Paramètres!$A$1:$I$89,5,0)</f>
        <v>4.6111381379887463E-14</v>
      </c>
      <c r="FG178" s="14">
        <f t="shared" si="182"/>
        <v>7.5804141040779151E-13</v>
      </c>
      <c r="FH178" s="22">
        <f t="shared" si="183"/>
        <v>1.4005661123635408E-12</v>
      </c>
      <c r="FI178" s="60">
        <f t="shared" si="131"/>
        <v>289.04602628147182</v>
      </c>
      <c r="FJ178" s="60">
        <f ca="1">AVERAGE(OFFSET($FI$3,0,0,'Données projet'!$E$16+1,1))-AVERAGE(OFFSET($H$3,0,0,'Données projet'!$E$16+1,1))</f>
        <v>308.58270639204238</v>
      </c>
      <c r="FK178" s="60">
        <f t="shared" si="156"/>
        <v>258.90832875500325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-4.5474735088646412E-13</v>
      </c>
      <c r="GA178" s="18">
        <f>FZ178*VLOOKUP('Données projet'!$B$17,Paramètres!$A$1:$I$89,3,0)*VLOOKUP('Données projet'!$B$17,Paramètres!$A$1:$I$89,5,0)</f>
        <v>-4.3983163777738812E-13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495.77880062178235</v>
      </c>
      <c r="GF178" s="60">
        <f t="shared" si="158"/>
        <v>263.55891737750301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1.9508661353029313E-13</v>
      </c>
      <c r="P179" s="14">
        <f t="shared" si="141"/>
        <v>2.711421636700695E-12</v>
      </c>
      <c r="Q179" s="22">
        <f t="shared" si="162"/>
        <v>5.0621685358189711E-12</v>
      </c>
      <c r="R179" s="60">
        <f t="shared" si="109"/>
        <v>289.12040147384266</v>
      </c>
      <c r="S179" s="60">
        <f ca="1">AVERAGE(OFFSET($R$3,0,0,'Données projet'!$E$9+1,1))-AVERAGE(OFFSET($H$3,0,0,'Données projet'!$E$9+1,1))</f>
        <v>598.73855311281966</v>
      </c>
      <c r="T179" s="60">
        <f t="shared" si="142"/>
        <v>275.88160405468193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-4.6111381379887462E-13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515.72324585399997</v>
      </c>
      <c r="AO179" s="60">
        <f t="shared" si="144"/>
        <v>273.35778700650792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2.7134774427395314E-13</v>
      </c>
      <c r="BF179" s="14">
        <f t="shared" si="167"/>
        <v>3.6292411711343559E-12</v>
      </c>
      <c r="BG179" s="22">
        <f t="shared" si="168"/>
        <v>6.7935256943361388E-12</v>
      </c>
      <c r="BH179" s="60">
        <f t="shared" si="116"/>
        <v>289.12040147384442</v>
      </c>
      <c r="BI179" s="60">
        <f ca="1">AVERAGE(OFFSET($BH$3,0,0,'Données projet'!$E$11+1,1))-AVERAGE(OFFSET($H$3,0,0,'Données projet'!$E$11+1,1))</f>
        <v>336.25341821407534</v>
      </c>
      <c r="BJ179" s="60">
        <f t="shared" si="146"/>
        <v>360.3246221345039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9.0783567329411272E-2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9.0783567329411272E-2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1.0818439477588981E-13</v>
      </c>
      <c r="CA179" s="14">
        <f t="shared" si="170"/>
        <v>1.6104228458716316E-12</v>
      </c>
      <c r="CB179" s="22">
        <f t="shared" si="171"/>
        <v>2.9932409441277661E-12</v>
      </c>
      <c r="CC179" s="60">
        <f t="shared" si="119"/>
        <v>289.12040147384062</v>
      </c>
      <c r="CD179" s="60">
        <f ca="1">AVERAGE(OFFSET($CC$3,0,0,'Données projet'!$E$12+1,1))-AVERAGE(OFFSET($H$3,0,0,'Données projet'!$E$12+1,1))</f>
        <v>438.41611139377829</v>
      </c>
      <c r="CE179" s="60">
        <f t="shared" si="148"/>
        <v>345.17417065809605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-4.5224624045658861E-14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395.27840703467933</v>
      </c>
      <c r="CZ179" s="60">
        <f t="shared" si="150"/>
        <v>364.24192380053944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-2.8421709430404007E-13</v>
      </c>
      <c r="DP179" s="18">
        <f>DO179*VLOOKUP('Données projet'!$B$14,Paramètres!$A$1:$I$89,3,0)*VLOOKUP('Données projet'!$B$14,Paramètres!$A$1:$I$89,5,0)</f>
        <v>-2.2168933355715128E-13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308.76306523144956</v>
      </c>
      <c r="DU179" s="60">
        <f t="shared" si="152"/>
        <v>283.28099819802776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2.2737367544323206E-13</v>
      </c>
      <c r="EK179" s="18">
        <f>EJ179*VLOOKUP('Données projet'!$B$15,Paramètres!$A$1:$I$89,3,0)*VLOOKUP('Données projet'!$B$15,Paramètres!$A$1:$I$89,5,0)</f>
        <v>1.5252226148732008E-13</v>
      </c>
      <c r="EL179" s="14">
        <f t="shared" si="179"/>
        <v>2.1814502464536512E-12</v>
      </c>
      <c r="EM179" s="22">
        <f t="shared" si="180"/>
        <v>4.0650021179971913E-12</v>
      </c>
      <c r="EN179" s="60">
        <f t="shared" si="128"/>
        <v>289.1204014738417</v>
      </c>
      <c r="EO179" s="60">
        <f ca="1">AVERAGE(OFFSET($EN$3,0,0,'Données projet'!$E$15+1,1))-AVERAGE(OFFSET($H$3,0,0,'Données projet'!$E$15+1,1))</f>
        <v>375.49921531693559</v>
      </c>
      <c r="EP179" s="60">
        <f t="shared" si="154"/>
        <v>306.93934681565599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5.6843418860808015E-14</v>
      </c>
      <c r="FF179" s="18">
        <f>FE179*VLOOKUP('Données projet'!$B$16,Paramètres!$A$1:$I$89,3,0)*VLOOKUP('Données projet'!$B$16,Paramètres!$A$1:$I$89,5,0)</f>
        <v>4.6111381379887463E-14</v>
      </c>
      <c r="FG179" s="14">
        <f t="shared" si="182"/>
        <v>7.5804141040779151E-13</v>
      </c>
      <c r="FH179" s="22">
        <f t="shared" si="183"/>
        <v>1.4005661123635408E-12</v>
      </c>
      <c r="FI179" s="60">
        <f t="shared" si="131"/>
        <v>289.12040147383902</v>
      </c>
      <c r="FJ179" s="60">
        <f ca="1">AVERAGE(OFFSET($FI$3,0,0,'Données projet'!$E$16+1,1))-AVERAGE(OFFSET($H$3,0,0,'Données projet'!$E$16+1,1))</f>
        <v>308.58270639204238</v>
      </c>
      <c r="FK179" s="60">
        <f t="shared" si="156"/>
        <v>258.90832875500325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-4.5474735088646412E-13</v>
      </c>
      <c r="GA179" s="18">
        <f>FZ179*VLOOKUP('Données projet'!$B$17,Paramètres!$A$1:$I$89,3,0)*VLOOKUP('Données projet'!$B$17,Paramètres!$A$1:$I$89,5,0)</f>
        <v>-4.3983163777738812E-13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495.77880062178235</v>
      </c>
      <c r="GF179" s="60">
        <f t="shared" si="158"/>
        <v>263.55891737750301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1.9508661353029313E-13</v>
      </c>
      <c r="P180" s="14">
        <f t="shared" si="141"/>
        <v>2.711421636700695E-12</v>
      </c>
      <c r="Q180" s="22">
        <f t="shared" si="162"/>
        <v>5.0621685358189711E-12</v>
      </c>
      <c r="R180" s="60">
        <f t="shared" si="109"/>
        <v>289.19348642290032</v>
      </c>
      <c r="S180" s="60">
        <f ca="1">AVERAGE(OFFSET($R$3,0,0,'Données projet'!$E$9+1,1))-AVERAGE(OFFSET($H$3,0,0,'Données projet'!$E$9+1,1))</f>
        <v>598.73855311281966</v>
      </c>
      <c r="T180" s="60">
        <f t="shared" si="142"/>
        <v>275.88160405468193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-4.6111381379887462E-13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515.72324585399997</v>
      </c>
      <c r="AO180" s="60">
        <f t="shared" si="144"/>
        <v>273.35778700650792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2.7134774427395314E-13</v>
      </c>
      <c r="BF180" s="14">
        <f t="shared" si="167"/>
        <v>3.6292411711343559E-12</v>
      </c>
      <c r="BG180" s="22">
        <f t="shared" si="168"/>
        <v>6.7935256943361388E-12</v>
      </c>
      <c r="BH180" s="60">
        <f t="shared" si="116"/>
        <v>289.19348642290208</v>
      </c>
      <c r="BI180" s="60">
        <f ca="1">AVERAGE(OFFSET($BH$3,0,0,'Données projet'!$E$11+1,1))-AVERAGE(OFFSET($H$3,0,0,'Données projet'!$E$11+1,1))</f>
        <v>336.25341821407534</v>
      </c>
      <c r="BJ180" s="60">
        <f t="shared" si="146"/>
        <v>360.3246221345039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8.8301085906688198E-2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8.8301085906688198E-2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1.0818439477588981E-13</v>
      </c>
      <c r="CA180" s="14">
        <f t="shared" si="170"/>
        <v>1.6104228458716316E-12</v>
      </c>
      <c r="CB180" s="22">
        <f t="shared" si="171"/>
        <v>2.9932409441277661E-12</v>
      </c>
      <c r="CC180" s="60">
        <f t="shared" si="119"/>
        <v>289.19348642289827</v>
      </c>
      <c r="CD180" s="60">
        <f ca="1">AVERAGE(OFFSET($CC$3,0,0,'Données projet'!$E$12+1,1))-AVERAGE(OFFSET($H$3,0,0,'Données projet'!$E$12+1,1))</f>
        <v>438.41611139377829</v>
      </c>
      <c r="CE180" s="60">
        <f t="shared" si="148"/>
        <v>345.17417065809605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-4.5224624045658861E-14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395.27840703467933</v>
      </c>
      <c r="CZ180" s="60">
        <f t="shared" si="150"/>
        <v>364.24192380053944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-2.8421709430404007E-13</v>
      </c>
      <c r="DP180" s="18">
        <f>DO180*VLOOKUP('Données projet'!$B$14,Paramètres!$A$1:$I$89,3,0)*VLOOKUP('Données projet'!$B$14,Paramètres!$A$1:$I$89,5,0)</f>
        <v>-2.2168933355715128E-13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308.76306523144956</v>
      </c>
      <c r="DU180" s="60">
        <f t="shared" si="152"/>
        <v>283.28099819802776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2.2737367544323206E-13</v>
      </c>
      <c r="EK180" s="18">
        <f>EJ180*VLOOKUP('Données projet'!$B$15,Paramètres!$A$1:$I$89,3,0)*VLOOKUP('Données projet'!$B$15,Paramètres!$A$1:$I$89,5,0)</f>
        <v>1.5252226148732008E-13</v>
      </c>
      <c r="EL180" s="14">
        <f t="shared" si="179"/>
        <v>2.1814502464536512E-12</v>
      </c>
      <c r="EM180" s="22">
        <f t="shared" si="180"/>
        <v>4.0650021179971913E-12</v>
      </c>
      <c r="EN180" s="60">
        <f t="shared" si="128"/>
        <v>289.19348642289935</v>
      </c>
      <c r="EO180" s="60">
        <f ca="1">AVERAGE(OFFSET($EN$3,0,0,'Données projet'!$E$15+1,1))-AVERAGE(OFFSET($H$3,0,0,'Données projet'!$E$15+1,1))</f>
        <v>375.49921531693559</v>
      </c>
      <c r="EP180" s="60">
        <f t="shared" si="154"/>
        <v>306.93934681565599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5.6843418860808015E-14</v>
      </c>
      <c r="FF180" s="18">
        <f>FE180*VLOOKUP('Données projet'!$B$16,Paramètres!$A$1:$I$89,3,0)*VLOOKUP('Données projet'!$B$16,Paramètres!$A$1:$I$89,5,0)</f>
        <v>4.6111381379887463E-14</v>
      </c>
      <c r="FG180" s="14">
        <f t="shared" si="182"/>
        <v>7.5804141040779151E-13</v>
      </c>
      <c r="FH180" s="22">
        <f t="shared" si="183"/>
        <v>1.4005661123635408E-12</v>
      </c>
      <c r="FI180" s="60">
        <f t="shared" si="131"/>
        <v>289.19348642289668</v>
      </c>
      <c r="FJ180" s="60">
        <f ca="1">AVERAGE(OFFSET($FI$3,0,0,'Données projet'!$E$16+1,1))-AVERAGE(OFFSET($H$3,0,0,'Données projet'!$E$16+1,1))</f>
        <v>308.58270639204238</v>
      </c>
      <c r="FK180" s="60">
        <f t="shared" si="156"/>
        <v>258.90832875500325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-4.5474735088646412E-13</v>
      </c>
      <c r="GA180" s="18">
        <f>FZ180*VLOOKUP('Données projet'!$B$17,Paramètres!$A$1:$I$89,3,0)*VLOOKUP('Données projet'!$B$17,Paramètres!$A$1:$I$89,5,0)</f>
        <v>-4.3983163777738812E-13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495.77880062178235</v>
      </c>
      <c r="GF180" s="60">
        <f t="shared" si="158"/>
        <v>263.55891737750301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1.9508661353029313E-13</v>
      </c>
      <c r="P181" s="14">
        <f t="shared" si="141"/>
        <v>2.711421636700695E-12</v>
      </c>
      <c r="Q181" s="22">
        <f t="shared" si="162"/>
        <v>5.0621685358189711E-12</v>
      </c>
      <c r="R181" s="60">
        <f t="shared" si="109"/>
        <v>289.26530351148523</v>
      </c>
      <c r="S181" s="60">
        <f ca="1">AVERAGE(OFFSET($R$3,0,0,'Données projet'!$E$9+1,1))-AVERAGE(OFFSET($H$3,0,0,'Données projet'!$E$9+1,1))</f>
        <v>598.73855311281966</v>
      </c>
      <c r="T181" s="60">
        <f t="shared" si="142"/>
        <v>275.88160405468193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-4.6111381379887462E-13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515.72324585399997</v>
      </c>
      <c r="AO181" s="60">
        <f t="shared" si="144"/>
        <v>273.35778700650792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2.7134774427395314E-13</v>
      </c>
      <c r="BF181" s="14">
        <f t="shared" si="167"/>
        <v>3.6292411711343559E-12</v>
      </c>
      <c r="BG181" s="22">
        <f t="shared" si="168"/>
        <v>6.7935256943361388E-12</v>
      </c>
      <c r="BH181" s="60">
        <f t="shared" si="116"/>
        <v>289.26530351148699</v>
      </c>
      <c r="BI181" s="60">
        <f ca="1">AVERAGE(OFFSET($BH$3,0,0,'Données projet'!$E$11+1,1))-AVERAGE(OFFSET($H$3,0,0,'Données projet'!$E$11+1,1))</f>
        <v>336.25341821407534</v>
      </c>
      <c r="BJ181" s="60">
        <f t="shared" si="146"/>
        <v>360.3246221345039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8.5886488069017511E-2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8.5886488069017511E-2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1.0818439477588981E-13</v>
      </c>
      <c r="CA181" s="14">
        <f t="shared" si="170"/>
        <v>1.6104228458716316E-12</v>
      </c>
      <c r="CB181" s="22">
        <f t="shared" si="171"/>
        <v>2.9932409441277661E-12</v>
      </c>
      <c r="CC181" s="60">
        <f t="shared" si="119"/>
        <v>289.26530351148318</v>
      </c>
      <c r="CD181" s="60">
        <f ca="1">AVERAGE(OFFSET($CC$3,0,0,'Données projet'!$E$12+1,1))-AVERAGE(OFFSET($H$3,0,0,'Données projet'!$E$12+1,1))</f>
        <v>438.41611139377829</v>
      </c>
      <c r="CE181" s="60">
        <f t="shared" si="148"/>
        <v>345.17417065809605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-4.5224624045658861E-14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395.27840703467933</v>
      </c>
      <c r="CZ181" s="60">
        <f t="shared" si="150"/>
        <v>364.24192380053944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-2.8421709430404007E-13</v>
      </c>
      <c r="DP181" s="18">
        <f>DO181*VLOOKUP('Données projet'!$B$14,Paramètres!$A$1:$I$89,3,0)*VLOOKUP('Données projet'!$B$14,Paramètres!$A$1:$I$89,5,0)</f>
        <v>-2.2168933355715128E-13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308.76306523144956</v>
      </c>
      <c r="DU181" s="60">
        <f t="shared" si="152"/>
        <v>283.28099819802776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2.2737367544323206E-13</v>
      </c>
      <c r="EK181" s="18">
        <f>EJ181*VLOOKUP('Données projet'!$B$15,Paramètres!$A$1:$I$89,3,0)*VLOOKUP('Données projet'!$B$15,Paramètres!$A$1:$I$89,5,0)</f>
        <v>1.5252226148732008E-13</v>
      </c>
      <c r="EL181" s="14">
        <f t="shared" si="179"/>
        <v>2.1814502464536512E-12</v>
      </c>
      <c r="EM181" s="22">
        <f t="shared" si="180"/>
        <v>4.0650021179971913E-12</v>
      </c>
      <c r="EN181" s="60">
        <f t="shared" si="128"/>
        <v>289.26530351148426</v>
      </c>
      <c r="EO181" s="60">
        <f ca="1">AVERAGE(OFFSET($EN$3,0,0,'Données projet'!$E$15+1,1))-AVERAGE(OFFSET($H$3,0,0,'Données projet'!$E$15+1,1))</f>
        <v>375.49921531693559</v>
      </c>
      <c r="EP181" s="60">
        <f t="shared" si="154"/>
        <v>306.93934681565599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5.6843418860808015E-14</v>
      </c>
      <c r="FF181" s="18">
        <f>FE181*VLOOKUP('Données projet'!$B$16,Paramètres!$A$1:$I$89,3,0)*VLOOKUP('Données projet'!$B$16,Paramètres!$A$1:$I$89,5,0)</f>
        <v>4.6111381379887463E-14</v>
      </c>
      <c r="FG181" s="14">
        <f t="shared" si="182"/>
        <v>7.5804141040779151E-13</v>
      </c>
      <c r="FH181" s="22">
        <f t="shared" si="183"/>
        <v>1.4005661123635408E-12</v>
      </c>
      <c r="FI181" s="60">
        <f t="shared" si="131"/>
        <v>289.26530351148159</v>
      </c>
      <c r="FJ181" s="60">
        <f ca="1">AVERAGE(OFFSET($FI$3,0,0,'Données projet'!$E$16+1,1))-AVERAGE(OFFSET($H$3,0,0,'Données projet'!$E$16+1,1))</f>
        <v>308.58270639204238</v>
      </c>
      <c r="FK181" s="60">
        <f t="shared" si="156"/>
        <v>258.90832875500325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-4.5474735088646412E-13</v>
      </c>
      <c r="GA181" s="18">
        <f>FZ181*VLOOKUP('Données projet'!$B$17,Paramètres!$A$1:$I$89,3,0)*VLOOKUP('Données projet'!$B$17,Paramètres!$A$1:$I$89,5,0)</f>
        <v>-4.3983163777738812E-13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495.77880062178235</v>
      </c>
      <c r="GF181" s="60">
        <f t="shared" si="158"/>
        <v>263.55891737750301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1.9508661353029313E-13</v>
      </c>
      <c r="P182" s="14">
        <f t="shared" si="141"/>
        <v>2.711421636700695E-12</v>
      </c>
      <c r="Q182" s="22">
        <f t="shared" si="162"/>
        <v>5.0621685358189711E-12</v>
      </c>
      <c r="R182" s="60">
        <f t="shared" si="109"/>
        <v>289.33587473414218</v>
      </c>
      <c r="S182" s="60">
        <f ca="1">AVERAGE(OFFSET($R$3,0,0,'Données projet'!$E$9+1,1))-AVERAGE(OFFSET($H$3,0,0,'Données projet'!$E$9+1,1))</f>
        <v>598.73855311281966</v>
      </c>
      <c r="T182" s="60">
        <f t="shared" si="142"/>
        <v>275.88160405468193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-4.6111381379887462E-13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515.72324585399997</v>
      </c>
      <c r="AO182" s="60">
        <f t="shared" si="144"/>
        <v>273.35778700650792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2.7134774427395314E-13</v>
      </c>
      <c r="BF182" s="14">
        <f t="shared" si="167"/>
        <v>3.6292411711343559E-12</v>
      </c>
      <c r="BG182" s="22">
        <f t="shared" si="168"/>
        <v>6.7935256943361388E-12</v>
      </c>
      <c r="BH182" s="60">
        <f t="shared" si="116"/>
        <v>289.33587473414394</v>
      </c>
      <c r="BI182" s="60">
        <f ca="1">AVERAGE(OFFSET($BH$3,0,0,'Données projet'!$E$11+1,1))-AVERAGE(OFFSET($H$3,0,0,'Données projet'!$E$11+1,1))</f>
        <v>336.25341821407534</v>
      </c>
      <c r="BJ182" s="60">
        <f t="shared" si="146"/>
        <v>360.3246221345039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8.3537917536196118E-2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8.3537917536196118E-2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1.0818439477588981E-13</v>
      </c>
      <c r="CA182" s="14">
        <f t="shared" si="170"/>
        <v>1.6104228458716316E-12</v>
      </c>
      <c r="CB182" s="22">
        <f t="shared" si="171"/>
        <v>2.9932409441277661E-12</v>
      </c>
      <c r="CC182" s="60">
        <f t="shared" si="119"/>
        <v>289.33587473414013</v>
      </c>
      <c r="CD182" s="60">
        <f ca="1">AVERAGE(OFFSET($CC$3,0,0,'Données projet'!$E$12+1,1))-AVERAGE(OFFSET($H$3,0,0,'Données projet'!$E$12+1,1))</f>
        <v>438.41611139377829</v>
      </c>
      <c r="CE182" s="60">
        <f t="shared" si="148"/>
        <v>345.17417065809605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-4.5224624045658861E-14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395.27840703467933</v>
      </c>
      <c r="CZ182" s="60">
        <f t="shared" si="150"/>
        <v>364.24192380053944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-2.8421709430404007E-13</v>
      </c>
      <c r="DP182" s="18">
        <f>DO182*VLOOKUP('Données projet'!$B$14,Paramètres!$A$1:$I$89,3,0)*VLOOKUP('Données projet'!$B$14,Paramètres!$A$1:$I$89,5,0)</f>
        <v>-2.2168933355715128E-13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308.76306523144956</v>
      </c>
      <c r="DU182" s="60">
        <f t="shared" si="152"/>
        <v>283.28099819802776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2.2737367544323206E-13</v>
      </c>
      <c r="EK182" s="18">
        <f>EJ182*VLOOKUP('Données projet'!$B$15,Paramètres!$A$1:$I$89,3,0)*VLOOKUP('Données projet'!$B$15,Paramètres!$A$1:$I$89,5,0)</f>
        <v>1.5252226148732008E-13</v>
      </c>
      <c r="EL182" s="14">
        <f t="shared" si="179"/>
        <v>2.1814502464536512E-12</v>
      </c>
      <c r="EM182" s="22">
        <f t="shared" si="180"/>
        <v>4.0650021179971913E-12</v>
      </c>
      <c r="EN182" s="60">
        <f t="shared" si="128"/>
        <v>289.33587473414121</v>
      </c>
      <c r="EO182" s="60">
        <f ca="1">AVERAGE(OFFSET($EN$3,0,0,'Données projet'!$E$15+1,1))-AVERAGE(OFFSET($H$3,0,0,'Données projet'!$E$15+1,1))</f>
        <v>375.49921531693559</v>
      </c>
      <c r="EP182" s="60">
        <f t="shared" si="154"/>
        <v>306.93934681565599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5.6843418860808015E-14</v>
      </c>
      <c r="FF182" s="18">
        <f>FE182*VLOOKUP('Données projet'!$B$16,Paramètres!$A$1:$I$89,3,0)*VLOOKUP('Données projet'!$B$16,Paramètres!$A$1:$I$89,5,0)</f>
        <v>4.6111381379887463E-14</v>
      </c>
      <c r="FG182" s="14">
        <f t="shared" si="182"/>
        <v>7.5804141040779151E-13</v>
      </c>
      <c r="FH182" s="22">
        <f t="shared" si="183"/>
        <v>1.4005661123635408E-12</v>
      </c>
      <c r="FI182" s="60">
        <f t="shared" si="131"/>
        <v>289.33587473413854</v>
      </c>
      <c r="FJ182" s="60">
        <f ca="1">AVERAGE(OFFSET($FI$3,0,0,'Données projet'!$E$16+1,1))-AVERAGE(OFFSET($H$3,0,0,'Données projet'!$E$16+1,1))</f>
        <v>308.58270639204238</v>
      </c>
      <c r="FK182" s="60">
        <f t="shared" si="156"/>
        <v>258.90832875500325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-4.5474735088646412E-13</v>
      </c>
      <c r="GA182" s="18">
        <f>FZ182*VLOOKUP('Données projet'!$B$17,Paramètres!$A$1:$I$89,3,0)*VLOOKUP('Données projet'!$B$17,Paramètres!$A$1:$I$89,5,0)</f>
        <v>-4.3983163777738812E-13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495.77880062178235</v>
      </c>
      <c r="GF182" s="60">
        <f t="shared" si="158"/>
        <v>263.55891737750301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1.9508661353029313E-13</v>
      </c>
      <c r="P183" s="14">
        <f t="shared" si="141"/>
        <v>2.711421636700695E-12</v>
      </c>
      <c r="Q183" s="22">
        <f t="shared" si="162"/>
        <v>5.0621685358189711E-12</v>
      </c>
      <c r="R183" s="60">
        <f t="shared" si="109"/>
        <v>289.4052217038597</v>
      </c>
      <c r="S183" s="60">
        <f ca="1">AVERAGE(OFFSET($R$3,0,0,'Données projet'!$E$9+1,1))-AVERAGE(OFFSET($H$3,0,0,'Données projet'!$E$9+1,1))</f>
        <v>598.73855311281966</v>
      </c>
      <c r="T183" s="60">
        <f t="shared" si="142"/>
        <v>275.88160405468193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-4.6111381379887462E-13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515.72324585399997</v>
      </c>
      <c r="AO183" s="60">
        <f t="shared" si="144"/>
        <v>273.35778700650792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2.7134774427395314E-13</v>
      </c>
      <c r="BF183" s="14">
        <f t="shared" si="167"/>
        <v>3.6292411711343559E-12</v>
      </c>
      <c r="BG183" s="22">
        <f t="shared" si="168"/>
        <v>6.7935256943361388E-12</v>
      </c>
      <c r="BH183" s="60">
        <f t="shared" si="116"/>
        <v>289.40522170386146</v>
      </c>
      <c r="BI183" s="60">
        <f ca="1">AVERAGE(OFFSET($BH$3,0,0,'Données projet'!$E$11+1,1))-AVERAGE(OFFSET($H$3,0,0,'Données projet'!$E$11+1,1))</f>
        <v>336.25341821407534</v>
      </c>
      <c r="BJ183" s="60">
        <f t="shared" si="146"/>
        <v>360.3246221345039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8.125356878810068E-2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8.125356878810068E-2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1.0818439477588981E-13</v>
      </c>
      <c r="CA183" s="14">
        <f t="shared" si="170"/>
        <v>1.6104228458716316E-12</v>
      </c>
      <c r="CB183" s="22">
        <f t="shared" si="171"/>
        <v>2.9932409441277661E-12</v>
      </c>
      <c r="CC183" s="60">
        <f t="shared" si="119"/>
        <v>289.40522170385765</v>
      </c>
      <c r="CD183" s="60">
        <f ca="1">AVERAGE(OFFSET($CC$3,0,0,'Données projet'!$E$12+1,1))-AVERAGE(OFFSET($H$3,0,0,'Données projet'!$E$12+1,1))</f>
        <v>438.41611139377829</v>
      </c>
      <c r="CE183" s="60">
        <f t="shared" si="148"/>
        <v>345.17417065809605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-4.5224624045658861E-14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395.27840703467933</v>
      </c>
      <c r="CZ183" s="60">
        <f t="shared" si="150"/>
        <v>364.24192380053944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-2.8421709430404007E-13</v>
      </c>
      <c r="DP183" s="18">
        <f>DO183*VLOOKUP('Données projet'!$B$14,Paramètres!$A$1:$I$89,3,0)*VLOOKUP('Données projet'!$B$14,Paramètres!$A$1:$I$89,5,0)</f>
        <v>-2.2168933355715128E-13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308.76306523144956</v>
      </c>
      <c r="DU183" s="60">
        <f t="shared" si="152"/>
        <v>283.28099819802776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2.2737367544323206E-13</v>
      </c>
      <c r="EK183" s="18">
        <f>EJ183*VLOOKUP('Données projet'!$B$15,Paramètres!$A$1:$I$89,3,0)*VLOOKUP('Données projet'!$B$15,Paramètres!$A$1:$I$89,5,0)</f>
        <v>1.5252226148732008E-13</v>
      </c>
      <c r="EL183" s="14">
        <f t="shared" si="179"/>
        <v>2.1814502464536512E-12</v>
      </c>
      <c r="EM183" s="22">
        <f t="shared" si="180"/>
        <v>4.0650021179971913E-12</v>
      </c>
      <c r="EN183" s="60">
        <f t="shared" si="128"/>
        <v>289.40522170385873</v>
      </c>
      <c r="EO183" s="60">
        <f ca="1">AVERAGE(OFFSET($EN$3,0,0,'Données projet'!$E$15+1,1))-AVERAGE(OFFSET($H$3,0,0,'Données projet'!$E$15+1,1))</f>
        <v>375.49921531693559</v>
      </c>
      <c r="EP183" s="60">
        <f t="shared" si="154"/>
        <v>306.93934681565599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5.6843418860808015E-14</v>
      </c>
      <c r="FF183" s="18">
        <f>FE183*VLOOKUP('Données projet'!$B$16,Paramètres!$A$1:$I$89,3,0)*VLOOKUP('Données projet'!$B$16,Paramètres!$A$1:$I$89,5,0)</f>
        <v>4.6111381379887463E-14</v>
      </c>
      <c r="FG183" s="14">
        <f t="shared" si="182"/>
        <v>7.5804141040779151E-13</v>
      </c>
      <c r="FH183" s="22">
        <f t="shared" si="183"/>
        <v>1.4005661123635408E-12</v>
      </c>
      <c r="FI183" s="60">
        <f t="shared" si="131"/>
        <v>289.40522170385606</v>
      </c>
      <c r="FJ183" s="60">
        <f ca="1">AVERAGE(OFFSET($FI$3,0,0,'Données projet'!$E$16+1,1))-AVERAGE(OFFSET($H$3,0,0,'Données projet'!$E$16+1,1))</f>
        <v>308.58270639204238</v>
      </c>
      <c r="FK183" s="60">
        <f t="shared" si="156"/>
        <v>258.90832875500325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-4.5474735088646412E-13</v>
      </c>
      <c r="GA183" s="18">
        <f>FZ183*VLOOKUP('Données projet'!$B$17,Paramètres!$A$1:$I$89,3,0)*VLOOKUP('Données projet'!$B$17,Paramètres!$A$1:$I$89,5,0)</f>
        <v>-4.3983163777738812E-13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495.77880062178235</v>
      </c>
      <c r="GF183" s="60">
        <f t="shared" si="158"/>
        <v>263.55891737750301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1.9508661353029313E-13</v>
      </c>
      <c r="P184" s="14">
        <f t="shared" si="141"/>
        <v>2.711421636700695E-12</v>
      </c>
      <c r="Q184" s="22">
        <f t="shared" si="162"/>
        <v>5.0621685358189711E-12</v>
      </c>
      <c r="R184" s="60">
        <f t="shared" si="109"/>
        <v>289.47336565868915</v>
      </c>
      <c r="S184" s="60">
        <f ca="1">AVERAGE(OFFSET($R$3,0,0,'Données projet'!$E$9+1,1))-AVERAGE(OFFSET($H$3,0,0,'Données projet'!$E$9+1,1))</f>
        <v>598.73855311281966</v>
      </c>
      <c r="T184" s="60">
        <f t="shared" si="142"/>
        <v>275.88160405468193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-4.6111381379887462E-13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515.72324585399997</v>
      </c>
      <c r="AO184" s="60">
        <f t="shared" si="144"/>
        <v>273.35778700650792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2.7134774427395314E-13</v>
      </c>
      <c r="BF184" s="14">
        <f t="shared" si="167"/>
        <v>3.6292411711343559E-12</v>
      </c>
      <c r="BG184" s="22">
        <f t="shared" si="168"/>
        <v>6.7935256943361388E-12</v>
      </c>
      <c r="BH184" s="60">
        <f t="shared" si="116"/>
        <v>289.47336565869091</v>
      </c>
      <c r="BI184" s="60">
        <f ca="1">AVERAGE(OFFSET($BH$3,0,0,'Données projet'!$E$11+1,1))-AVERAGE(OFFSET($H$3,0,0,'Données projet'!$E$11+1,1))</f>
        <v>336.25341821407534</v>
      </c>
      <c r="BJ184" s="60">
        <f t="shared" si="146"/>
        <v>360.3246221345039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7.9031685676650587E-2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7.9031685676650587E-2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1.0818439477588981E-13</v>
      </c>
      <c r="CA184" s="14">
        <f t="shared" si="170"/>
        <v>1.6104228458716316E-12</v>
      </c>
      <c r="CB184" s="22">
        <f t="shared" si="171"/>
        <v>2.9932409441277661E-12</v>
      </c>
      <c r="CC184" s="60">
        <f t="shared" si="119"/>
        <v>289.4733656586871</v>
      </c>
      <c r="CD184" s="60">
        <f ca="1">AVERAGE(OFFSET($CC$3,0,0,'Données projet'!$E$12+1,1))-AVERAGE(OFFSET($H$3,0,0,'Données projet'!$E$12+1,1))</f>
        <v>438.41611139377829</v>
      </c>
      <c r="CE184" s="60">
        <f t="shared" si="148"/>
        <v>345.17417065809605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-4.5224624045658861E-14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395.27840703467933</v>
      </c>
      <c r="CZ184" s="60">
        <f t="shared" si="150"/>
        <v>364.24192380053944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-2.8421709430404007E-13</v>
      </c>
      <c r="DP184" s="18">
        <f>DO184*VLOOKUP('Données projet'!$B$14,Paramètres!$A$1:$I$89,3,0)*VLOOKUP('Données projet'!$B$14,Paramètres!$A$1:$I$89,5,0)</f>
        <v>-2.2168933355715128E-13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308.76306523144956</v>
      </c>
      <c r="DU184" s="60">
        <f t="shared" si="152"/>
        <v>283.28099819802776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2.2737367544323206E-13</v>
      </c>
      <c r="EK184" s="18">
        <f>EJ184*VLOOKUP('Données projet'!$B$15,Paramètres!$A$1:$I$89,3,0)*VLOOKUP('Données projet'!$B$15,Paramètres!$A$1:$I$89,5,0)</f>
        <v>1.5252226148732008E-13</v>
      </c>
      <c r="EL184" s="14">
        <f t="shared" si="179"/>
        <v>2.1814502464536512E-12</v>
      </c>
      <c r="EM184" s="22">
        <f t="shared" si="180"/>
        <v>4.0650021179971913E-12</v>
      </c>
      <c r="EN184" s="60">
        <f t="shared" si="128"/>
        <v>289.47336565868818</v>
      </c>
      <c r="EO184" s="60">
        <f ca="1">AVERAGE(OFFSET($EN$3,0,0,'Données projet'!$E$15+1,1))-AVERAGE(OFFSET($H$3,0,0,'Données projet'!$E$15+1,1))</f>
        <v>375.49921531693559</v>
      </c>
      <c r="EP184" s="60">
        <f t="shared" si="154"/>
        <v>306.93934681565599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5.6843418860808015E-14</v>
      </c>
      <c r="FF184" s="18">
        <f>FE184*VLOOKUP('Données projet'!$B$16,Paramètres!$A$1:$I$89,3,0)*VLOOKUP('Données projet'!$B$16,Paramètres!$A$1:$I$89,5,0)</f>
        <v>4.6111381379887463E-14</v>
      </c>
      <c r="FG184" s="14">
        <f t="shared" si="182"/>
        <v>7.5804141040779151E-13</v>
      </c>
      <c r="FH184" s="22">
        <f t="shared" si="183"/>
        <v>1.4005661123635408E-12</v>
      </c>
      <c r="FI184" s="60">
        <f t="shared" si="131"/>
        <v>289.47336565868551</v>
      </c>
      <c r="FJ184" s="60">
        <f ca="1">AVERAGE(OFFSET($FI$3,0,0,'Données projet'!$E$16+1,1))-AVERAGE(OFFSET($H$3,0,0,'Données projet'!$E$16+1,1))</f>
        <v>308.58270639204238</v>
      </c>
      <c r="FK184" s="60">
        <f t="shared" si="156"/>
        <v>258.90832875500325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-4.5474735088646412E-13</v>
      </c>
      <c r="GA184" s="18">
        <f>FZ184*VLOOKUP('Données projet'!$B$17,Paramètres!$A$1:$I$89,3,0)*VLOOKUP('Données projet'!$B$17,Paramètres!$A$1:$I$89,5,0)</f>
        <v>-4.3983163777738812E-13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495.77880062178235</v>
      </c>
      <c r="GF184" s="60">
        <f t="shared" si="158"/>
        <v>263.55891737750301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1.9508661353029313E-13</v>
      </c>
      <c r="P185" s="14">
        <f t="shared" si="141"/>
        <v>2.711421636700695E-12</v>
      </c>
      <c r="Q185" s="22">
        <f t="shared" si="162"/>
        <v>5.0621685358189711E-12</v>
      </c>
      <c r="R185" s="60">
        <f t="shared" si="109"/>
        <v>289.54032746824947</v>
      </c>
      <c r="S185" s="60">
        <f ca="1">AVERAGE(OFFSET($R$3,0,0,'Données projet'!$E$9+1,1))-AVERAGE(OFFSET($H$3,0,0,'Données projet'!$E$9+1,1))</f>
        <v>598.73855311281966</v>
      </c>
      <c r="T185" s="60">
        <f t="shared" si="142"/>
        <v>275.88160405468193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-4.6111381379887462E-13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515.72324585399997</v>
      </c>
      <c r="AO185" s="60">
        <f t="shared" si="144"/>
        <v>273.35778700650792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2.7134774427395314E-13</v>
      </c>
      <c r="BF185" s="14">
        <f t="shared" si="167"/>
        <v>3.6292411711343559E-12</v>
      </c>
      <c r="BG185" s="22">
        <f t="shared" si="168"/>
        <v>6.7935256943361388E-12</v>
      </c>
      <c r="BH185" s="60">
        <f t="shared" si="116"/>
        <v>289.54032746825123</v>
      </c>
      <c r="BI185" s="60">
        <f ca="1">AVERAGE(OFFSET($BH$3,0,0,'Données projet'!$E$11+1,1))-AVERAGE(OFFSET($H$3,0,0,'Données projet'!$E$11+1,1))</f>
        <v>336.25341821407534</v>
      </c>
      <c r="BJ185" s="60">
        <f t="shared" si="146"/>
        <v>360.3246221345039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7.687056007572686E-2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7.687056007572686E-2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1.0818439477588981E-13</v>
      </c>
      <c r="CA185" s="14">
        <f t="shared" si="170"/>
        <v>1.6104228458716316E-12</v>
      </c>
      <c r="CB185" s="22">
        <f t="shared" si="171"/>
        <v>2.9932409441277661E-12</v>
      </c>
      <c r="CC185" s="60">
        <f t="shared" si="119"/>
        <v>289.54032746824743</v>
      </c>
      <c r="CD185" s="60">
        <f ca="1">AVERAGE(OFFSET($CC$3,0,0,'Données projet'!$E$12+1,1))-AVERAGE(OFFSET($H$3,0,0,'Données projet'!$E$12+1,1))</f>
        <v>438.41611139377829</v>
      </c>
      <c r="CE185" s="60">
        <f t="shared" si="148"/>
        <v>345.17417065809605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-4.5224624045658861E-14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395.27840703467933</v>
      </c>
      <c r="CZ185" s="60">
        <f t="shared" si="150"/>
        <v>364.24192380053944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-2.8421709430404007E-13</v>
      </c>
      <c r="DP185" s="18">
        <f>DO185*VLOOKUP('Données projet'!$B$14,Paramètres!$A$1:$I$89,3,0)*VLOOKUP('Données projet'!$B$14,Paramètres!$A$1:$I$89,5,0)</f>
        <v>-2.2168933355715128E-13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308.76306523144956</v>
      </c>
      <c r="DU185" s="60">
        <f t="shared" si="152"/>
        <v>283.28099819802776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2.2737367544323206E-13</v>
      </c>
      <c r="EK185" s="18">
        <f>EJ185*VLOOKUP('Données projet'!$B$15,Paramètres!$A$1:$I$89,3,0)*VLOOKUP('Données projet'!$B$15,Paramètres!$A$1:$I$89,5,0)</f>
        <v>1.5252226148732008E-13</v>
      </c>
      <c r="EL185" s="14">
        <f t="shared" si="179"/>
        <v>2.1814502464536512E-12</v>
      </c>
      <c r="EM185" s="22">
        <f t="shared" si="180"/>
        <v>4.0650021179971913E-12</v>
      </c>
      <c r="EN185" s="60">
        <f t="shared" si="128"/>
        <v>289.54032746824851</v>
      </c>
      <c r="EO185" s="60">
        <f ca="1">AVERAGE(OFFSET($EN$3,0,0,'Données projet'!$E$15+1,1))-AVERAGE(OFFSET($H$3,0,0,'Données projet'!$E$15+1,1))</f>
        <v>375.49921531693559</v>
      </c>
      <c r="EP185" s="60">
        <f t="shared" si="154"/>
        <v>306.93934681565599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5.6843418860808015E-14</v>
      </c>
      <c r="FF185" s="18">
        <f>FE185*VLOOKUP('Données projet'!$B$16,Paramètres!$A$1:$I$89,3,0)*VLOOKUP('Données projet'!$B$16,Paramètres!$A$1:$I$89,5,0)</f>
        <v>4.6111381379887463E-14</v>
      </c>
      <c r="FG185" s="14">
        <f t="shared" si="182"/>
        <v>7.5804141040779151E-13</v>
      </c>
      <c r="FH185" s="22">
        <f t="shared" si="183"/>
        <v>1.4005661123635408E-12</v>
      </c>
      <c r="FI185" s="60">
        <f t="shared" si="131"/>
        <v>289.54032746824583</v>
      </c>
      <c r="FJ185" s="60">
        <f ca="1">AVERAGE(OFFSET($FI$3,0,0,'Données projet'!$E$16+1,1))-AVERAGE(OFFSET($H$3,0,0,'Données projet'!$E$16+1,1))</f>
        <v>308.58270639204238</v>
      </c>
      <c r="FK185" s="60">
        <f t="shared" si="156"/>
        <v>258.90832875500325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-4.5474735088646412E-13</v>
      </c>
      <c r="GA185" s="18">
        <f>FZ185*VLOOKUP('Données projet'!$B$17,Paramètres!$A$1:$I$89,3,0)*VLOOKUP('Données projet'!$B$17,Paramètres!$A$1:$I$89,5,0)</f>
        <v>-4.3983163777738812E-13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495.77880062178235</v>
      </c>
      <c r="GF185" s="60">
        <f t="shared" si="158"/>
        <v>263.55891737750301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1.9508661353029313E-13</v>
      </c>
      <c r="P186" s="14">
        <f t="shared" si="141"/>
        <v>2.711421636700695E-12</v>
      </c>
      <c r="Q186" s="22">
        <f t="shared" si="162"/>
        <v>5.0621685358189711E-12</v>
      </c>
      <c r="R186" s="60">
        <f t="shared" si="109"/>
        <v>289.60612764011802</v>
      </c>
      <c r="S186" s="60">
        <f ca="1">AVERAGE(OFFSET($R$3,0,0,'Données projet'!$E$9+1,1))-AVERAGE(OFFSET($H$3,0,0,'Données projet'!$E$9+1,1))</f>
        <v>598.73855311281966</v>
      </c>
      <c r="T186" s="60">
        <f t="shared" si="142"/>
        <v>275.88160405468193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-4.6111381379887462E-13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515.72324585399997</v>
      </c>
      <c r="AO186" s="60">
        <f t="shared" si="144"/>
        <v>273.35778700650792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2.7134774427395314E-13</v>
      </c>
      <c r="BF186" s="14">
        <f t="shared" si="167"/>
        <v>3.6292411711343559E-12</v>
      </c>
      <c r="BG186" s="22">
        <f t="shared" si="168"/>
        <v>6.7935256943361388E-12</v>
      </c>
      <c r="BH186" s="60">
        <f t="shared" si="116"/>
        <v>289.60612764011978</v>
      </c>
      <c r="BI186" s="60">
        <f ca="1">AVERAGE(OFFSET($BH$3,0,0,'Données projet'!$E$11+1,1))-AVERAGE(OFFSET($H$3,0,0,'Données projet'!$E$11+1,1))</f>
        <v>336.25341821407534</v>
      </c>
      <c r="BJ186" s="60">
        <f t="shared" si="146"/>
        <v>360.3246221345039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7.4768530568009042E-2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7.4768530568009042E-2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1.0818439477588981E-13</v>
      </c>
      <c r="CA186" s="14">
        <f t="shared" si="170"/>
        <v>1.6104228458716316E-12</v>
      </c>
      <c r="CB186" s="22">
        <f t="shared" si="171"/>
        <v>2.9932409441277661E-12</v>
      </c>
      <c r="CC186" s="60">
        <f t="shared" si="119"/>
        <v>289.60612764011597</v>
      </c>
      <c r="CD186" s="60">
        <f ca="1">AVERAGE(OFFSET($CC$3,0,0,'Données projet'!$E$12+1,1))-AVERAGE(OFFSET($H$3,0,0,'Données projet'!$E$12+1,1))</f>
        <v>438.41611139377829</v>
      </c>
      <c r="CE186" s="60">
        <f t="shared" si="148"/>
        <v>345.17417065809605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-4.5224624045658861E-14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395.27840703467933</v>
      </c>
      <c r="CZ186" s="60">
        <f t="shared" si="150"/>
        <v>364.24192380053944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-2.8421709430404007E-13</v>
      </c>
      <c r="DP186" s="18">
        <f>DO186*VLOOKUP('Données projet'!$B$14,Paramètres!$A$1:$I$89,3,0)*VLOOKUP('Données projet'!$B$14,Paramètres!$A$1:$I$89,5,0)</f>
        <v>-2.2168933355715128E-13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308.76306523144956</v>
      </c>
      <c r="DU186" s="60">
        <f t="shared" si="152"/>
        <v>283.28099819802776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2.2737367544323206E-13</v>
      </c>
      <c r="EK186" s="18">
        <f>EJ186*VLOOKUP('Données projet'!$B$15,Paramètres!$A$1:$I$89,3,0)*VLOOKUP('Données projet'!$B$15,Paramètres!$A$1:$I$89,5,0)</f>
        <v>1.5252226148732008E-13</v>
      </c>
      <c r="EL186" s="14">
        <f t="shared" si="179"/>
        <v>2.1814502464536512E-12</v>
      </c>
      <c r="EM186" s="22">
        <f t="shared" si="180"/>
        <v>4.0650021179971913E-12</v>
      </c>
      <c r="EN186" s="60">
        <f t="shared" si="128"/>
        <v>289.60612764011705</v>
      </c>
      <c r="EO186" s="60">
        <f ca="1">AVERAGE(OFFSET($EN$3,0,0,'Données projet'!$E$15+1,1))-AVERAGE(OFFSET($H$3,0,0,'Données projet'!$E$15+1,1))</f>
        <v>375.49921531693559</v>
      </c>
      <c r="EP186" s="60">
        <f t="shared" si="154"/>
        <v>306.93934681565599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5.6843418860808015E-14</v>
      </c>
      <c r="FF186" s="18">
        <f>FE186*VLOOKUP('Données projet'!$B$16,Paramètres!$A$1:$I$89,3,0)*VLOOKUP('Données projet'!$B$16,Paramètres!$A$1:$I$89,5,0)</f>
        <v>4.6111381379887463E-14</v>
      </c>
      <c r="FG186" s="14">
        <f t="shared" si="182"/>
        <v>7.5804141040779151E-13</v>
      </c>
      <c r="FH186" s="22">
        <f t="shared" si="183"/>
        <v>1.4005661123635408E-12</v>
      </c>
      <c r="FI186" s="60">
        <f t="shared" si="131"/>
        <v>289.60612764011438</v>
      </c>
      <c r="FJ186" s="60">
        <f ca="1">AVERAGE(OFFSET($FI$3,0,0,'Données projet'!$E$16+1,1))-AVERAGE(OFFSET($H$3,0,0,'Données projet'!$E$16+1,1))</f>
        <v>308.58270639204238</v>
      </c>
      <c r="FK186" s="60">
        <f t="shared" si="156"/>
        <v>258.90832875500325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-4.5474735088646412E-13</v>
      </c>
      <c r="GA186" s="18">
        <f>FZ186*VLOOKUP('Données projet'!$B$17,Paramètres!$A$1:$I$89,3,0)*VLOOKUP('Données projet'!$B$17,Paramètres!$A$1:$I$89,5,0)</f>
        <v>-4.3983163777738812E-13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495.77880062178235</v>
      </c>
      <c r="GF186" s="60">
        <f t="shared" si="158"/>
        <v>263.55891737750301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1.9508661353029313E-13</v>
      </c>
      <c r="P187" s="14">
        <f t="shared" si="141"/>
        <v>2.711421636700695E-12</v>
      </c>
      <c r="Q187" s="22">
        <f t="shared" si="162"/>
        <v>5.0621685358189711E-12</v>
      </c>
      <c r="R187" s="60">
        <f t="shared" si="109"/>
        <v>289.6707863261118</v>
      </c>
      <c r="S187" s="60">
        <f ca="1">AVERAGE(OFFSET($R$3,0,0,'Données projet'!$E$9+1,1))-AVERAGE(OFFSET($H$3,0,0,'Données projet'!$E$9+1,1))</f>
        <v>598.73855311281966</v>
      </c>
      <c r="T187" s="60">
        <f t="shared" si="142"/>
        <v>275.88160405468193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-4.6111381379887462E-13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515.72324585399997</v>
      </c>
      <c r="AO187" s="60">
        <f t="shared" si="144"/>
        <v>273.35778700650792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2.7134774427395314E-13</v>
      </c>
      <c r="BF187" s="14">
        <f t="shared" si="167"/>
        <v>3.6292411711343559E-12</v>
      </c>
      <c r="BG187" s="22">
        <f t="shared" si="168"/>
        <v>6.7935256943361388E-12</v>
      </c>
      <c r="BH187" s="60">
        <f t="shared" si="116"/>
        <v>289.67078632611356</v>
      </c>
      <c r="BI187" s="60">
        <f ca="1">AVERAGE(OFFSET($BH$3,0,0,'Données projet'!$E$11+1,1))-AVERAGE(OFFSET($H$3,0,0,'Données projet'!$E$11+1,1))</f>
        <v>336.25341821407534</v>
      </c>
      <c r="BJ187" s="60">
        <f t="shared" si="146"/>
        <v>360.3246221345039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7.2723981167720692E-2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7.2723981167720692E-2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1.0818439477588981E-13</v>
      </c>
      <c r="CA187" s="14">
        <f t="shared" si="170"/>
        <v>1.6104228458716316E-12</v>
      </c>
      <c r="CB187" s="22">
        <f t="shared" si="171"/>
        <v>2.9932409441277661E-12</v>
      </c>
      <c r="CC187" s="60">
        <f t="shared" si="119"/>
        <v>289.67078632610975</v>
      </c>
      <c r="CD187" s="60">
        <f ca="1">AVERAGE(OFFSET($CC$3,0,0,'Données projet'!$E$12+1,1))-AVERAGE(OFFSET($H$3,0,0,'Données projet'!$E$12+1,1))</f>
        <v>438.41611139377829</v>
      </c>
      <c r="CE187" s="60">
        <f t="shared" si="148"/>
        <v>345.17417065809605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-4.5224624045658861E-14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395.27840703467933</v>
      </c>
      <c r="CZ187" s="60">
        <f t="shared" si="150"/>
        <v>364.24192380053944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-2.8421709430404007E-13</v>
      </c>
      <c r="DP187" s="18">
        <f>DO187*VLOOKUP('Données projet'!$B$14,Paramètres!$A$1:$I$89,3,0)*VLOOKUP('Données projet'!$B$14,Paramètres!$A$1:$I$89,5,0)</f>
        <v>-2.2168933355715128E-13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308.76306523144956</v>
      </c>
      <c r="DU187" s="60">
        <f t="shared" si="152"/>
        <v>283.28099819802776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2.2737367544323206E-13</v>
      </c>
      <c r="EK187" s="18">
        <f>EJ187*VLOOKUP('Données projet'!$B$15,Paramètres!$A$1:$I$89,3,0)*VLOOKUP('Données projet'!$B$15,Paramètres!$A$1:$I$89,5,0)</f>
        <v>1.5252226148732008E-13</v>
      </c>
      <c r="EL187" s="14">
        <f t="shared" si="179"/>
        <v>2.1814502464536512E-12</v>
      </c>
      <c r="EM187" s="22">
        <f t="shared" si="180"/>
        <v>4.0650021179971913E-12</v>
      </c>
      <c r="EN187" s="60">
        <f t="shared" si="128"/>
        <v>289.67078632611083</v>
      </c>
      <c r="EO187" s="60">
        <f ca="1">AVERAGE(OFFSET($EN$3,0,0,'Données projet'!$E$15+1,1))-AVERAGE(OFFSET($H$3,0,0,'Données projet'!$E$15+1,1))</f>
        <v>375.49921531693559</v>
      </c>
      <c r="EP187" s="60">
        <f t="shared" si="154"/>
        <v>306.93934681565599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5.6843418860808015E-14</v>
      </c>
      <c r="FF187" s="18">
        <f>FE187*VLOOKUP('Données projet'!$B$16,Paramètres!$A$1:$I$89,3,0)*VLOOKUP('Données projet'!$B$16,Paramètres!$A$1:$I$89,5,0)</f>
        <v>4.6111381379887463E-14</v>
      </c>
      <c r="FG187" s="14">
        <f t="shared" si="182"/>
        <v>7.5804141040779151E-13</v>
      </c>
      <c r="FH187" s="22">
        <f t="shared" si="183"/>
        <v>1.4005661123635408E-12</v>
      </c>
      <c r="FI187" s="60">
        <f t="shared" si="131"/>
        <v>289.67078632610816</v>
      </c>
      <c r="FJ187" s="60">
        <f ca="1">AVERAGE(OFFSET($FI$3,0,0,'Données projet'!$E$16+1,1))-AVERAGE(OFFSET($H$3,0,0,'Données projet'!$E$16+1,1))</f>
        <v>308.58270639204238</v>
      </c>
      <c r="FK187" s="60">
        <f t="shared" si="156"/>
        <v>258.90832875500325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-4.5474735088646412E-13</v>
      </c>
      <c r="GA187" s="18">
        <f>FZ187*VLOOKUP('Données projet'!$B$17,Paramètres!$A$1:$I$89,3,0)*VLOOKUP('Données projet'!$B$17,Paramètres!$A$1:$I$89,5,0)</f>
        <v>-4.3983163777738812E-13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495.77880062178235</v>
      </c>
      <c r="GF187" s="60">
        <f t="shared" si="158"/>
        <v>263.55891737750301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1.9508661353029313E-13</v>
      </c>
      <c r="P188" s="14">
        <f t="shared" si="141"/>
        <v>2.711421636700695E-12</v>
      </c>
      <c r="Q188" s="22">
        <f t="shared" si="162"/>
        <v>5.0621685358189711E-12</v>
      </c>
      <c r="R188" s="60">
        <f t="shared" si="109"/>
        <v>289.7343233284588</v>
      </c>
      <c r="S188" s="60">
        <f ca="1">AVERAGE(OFFSET($R$3,0,0,'Données projet'!$E$9+1,1))-AVERAGE(OFFSET($H$3,0,0,'Données projet'!$E$9+1,1))</f>
        <v>598.73855311281966</v>
      </c>
      <c r="T188" s="60">
        <f t="shared" si="142"/>
        <v>275.88160405468193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-4.6111381379887462E-13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515.72324585399997</v>
      </c>
      <c r="AO188" s="60">
        <f t="shared" si="144"/>
        <v>273.35778700650792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2.7134774427395314E-13</v>
      </c>
      <c r="BF188" s="14">
        <f t="shared" si="167"/>
        <v>3.6292411711343559E-12</v>
      </c>
      <c r="BG188" s="22">
        <f t="shared" si="168"/>
        <v>6.7935256943361388E-12</v>
      </c>
      <c r="BH188" s="60">
        <f t="shared" si="116"/>
        <v>289.73432332846056</v>
      </c>
      <c r="BI188" s="60">
        <f ca="1">AVERAGE(OFFSET($BH$3,0,0,'Données projet'!$E$11+1,1))-AVERAGE(OFFSET($H$3,0,0,'Données projet'!$E$11+1,1))</f>
        <v>336.25341821407534</v>
      </c>
      <c r="BJ188" s="60">
        <f t="shared" si="146"/>
        <v>360.3246221345039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7.0735340078301415E-2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7.0735340078301415E-2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1.0818439477588981E-13</v>
      </c>
      <c r="CA188" s="14">
        <f t="shared" si="170"/>
        <v>1.6104228458716316E-12</v>
      </c>
      <c r="CB188" s="22">
        <f t="shared" si="171"/>
        <v>2.9932409441277661E-12</v>
      </c>
      <c r="CC188" s="60">
        <f t="shared" si="119"/>
        <v>289.73432332845675</v>
      </c>
      <c r="CD188" s="60">
        <f ca="1">AVERAGE(OFFSET($CC$3,0,0,'Données projet'!$E$12+1,1))-AVERAGE(OFFSET($H$3,0,0,'Données projet'!$E$12+1,1))</f>
        <v>438.41611139377829</v>
      </c>
      <c r="CE188" s="60">
        <f t="shared" si="148"/>
        <v>345.17417065809605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-4.5224624045658861E-14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395.27840703467933</v>
      </c>
      <c r="CZ188" s="60">
        <f t="shared" si="150"/>
        <v>364.24192380053944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-2.8421709430404007E-13</v>
      </c>
      <c r="DP188" s="18">
        <f>DO188*VLOOKUP('Données projet'!$B$14,Paramètres!$A$1:$I$89,3,0)*VLOOKUP('Données projet'!$B$14,Paramètres!$A$1:$I$89,5,0)</f>
        <v>-2.2168933355715128E-13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308.76306523144956</v>
      </c>
      <c r="DU188" s="60">
        <f t="shared" si="152"/>
        <v>283.28099819802776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2.2737367544323206E-13</v>
      </c>
      <c r="EK188" s="18">
        <f>EJ188*VLOOKUP('Données projet'!$B$15,Paramètres!$A$1:$I$89,3,0)*VLOOKUP('Données projet'!$B$15,Paramètres!$A$1:$I$89,5,0)</f>
        <v>1.5252226148732008E-13</v>
      </c>
      <c r="EL188" s="14">
        <f t="shared" si="179"/>
        <v>2.1814502464536512E-12</v>
      </c>
      <c r="EM188" s="22">
        <f t="shared" si="180"/>
        <v>4.0650021179971913E-12</v>
      </c>
      <c r="EN188" s="60">
        <f t="shared" si="128"/>
        <v>289.73432332845783</v>
      </c>
      <c r="EO188" s="60">
        <f ca="1">AVERAGE(OFFSET($EN$3,0,0,'Données projet'!$E$15+1,1))-AVERAGE(OFFSET($H$3,0,0,'Données projet'!$E$15+1,1))</f>
        <v>375.49921531693559</v>
      </c>
      <c r="EP188" s="60">
        <f t="shared" si="154"/>
        <v>306.93934681565599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5.6843418860808015E-14</v>
      </c>
      <c r="FF188" s="18">
        <f>FE188*VLOOKUP('Données projet'!$B$16,Paramètres!$A$1:$I$89,3,0)*VLOOKUP('Données projet'!$B$16,Paramètres!$A$1:$I$89,5,0)</f>
        <v>4.6111381379887463E-14</v>
      </c>
      <c r="FG188" s="14">
        <f t="shared" si="182"/>
        <v>7.5804141040779151E-13</v>
      </c>
      <c r="FH188" s="22">
        <f t="shared" si="183"/>
        <v>1.4005661123635408E-12</v>
      </c>
      <c r="FI188" s="60">
        <f t="shared" si="131"/>
        <v>289.73432332845516</v>
      </c>
      <c r="FJ188" s="60">
        <f ca="1">AVERAGE(OFFSET($FI$3,0,0,'Données projet'!$E$16+1,1))-AVERAGE(OFFSET($H$3,0,0,'Données projet'!$E$16+1,1))</f>
        <v>308.58270639204238</v>
      </c>
      <c r="FK188" s="60">
        <f t="shared" si="156"/>
        <v>258.90832875500325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-4.5474735088646412E-13</v>
      </c>
      <c r="GA188" s="18">
        <f>FZ188*VLOOKUP('Données projet'!$B$17,Paramètres!$A$1:$I$89,3,0)*VLOOKUP('Données projet'!$B$17,Paramètres!$A$1:$I$89,5,0)</f>
        <v>-4.3983163777738812E-13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495.77880062178235</v>
      </c>
      <c r="GF188" s="60">
        <f t="shared" si="158"/>
        <v>263.55891737750301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1.9508661353029313E-13</v>
      </c>
      <c r="P189" s="14">
        <f t="shared" si="141"/>
        <v>2.711421636700695E-12</v>
      </c>
      <c r="Q189" s="22">
        <f t="shared" si="162"/>
        <v>5.0621685358189711E-12</v>
      </c>
      <c r="R189" s="60">
        <f t="shared" si="109"/>
        <v>289.79675810586247</v>
      </c>
      <c r="S189" s="60">
        <f ca="1">AVERAGE(OFFSET($R$3,0,0,'Données projet'!$E$9+1,1))-AVERAGE(OFFSET($H$3,0,0,'Données projet'!$E$9+1,1))</f>
        <v>598.73855311281966</v>
      </c>
      <c r="T189" s="60">
        <f t="shared" si="142"/>
        <v>275.88160405468193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-4.6111381379887462E-13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515.72324585399997</v>
      </c>
      <c r="AO189" s="60">
        <f t="shared" si="144"/>
        <v>273.35778700650792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2.7134774427395314E-13</v>
      </c>
      <c r="BF189" s="14">
        <f t="shared" si="167"/>
        <v>3.6292411711343559E-12</v>
      </c>
      <c r="BG189" s="22">
        <f t="shared" si="168"/>
        <v>6.7935256943361388E-12</v>
      </c>
      <c r="BH189" s="60">
        <f t="shared" si="116"/>
        <v>289.79675810586423</v>
      </c>
      <c r="BI189" s="60">
        <f ca="1">AVERAGE(OFFSET($BH$3,0,0,'Données projet'!$E$11+1,1))-AVERAGE(OFFSET($H$3,0,0,'Données projet'!$E$11+1,1))</f>
        <v>336.25341821407534</v>
      </c>
      <c r="BJ189" s="60">
        <f t="shared" si="146"/>
        <v>360.3246221345039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6.8801078484050399E-2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6.8801078484050399E-2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1.0818439477588981E-13</v>
      </c>
      <c r="CA189" s="14">
        <f t="shared" si="170"/>
        <v>1.6104228458716316E-12</v>
      </c>
      <c r="CB189" s="22">
        <f t="shared" si="171"/>
        <v>2.9932409441277661E-12</v>
      </c>
      <c r="CC189" s="60">
        <f t="shared" si="119"/>
        <v>289.79675810586042</v>
      </c>
      <c r="CD189" s="60">
        <f ca="1">AVERAGE(OFFSET($CC$3,0,0,'Données projet'!$E$12+1,1))-AVERAGE(OFFSET($H$3,0,0,'Données projet'!$E$12+1,1))</f>
        <v>438.41611139377829</v>
      </c>
      <c r="CE189" s="60">
        <f t="shared" si="148"/>
        <v>345.17417065809605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-4.5224624045658861E-14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395.27840703467933</v>
      </c>
      <c r="CZ189" s="60">
        <f t="shared" si="150"/>
        <v>364.24192380053944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-2.8421709430404007E-13</v>
      </c>
      <c r="DP189" s="18">
        <f>DO189*VLOOKUP('Données projet'!$B$14,Paramètres!$A$1:$I$89,3,0)*VLOOKUP('Données projet'!$B$14,Paramètres!$A$1:$I$89,5,0)</f>
        <v>-2.2168933355715128E-13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308.76306523144956</v>
      </c>
      <c r="DU189" s="60">
        <f t="shared" si="152"/>
        <v>283.28099819802776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2.2737367544323206E-13</v>
      </c>
      <c r="EK189" s="18">
        <f>EJ189*VLOOKUP('Données projet'!$B$15,Paramètres!$A$1:$I$89,3,0)*VLOOKUP('Données projet'!$B$15,Paramètres!$A$1:$I$89,5,0)</f>
        <v>1.5252226148732008E-13</v>
      </c>
      <c r="EL189" s="14">
        <f t="shared" si="179"/>
        <v>2.1814502464536512E-12</v>
      </c>
      <c r="EM189" s="22">
        <f t="shared" si="180"/>
        <v>4.0650021179971913E-12</v>
      </c>
      <c r="EN189" s="60">
        <f t="shared" si="128"/>
        <v>289.7967581058615</v>
      </c>
      <c r="EO189" s="60">
        <f ca="1">AVERAGE(OFFSET($EN$3,0,0,'Données projet'!$E$15+1,1))-AVERAGE(OFFSET($H$3,0,0,'Données projet'!$E$15+1,1))</f>
        <v>375.49921531693559</v>
      </c>
      <c r="EP189" s="60">
        <f t="shared" si="154"/>
        <v>306.93934681565599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5.6843418860808015E-14</v>
      </c>
      <c r="FF189" s="18">
        <f>FE189*VLOOKUP('Données projet'!$B$16,Paramètres!$A$1:$I$89,3,0)*VLOOKUP('Données projet'!$B$16,Paramètres!$A$1:$I$89,5,0)</f>
        <v>4.6111381379887463E-14</v>
      </c>
      <c r="FG189" s="14">
        <f t="shared" si="182"/>
        <v>7.5804141040779151E-13</v>
      </c>
      <c r="FH189" s="22">
        <f t="shared" si="183"/>
        <v>1.4005661123635408E-12</v>
      </c>
      <c r="FI189" s="60">
        <f t="shared" si="131"/>
        <v>289.79675810585883</v>
      </c>
      <c r="FJ189" s="60">
        <f ca="1">AVERAGE(OFFSET($FI$3,0,0,'Données projet'!$E$16+1,1))-AVERAGE(OFFSET($H$3,0,0,'Données projet'!$E$16+1,1))</f>
        <v>308.58270639204238</v>
      </c>
      <c r="FK189" s="60">
        <f t="shared" si="156"/>
        <v>258.90832875500325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-4.5474735088646412E-13</v>
      </c>
      <c r="GA189" s="18">
        <f>FZ189*VLOOKUP('Données projet'!$B$17,Paramètres!$A$1:$I$89,3,0)*VLOOKUP('Données projet'!$B$17,Paramètres!$A$1:$I$89,5,0)</f>
        <v>-4.3983163777738812E-13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495.77880062178235</v>
      </c>
      <c r="GF189" s="60">
        <f t="shared" si="158"/>
        <v>263.55891737750301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1.9508661353029313E-13</v>
      </c>
      <c r="P190" s="14">
        <f t="shared" si="141"/>
        <v>2.711421636700695E-12</v>
      </c>
      <c r="Q190" s="22">
        <f t="shared" si="162"/>
        <v>5.0621685358189711E-12</v>
      </c>
      <c r="R190" s="60">
        <f t="shared" si="109"/>
        <v>289.85810977946147</v>
      </c>
      <c r="S190" s="60">
        <f ca="1">AVERAGE(OFFSET($R$3,0,0,'Données projet'!$E$9+1,1))-AVERAGE(OFFSET($H$3,0,0,'Données projet'!$E$9+1,1))</f>
        <v>598.73855311281966</v>
      </c>
      <c r="T190" s="60">
        <f t="shared" si="142"/>
        <v>275.88160405468193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-4.6111381379887462E-13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515.72324585399997</v>
      </c>
      <c r="AO190" s="60">
        <f t="shared" si="144"/>
        <v>273.35778700650792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2.7134774427395314E-13</v>
      </c>
      <c r="BF190" s="14">
        <f t="shared" si="167"/>
        <v>3.6292411711343559E-12</v>
      </c>
      <c r="BG190" s="22">
        <f t="shared" si="168"/>
        <v>6.7935256943361388E-12</v>
      </c>
      <c r="BH190" s="60">
        <f t="shared" si="116"/>
        <v>289.85810977946323</v>
      </c>
      <c r="BI190" s="60">
        <f ca="1">AVERAGE(OFFSET($BH$3,0,0,'Données projet'!$E$11+1,1))-AVERAGE(OFFSET($H$3,0,0,'Données projet'!$E$11+1,1))</f>
        <v>336.25341821407534</v>
      </c>
      <c r="BJ190" s="60">
        <f t="shared" si="146"/>
        <v>360.3246221345039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6.6919709374812564E-2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6.6919709374812564E-2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1.0818439477588981E-13</v>
      </c>
      <c r="CA190" s="14">
        <f t="shared" si="170"/>
        <v>1.6104228458716316E-12</v>
      </c>
      <c r="CB190" s="22">
        <f t="shared" si="171"/>
        <v>2.9932409441277661E-12</v>
      </c>
      <c r="CC190" s="60">
        <f t="shared" si="119"/>
        <v>289.85810977945943</v>
      </c>
      <c r="CD190" s="60">
        <f ca="1">AVERAGE(OFFSET($CC$3,0,0,'Données projet'!$E$12+1,1))-AVERAGE(OFFSET($H$3,0,0,'Données projet'!$E$12+1,1))</f>
        <v>438.41611139377829</v>
      </c>
      <c r="CE190" s="60">
        <f t="shared" si="148"/>
        <v>345.17417065809605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-4.5224624045658861E-14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395.27840703467933</v>
      </c>
      <c r="CZ190" s="60">
        <f t="shared" si="150"/>
        <v>364.24192380053944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-2.8421709430404007E-13</v>
      </c>
      <c r="DP190" s="18">
        <f>DO190*VLOOKUP('Données projet'!$B$14,Paramètres!$A$1:$I$89,3,0)*VLOOKUP('Données projet'!$B$14,Paramètres!$A$1:$I$89,5,0)</f>
        <v>-2.2168933355715128E-13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308.76306523144956</v>
      </c>
      <c r="DU190" s="60">
        <f t="shared" si="152"/>
        <v>283.28099819802776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2.2737367544323206E-13</v>
      </c>
      <c r="EK190" s="18">
        <f>EJ190*VLOOKUP('Données projet'!$B$15,Paramètres!$A$1:$I$89,3,0)*VLOOKUP('Données projet'!$B$15,Paramètres!$A$1:$I$89,5,0)</f>
        <v>1.5252226148732008E-13</v>
      </c>
      <c r="EL190" s="14">
        <f t="shared" si="179"/>
        <v>2.1814502464536512E-12</v>
      </c>
      <c r="EM190" s="22">
        <f t="shared" si="180"/>
        <v>4.0650021179971913E-12</v>
      </c>
      <c r="EN190" s="60">
        <f t="shared" si="128"/>
        <v>289.85810977946051</v>
      </c>
      <c r="EO190" s="60">
        <f ca="1">AVERAGE(OFFSET($EN$3,0,0,'Données projet'!$E$15+1,1))-AVERAGE(OFFSET($H$3,0,0,'Données projet'!$E$15+1,1))</f>
        <v>375.49921531693559</v>
      </c>
      <c r="EP190" s="60">
        <f t="shared" si="154"/>
        <v>306.93934681565599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5.6843418860808015E-14</v>
      </c>
      <c r="FF190" s="18">
        <f>FE190*VLOOKUP('Données projet'!$B$16,Paramètres!$A$1:$I$89,3,0)*VLOOKUP('Données projet'!$B$16,Paramètres!$A$1:$I$89,5,0)</f>
        <v>4.6111381379887463E-14</v>
      </c>
      <c r="FG190" s="14">
        <f t="shared" si="182"/>
        <v>7.5804141040779151E-13</v>
      </c>
      <c r="FH190" s="22">
        <f t="shared" si="183"/>
        <v>1.4005661123635408E-12</v>
      </c>
      <c r="FI190" s="60">
        <f t="shared" si="131"/>
        <v>289.85810977945783</v>
      </c>
      <c r="FJ190" s="60">
        <f ca="1">AVERAGE(OFFSET($FI$3,0,0,'Données projet'!$E$16+1,1))-AVERAGE(OFFSET($H$3,0,0,'Données projet'!$E$16+1,1))</f>
        <v>308.58270639204238</v>
      </c>
      <c r="FK190" s="60">
        <f t="shared" si="156"/>
        <v>258.90832875500325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-4.5474735088646412E-13</v>
      </c>
      <c r="GA190" s="18">
        <f>FZ190*VLOOKUP('Données projet'!$B$17,Paramètres!$A$1:$I$89,3,0)*VLOOKUP('Données projet'!$B$17,Paramètres!$A$1:$I$89,5,0)</f>
        <v>-4.3983163777738812E-13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495.77880062178235</v>
      </c>
      <c r="GF190" s="60">
        <f t="shared" si="158"/>
        <v>263.55891737750301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1.9508661353029313E-13</v>
      </c>
      <c r="P191" s="14">
        <f t="shared" si="141"/>
        <v>2.711421636700695E-12</v>
      </c>
      <c r="Q191" s="22">
        <f t="shared" si="162"/>
        <v>5.0621685358189711E-12</v>
      </c>
      <c r="R191" s="60">
        <f t="shared" si="109"/>
        <v>289.91839713868529</v>
      </c>
      <c r="S191" s="60">
        <f ca="1">AVERAGE(OFFSET($R$3,0,0,'Données projet'!$E$9+1,1))-AVERAGE(OFFSET($H$3,0,0,'Données projet'!$E$9+1,1))</f>
        <v>598.73855311281966</v>
      </c>
      <c r="T191" s="60">
        <f t="shared" si="142"/>
        <v>275.88160405468193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-4.6111381379887462E-13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515.72324585399997</v>
      </c>
      <c r="AO191" s="60">
        <f t="shared" si="144"/>
        <v>273.35778700650792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2.7134774427395314E-13</v>
      </c>
      <c r="BF191" s="14">
        <f t="shared" si="167"/>
        <v>3.6292411711343559E-12</v>
      </c>
      <c r="BG191" s="22">
        <f t="shared" si="168"/>
        <v>6.7935256943361388E-12</v>
      </c>
      <c r="BH191" s="60">
        <f t="shared" si="116"/>
        <v>289.91839713868706</v>
      </c>
      <c r="BI191" s="60">
        <f ca="1">AVERAGE(OFFSET($BH$3,0,0,'Données projet'!$E$11+1,1))-AVERAGE(OFFSET($H$3,0,0,'Données projet'!$E$11+1,1))</f>
        <v>336.25341821407534</v>
      </c>
      <c r="BJ191" s="60">
        <f t="shared" si="146"/>
        <v>360.3246221345039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6.5089786402803745E-2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6.5089786402803745E-2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1.0818439477588981E-13</v>
      </c>
      <c r="CA191" s="14">
        <f t="shared" si="170"/>
        <v>1.6104228458716316E-12</v>
      </c>
      <c r="CB191" s="22">
        <f t="shared" si="171"/>
        <v>2.9932409441277661E-12</v>
      </c>
      <c r="CC191" s="60">
        <f t="shared" si="119"/>
        <v>289.91839713868325</v>
      </c>
      <c r="CD191" s="60">
        <f ca="1">AVERAGE(OFFSET($CC$3,0,0,'Données projet'!$E$12+1,1))-AVERAGE(OFFSET($H$3,0,0,'Données projet'!$E$12+1,1))</f>
        <v>438.41611139377829</v>
      </c>
      <c r="CE191" s="60">
        <f t="shared" si="148"/>
        <v>345.17417065809605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-4.5224624045658861E-14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395.27840703467933</v>
      </c>
      <c r="CZ191" s="60">
        <f t="shared" si="150"/>
        <v>364.24192380053944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-2.8421709430404007E-13</v>
      </c>
      <c r="DP191" s="18">
        <f>DO191*VLOOKUP('Données projet'!$B$14,Paramètres!$A$1:$I$89,3,0)*VLOOKUP('Données projet'!$B$14,Paramètres!$A$1:$I$89,5,0)</f>
        <v>-2.2168933355715128E-13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308.76306523144956</v>
      </c>
      <c r="DU191" s="60">
        <f t="shared" si="152"/>
        <v>283.28099819802776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2.2737367544323206E-13</v>
      </c>
      <c r="EK191" s="18">
        <f>EJ191*VLOOKUP('Données projet'!$B$15,Paramètres!$A$1:$I$89,3,0)*VLOOKUP('Données projet'!$B$15,Paramètres!$A$1:$I$89,5,0)</f>
        <v>1.5252226148732008E-13</v>
      </c>
      <c r="EL191" s="14">
        <f t="shared" si="179"/>
        <v>2.1814502464536512E-12</v>
      </c>
      <c r="EM191" s="22">
        <f t="shared" si="180"/>
        <v>4.0650021179971913E-12</v>
      </c>
      <c r="EN191" s="60">
        <f t="shared" si="128"/>
        <v>289.91839713868433</v>
      </c>
      <c r="EO191" s="60">
        <f ca="1">AVERAGE(OFFSET($EN$3,0,0,'Données projet'!$E$15+1,1))-AVERAGE(OFFSET($H$3,0,0,'Données projet'!$E$15+1,1))</f>
        <v>375.49921531693559</v>
      </c>
      <c r="EP191" s="60">
        <f t="shared" si="154"/>
        <v>306.93934681565599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5.6843418860808015E-14</v>
      </c>
      <c r="FF191" s="18">
        <f>FE191*VLOOKUP('Données projet'!$B$16,Paramètres!$A$1:$I$89,3,0)*VLOOKUP('Données projet'!$B$16,Paramètres!$A$1:$I$89,5,0)</f>
        <v>4.6111381379887463E-14</v>
      </c>
      <c r="FG191" s="14">
        <f t="shared" si="182"/>
        <v>7.5804141040779151E-13</v>
      </c>
      <c r="FH191" s="22">
        <f t="shared" si="183"/>
        <v>1.4005661123635408E-12</v>
      </c>
      <c r="FI191" s="60">
        <f t="shared" si="131"/>
        <v>289.91839713868166</v>
      </c>
      <c r="FJ191" s="60">
        <f ca="1">AVERAGE(OFFSET($FI$3,0,0,'Données projet'!$E$16+1,1))-AVERAGE(OFFSET($H$3,0,0,'Données projet'!$E$16+1,1))</f>
        <v>308.58270639204238</v>
      </c>
      <c r="FK191" s="60">
        <f t="shared" si="156"/>
        <v>258.90832875500325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-4.5474735088646412E-13</v>
      </c>
      <c r="GA191" s="18">
        <f>FZ191*VLOOKUP('Données projet'!$B$17,Paramètres!$A$1:$I$89,3,0)*VLOOKUP('Données projet'!$B$17,Paramètres!$A$1:$I$89,5,0)</f>
        <v>-4.3983163777738812E-13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495.77880062178235</v>
      </c>
      <c r="GF191" s="60">
        <f t="shared" si="158"/>
        <v>263.55891737750301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1.9508661353029313E-13</v>
      </c>
      <c r="P192" s="14">
        <f t="shared" si="141"/>
        <v>2.711421636700695E-12</v>
      </c>
      <c r="Q192" s="22">
        <f t="shared" si="162"/>
        <v>5.0621685358189711E-12</v>
      </c>
      <c r="R192" s="60">
        <f t="shared" si="109"/>
        <v>289.97763864700892</v>
      </c>
      <c r="S192" s="60">
        <f ca="1">AVERAGE(OFFSET($R$3,0,0,'Données projet'!$E$9+1,1))-AVERAGE(OFFSET($H$3,0,0,'Données projet'!$E$9+1,1))</f>
        <v>598.73855311281966</v>
      </c>
      <c r="T192" s="60">
        <f t="shared" si="142"/>
        <v>275.88160405468193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-4.6111381379887462E-13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515.72324585399997</v>
      </c>
      <c r="AO192" s="60">
        <f t="shared" si="144"/>
        <v>273.35778700650792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2.7134774427395314E-13</v>
      </c>
      <c r="BF192" s="14">
        <f t="shared" si="167"/>
        <v>3.6292411711343559E-12</v>
      </c>
      <c r="BG192" s="22">
        <f t="shared" si="168"/>
        <v>6.7935256943361388E-12</v>
      </c>
      <c r="BH192" s="60">
        <f t="shared" si="116"/>
        <v>289.97763864701068</v>
      </c>
      <c r="BI192" s="60">
        <f ca="1">AVERAGE(OFFSET($BH$3,0,0,'Données projet'!$E$11+1,1))-AVERAGE(OFFSET($H$3,0,0,'Données projet'!$E$11+1,1))</f>
        <v>336.25341821407534</v>
      </c>
      <c r="BJ192" s="60">
        <f t="shared" si="146"/>
        <v>360.3246221345039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6.330990277069598E-2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6.330990277069598E-2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1.0818439477588981E-13</v>
      </c>
      <c r="CA192" s="14">
        <f t="shared" si="170"/>
        <v>1.6104228458716316E-12</v>
      </c>
      <c r="CB192" s="22">
        <f t="shared" si="171"/>
        <v>2.9932409441277661E-12</v>
      </c>
      <c r="CC192" s="60">
        <f t="shared" si="119"/>
        <v>289.97763864700687</v>
      </c>
      <c r="CD192" s="60">
        <f ca="1">AVERAGE(OFFSET($CC$3,0,0,'Données projet'!$E$12+1,1))-AVERAGE(OFFSET($H$3,0,0,'Données projet'!$E$12+1,1))</f>
        <v>438.41611139377829</v>
      </c>
      <c r="CE192" s="60">
        <f t="shared" si="148"/>
        <v>345.17417065809605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-4.5224624045658861E-14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395.27840703467933</v>
      </c>
      <c r="CZ192" s="60">
        <f t="shared" si="150"/>
        <v>364.24192380053944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-2.8421709430404007E-13</v>
      </c>
      <c r="DP192" s="18">
        <f>DO192*VLOOKUP('Données projet'!$B$14,Paramètres!$A$1:$I$89,3,0)*VLOOKUP('Données projet'!$B$14,Paramètres!$A$1:$I$89,5,0)</f>
        <v>-2.2168933355715128E-13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308.76306523144956</v>
      </c>
      <c r="DU192" s="60">
        <f t="shared" si="152"/>
        <v>283.28099819802776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2.2737367544323206E-13</v>
      </c>
      <c r="EK192" s="18">
        <f>EJ192*VLOOKUP('Données projet'!$B$15,Paramètres!$A$1:$I$89,3,0)*VLOOKUP('Données projet'!$B$15,Paramètres!$A$1:$I$89,5,0)</f>
        <v>1.5252226148732008E-13</v>
      </c>
      <c r="EL192" s="14">
        <f t="shared" si="179"/>
        <v>2.1814502464536512E-12</v>
      </c>
      <c r="EM192" s="22">
        <f t="shared" si="180"/>
        <v>4.0650021179971913E-12</v>
      </c>
      <c r="EN192" s="60">
        <f t="shared" si="128"/>
        <v>289.97763864700795</v>
      </c>
      <c r="EO192" s="60">
        <f ca="1">AVERAGE(OFFSET($EN$3,0,0,'Données projet'!$E$15+1,1))-AVERAGE(OFFSET($H$3,0,0,'Données projet'!$E$15+1,1))</f>
        <v>375.49921531693559</v>
      </c>
      <c r="EP192" s="60">
        <f t="shared" si="154"/>
        <v>306.93934681565599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5.6843418860808015E-14</v>
      </c>
      <c r="FF192" s="18">
        <f>FE192*VLOOKUP('Données projet'!$B$16,Paramètres!$A$1:$I$89,3,0)*VLOOKUP('Données projet'!$B$16,Paramètres!$A$1:$I$89,5,0)</f>
        <v>4.6111381379887463E-14</v>
      </c>
      <c r="FG192" s="14">
        <f t="shared" si="182"/>
        <v>7.5804141040779151E-13</v>
      </c>
      <c r="FH192" s="22">
        <f t="shared" si="183"/>
        <v>1.4005661123635408E-12</v>
      </c>
      <c r="FI192" s="60">
        <f t="shared" si="131"/>
        <v>289.97763864700528</v>
      </c>
      <c r="FJ192" s="60">
        <f ca="1">AVERAGE(OFFSET($FI$3,0,0,'Données projet'!$E$16+1,1))-AVERAGE(OFFSET($H$3,0,0,'Données projet'!$E$16+1,1))</f>
        <v>308.58270639204238</v>
      </c>
      <c r="FK192" s="60">
        <f t="shared" si="156"/>
        <v>258.90832875500325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-4.5474735088646412E-13</v>
      </c>
      <c r="GA192" s="18">
        <f>FZ192*VLOOKUP('Données projet'!$B$17,Paramètres!$A$1:$I$89,3,0)*VLOOKUP('Données projet'!$B$17,Paramètres!$A$1:$I$89,5,0)</f>
        <v>-4.3983163777738812E-13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495.77880062178235</v>
      </c>
      <c r="GF192" s="60">
        <f t="shared" si="158"/>
        <v>263.55891737750301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1.9508661353029313E-13</v>
      </c>
      <c r="P193" s="14">
        <f t="shared" si="141"/>
        <v>2.711421636700695E-12</v>
      </c>
      <c r="Q193" s="22">
        <f t="shared" si="162"/>
        <v>5.0621685358189711E-12</v>
      </c>
      <c r="R193" s="60">
        <f t="shared" si="109"/>
        <v>290.03585244760734</v>
      </c>
      <c r="S193" s="60">
        <f ca="1">AVERAGE(OFFSET($R$3,0,0,'Données projet'!$E$9+1,1))-AVERAGE(OFFSET($H$3,0,0,'Données projet'!$E$9+1,1))</f>
        <v>598.73855311281966</v>
      </c>
      <c r="T193" s="60">
        <f t="shared" si="142"/>
        <v>275.88160405468193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-4.6111381379887462E-13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515.72324585399997</v>
      </c>
      <c r="AO193" s="60">
        <f t="shared" si="144"/>
        <v>273.35778700650792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2.7134774427395314E-13</v>
      </c>
      <c r="BF193" s="14">
        <f t="shared" si="167"/>
        <v>3.6292411711343559E-12</v>
      </c>
      <c r="BG193" s="22">
        <f t="shared" si="168"/>
        <v>6.7935256943361388E-12</v>
      </c>
      <c r="BH193" s="60">
        <f t="shared" si="116"/>
        <v>290.0358524476091</v>
      </c>
      <c r="BI193" s="60">
        <f ca="1">AVERAGE(OFFSET($BH$3,0,0,'Données projet'!$E$11+1,1))-AVERAGE(OFFSET($H$3,0,0,'Données projet'!$E$11+1,1))</f>
        <v>336.25341821407534</v>
      </c>
      <c r="BJ193" s="60">
        <f t="shared" si="146"/>
        <v>360.3246221345039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6.1578690150108209E-2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6.1578690150108209E-2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1.0818439477588981E-13</v>
      </c>
      <c r="CA193" s="14">
        <f t="shared" si="170"/>
        <v>1.6104228458716316E-12</v>
      </c>
      <c r="CB193" s="22">
        <f t="shared" si="171"/>
        <v>2.9932409441277661E-12</v>
      </c>
      <c r="CC193" s="60">
        <f t="shared" si="119"/>
        <v>290.03585244760529</v>
      </c>
      <c r="CD193" s="60">
        <f ca="1">AVERAGE(OFFSET($CC$3,0,0,'Données projet'!$E$12+1,1))-AVERAGE(OFFSET($H$3,0,0,'Données projet'!$E$12+1,1))</f>
        <v>438.41611139377829</v>
      </c>
      <c r="CE193" s="60">
        <f t="shared" si="148"/>
        <v>345.17417065809605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-4.5224624045658861E-14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395.27840703467933</v>
      </c>
      <c r="CZ193" s="60">
        <f t="shared" si="150"/>
        <v>364.24192380053944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-2.8421709430404007E-13</v>
      </c>
      <c r="DP193" s="18">
        <f>DO193*VLOOKUP('Données projet'!$B$14,Paramètres!$A$1:$I$89,3,0)*VLOOKUP('Données projet'!$B$14,Paramètres!$A$1:$I$89,5,0)</f>
        <v>-2.2168933355715128E-13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308.76306523144956</v>
      </c>
      <c r="DU193" s="60">
        <f t="shared" si="152"/>
        <v>283.28099819802776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2.2737367544323206E-13</v>
      </c>
      <c r="EK193" s="18">
        <f>EJ193*VLOOKUP('Données projet'!$B$15,Paramètres!$A$1:$I$89,3,0)*VLOOKUP('Données projet'!$B$15,Paramètres!$A$1:$I$89,5,0)</f>
        <v>1.5252226148732008E-13</v>
      </c>
      <c r="EL193" s="14">
        <f t="shared" si="179"/>
        <v>2.1814502464536512E-12</v>
      </c>
      <c r="EM193" s="22">
        <f t="shared" si="180"/>
        <v>4.0650021179971913E-12</v>
      </c>
      <c r="EN193" s="60">
        <f t="shared" si="128"/>
        <v>290.03585244760637</v>
      </c>
      <c r="EO193" s="60">
        <f ca="1">AVERAGE(OFFSET($EN$3,0,0,'Données projet'!$E$15+1,1))-AVERAGE(OFFSET($H$3,0,0,'Données projet'!$E$15+1,1))</f>
        <v>375.49921531693559</v>
      </c>
      <c r="EP193" s="60">
        <f t="shared" si="154"/>
        <v>306.93934681565599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5.6843418860808015E-14</v>
      </c>
      <c r="FF193" s="18">
        <f>FE193*VLOOKUP('Données projet'!$B$16,Paramètres!$A$1:$I$89,3,0)*VLOOKUP('Données projet'!$B$16,Paramètres!$A$1:$I$89,5,0)</f>
        <v>4.6111381379887463E-14</v>
      </c>
      <c r="FG193" s="14">
        <f t="shared" si="182"/>
        <v>7.5804141040779151E-13</v>
      </c>
      <c r="FH193" s="22">
        <f t="shared" si="183"/>
        <v>1.4005661123635408E-12</v>
      </c>
      <c r="FI193" s="60">
        <f t="shared" si="131"/>
        <v>290.0358524476037</v>
      </c>
      <c r="FJ193" s="60">
        <f ca="1">AVERAGE(OFFSET($FI$3,0,0,'Données projet'!$E$16+1,1))-AVERAGE(OFFSET($H$3,0,0,'Données projet'!$E$16+1,1))</f>
        <v>308.58270639204238</v>
      </c>
      <c r="FK193" s="60">
        <f t="shared" si="156"/>
        <v>258.90832875500325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-4.5474735088646412E-13</v>
      </c>
      <c r="GA193" s="18">
        <f>FZ193*VLOOKUP('Données projet'!$B$17,Paramètres!$A$1:$I$89,3,0)*VLOOKUP('Données projet'!$B$17,Paramètres!$A$1:$I$89,5,0)</f>
        <v>-4.3983163777738812E-13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495.77880062178235</v>
      </c>
      <c r="GF193" s="60">
        <f t="shared" si="158"/>
        <v>263.55891737750301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1.9508661353029313E-13</v>
      </c>
      <c r="P194" s="14">
        <f t="shared" si="141"/>
        <v>2.711421636700695E-12</v>
      </c>
      <c r="Q194" s="22">
        <f t="shared" si="162"/>
        <v>5.0621685358189711E-12</v>
      </c>
      <c r="R194" s="60">
        <f t="shared" si="109"/>
        <v>290.0930563689119</v>
      </c>
      <c r="S194" s="60">
        <f ca="1">AVERAGE(OFFSET($R$3,0,0,'Données projet'!$E$9+1,1))-AVERAGE(OFFSET($H$3,0,0,'Données projet'!$E$9+1,1))</f>
        <v>598.73855311281966</v>
      </c>
      <c r="T194" s="60">
        <f t="shared" si="142"/>
        <v>275.88160405468193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-4.6111381379887462E-13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515.72324585399997</v>
      </c>
      <c r="AO194" s="60">
        <f t="shared" si="144"/>
        <v>273.35778700650792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2.7134774427395314E-13</v>
      </c>
      <c r="BF194" s="14">
        <f t="shared" si="167"/>
        <v>3.6292411711343559E-12</v>
      </c>
      <c r="BG194" s="22">
        <f t="shared" si="168"/>
        <v>6.7935256943361388E-12</v>
      </c>
      <c r="BH194" s="60">
        <f t="shared" si="116"/>
        <v>290.09305636891366</v>
      </c>
      <c r="BI194" s="60">
        <f ca="1">AVERAGE(OFFSET($BH$3,0,0,'Données projet'!$E$11+1,1))-AVERAGE(OFFSET($H$3,0,0,'Données projet'!$E$11+1,1))</f>
        <v>336.25341821407534</v>
      </c>
      <c r="BJ194" s="60">
        <f t="shared" si="146"/>
        <v>360.3246221345039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5.9894817629670923E-2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5.9894817629670923E-2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1.0818439477588981E-13</v>
      </c>
      <c r="CA194" s="14">
        <f t="shared" si="170"/>
        <v>1.6104228458716316E-12</v>
      </c>
      <c r="CB194" s="22">
        <f t="shared" si="171"/>
        <v>2.9932409441277661E-12</v>
      </c>
      <c r="CC194" s="60">
        <f t="shared" si="119"/>
        <v>290.09305636890986</v>
      </c>
      <c r="CD194" s="60">
        <f ca="1">AVERAGE(OFFSET($CC$3,0,0,'Données projet'!$E$12+1,1))-AVERAGE(OFFSET($H$3,0,0,'Données projet'!$E$12+1,1))</f>
        <v>438.41611139377829</v>
      </c>
      <c r="CE194" s="60">
        <f t="shared" si="148"/>
        <v>345.17417065809605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-4.5224624045658861E-14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395.27840703467933</v>
      </c>
      <c r="CZ194" s="60">
        <f t="shared" si="150"/>
        <v>364.24192380053944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-2.8421709430404007E-13</v>
      </c>
      <c r="DP194" s="18">
        <f>DO194*VLOOKUP('Données projet'!$B$14,Paramètres!$A$1:$I$89,3,0)*VLOOKUP('Données projet'!$B$14,Paramètres!$A$1:$I$89,5,0)</f>
        <v>-2.2168933355715128E-13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308.76306523144956</v>
      </c>
      <c r="DU194" s="60">
        <f t="shared" si="152"/>
        <v>283.28099819802776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2.2737367544323206E-13</v>
      </c>
      <c r="EK194" s="18">
        <f>EJ194*VLOOKUP('Données projet'!$B$15,Paramètres!$A$1:$I$89,3,0)*VLOOKUP('Données projet'!$B$15,Paramètres!$A$1:$I$89,5,0)</f>
        <v>1.5252226148732008E-13</v>
      </c>
      <c r="EL194" s="14">
        <f t="shared" si="179"/>
        <v>2.1814502464536512E-12</v>
      </c>
      <c r="EM194" s="22">
        <f t="shared" si="180"/>
        <v>4.0650021179971913E-12</v>
      </c>
      <c r="EN194" s="60">
        <f t="shared" si="128"/>
        <v>290.09305636891094</v>
      </c>
      <c r="EO194" s="60">
        <f ca="1">AVERAGE(OFFSET($EN$3,0,0,'Données projet'!$E$15+1,1))-AVERAGE(OFFSET($H$3,0,0,'Données projet'!$E$15+1,1))</f>
        <v>375.49921531693559</v>
      </c>
      <c r="EP194" s="60">
        <f t="shared" si="154"/>
        <v>306.93934681565599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5.6843418860808015E-14</v>
      </c>
      <c r="FF194" s="18">
        <f>FE194*VLOOKUP('Données projet'!$B$16,Paramètres!$A$1:$I$89,3,0)*VLOOKUP('Données projet'!$B$16,Paramètres!$A$1:$I$89,5,0)</f>
        <v>4.6111381379887463E-14</v>
      </c>
      <c r="FG194" s="14">
        <f t="shared" si="182"/>
        <v>7.5804141040779151E-13</v>
      </c>
      <c r="FH194" s="22">
        <f t="shared" si="183"/>
        <v>1.4005661123635408E-12</v>
      </c>
      <c r="FI194" s="60">
        <f t="shared" si="131"/>
        <v>290.09305636890826</v>
      </c>
      <c r="FJ194" s="60">
        <f ca="1">AVERAGE(OFFSET($FI$3,0,0,'Données projet'!$E$16+1,1))-AVERAGE(OFFSET($H$3,0,0,'Données projet'!$E$16+1,1))</f>
        <v>308.58270639204238</v>
      </c>
      <c r="FK194" s="60">
        <f t="shared" si="156"/>
        <v>258.90832875500325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-4.5474735088646412E-13</v>
      </c>
      <c r="GA194" s="18">
        <f>FZ194*VLOOKUP('Données projet'!$B$17,Paramètres!$A$1:$I$89,3,0)*VLOOKUP('Données projet'!$B$17,Paramètres!$A$1:$I$89,5,0)</f>
        <v>-4.3983163777738812E-13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495.77880062178235</v>
      </c>
      <c r="GF194" s="60">
        <f t="shared" si="158"/>
        <v>263.55891737750301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1.9508661353029313E-13</v>
      </c>
      <c r="P195" s="14">
        <f t="shared" si="141"/>
        <v>2.711421636700695E-12</v>
      </c>
      <c r="Q195" s="22">
        <f t="shared" si="162"/>
        <v>5.0621685358189711E-12</v>
      </c>
      <c r="R195" s="60">
        <f t="shared" ref="R195:R203" si="191">Q195+(I195+J195)*44/12</f>
        <v>290.14926793007072</v>
      </c>
      <c r="S195" s="60">
        <f ca="1">AVERAGE(OFFSET($R$3,0,0,'Données projet'!$E$9+1,1))-AVERAGE(OFFSET($H$3,0,0,'Données projet'!$E$9+1,1))</f>
        <v>598.73855311281966</v>
      </c>
      <c r="T195" s="60">
        <f t="shared" si="142"/>
        <v>275.88160405468193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-4.6111381379887462E-13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515.72324585399997</v>
      </c>
      <c r="AO195" s="60">
        <f t="shared" si="144"/>
        <v>273.35778700650792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2.7134774427395314E-13</v>
      </c>
      <c r="BF195" s="14">
        <f t="shared" si="167"/>
        <v>3.6292411711343559E-12</v>
      </c>
      <c r="BG195" s="22">
        <f t="shared" si="168"/>
        <v>6.7935256943361388E-12</v>
      </c>
      <c r="BH195" s="60">
        <f t="shared" si="116"/>
        <v>290.14926793007248</v>
      </c>
      <c r="BI195" s="60">
        <f ca="1">AVERAGE(OFFSET($BH$3,0,0,'Données projet'!$E$11+1,1))-AVERAGE(OFFSET($H$3,0,0,'Données projet'!$E$11+1,1))</f>
        <v>336.25341821407534</v>
      </c>
      <c r="BJ195" s="60">
        <f t="shared" si="146"/>
        <v>360.3246221345039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5.8256990691856005E-2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5.8256990691856005E-2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1.0818439477588981E-13</v>
      </c>
      <c r="CA195" s="14">
        <f t="shared" si="170"/>
        <v>1.6104228458716316E-12</v>
      </c>
      <c r="CB195" s="22">
        <f t="shared" si="171"/>
        <v>2.9932409441277661E-12</v>
      </c>
      <c r="CC195" s="60">
        <f t="shared" si="119"/>
        <v>290.14926793006867</v>
      </c>
      <c r="CD195" s="60">
        <f ca="1">AVERAGE(OFFSET($CC$3,0,0,'Données projet'!$E$12+1,1))-AVERAGE(OFFSET($H$3,0,0,'Données projet'!$E$12+1,1))</f>
        <v>438.41611139377829</v>
      </c>
      <c r="CE195" s="60">
        <f t="shared" si="148"/>
        <v>345.17417065809605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-4.5224624045658861E-14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395.27840703467933</v>
      </c>
      <c r="CZ195" s="60">
        <f t="shared" si="150"/>
        <v>364.24192380053944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-2.8421709430404007E-13</v>
      </c>
      <c r="DP195" s="18">
        <f>DO195*VLOOKUP('Données projet'!$B$14,Paramètres!$A$1:$I$89,3,0)*VLOOKUP('Données projet'!$B$14,Paramètres!$A$1:$I$89,5,0)</f>
        <v>-2.2168933355715128E-13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308.76306523144956</v>
      </c>
      <c r="DU195" s="60">
        <f t="shared" si="152"/>
        <v>283.28099819802776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2.2737367544323206E-13</v>
      </c>
      <c r="EK195" s="18">
        <f>EJ195*VLOOKUP('Données projet'!$B$15,Paramètres!$A$1:$I$89,3,0)*VLOOKUP('Données projet'!$B$15,Paramètres!$A$1:$I$89,5,0)</f>
        <v>1.5252226148732008E-13</v>
      </c>
      <c r="EL195" s="14">
        <f t="shared" si="179"/>
        <v>2.1814502464536512E-12</v>
      </c>
      <c r="EM195" s="22">
        <f t="shared" si="180"/>
        <v>4.0650021179971913E-12</v>
      </c>
      <c r="EN195" s="60">
        <f t="shared" si="128"/>
        <v>290.14926793006975</v>
      </c>
      <c r="EO195" s="60">
        <f ca="1">AVERAGE(OFFSET($EN$3,0,0,'Données projet'!$E$15+1,1))-AVERAGE(OFFSET($H$3,0,0,'Données projet'!$E$15+1,1))</f>
        <v>375.49921531693559</v>
      </c>
      <c r="EP195" s="60">
        <f t="shared" si="154"/>
        <v>306.93934681565599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5.6843418860808015E-14</v>
      </c>
      <c r="FF195" s="18">
        <f>FE195*VLOOKUP('Données projet'!$B$16,Paramètres!$A$1:$I$89,3,0)*VLOOKUP('Données projet'!$B$16,Paramètres!$A$1:$I$89,5,0)</f>
        <v>4.6111381379887463E-14</v>
      </c>
      <c r="FG195" s="14">
        <f t="shared" si="182"/>
        <v>7.5804141040779151E-13</v>
      </c>
      <c r="FH195" s="22">
        <f t="shared" si="183"/>
        <v>1.4005661123635408E-12</v>
      </c>
      <c r="FI195" s="60">
        <f t="shared" si="131"/>
        <v>290.14926793006708</v>
      </c>
      <c r="FJ195" s="60">
        <f ca="1">AVERAGE(OFFSET($FI$3,0,0,'Données projet'!$E$16+1,1))-AVERAGE(OFFSET($H$3,0,0,'Données projet'!$E$16+1,1))</f>
        <v>308.58270639204238</v>
      </c>
      <c r="FK195" s="60">
        <f t="shared" si="156"/>
        <v>258.90832875500325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-4.5474735088646412E-13</v>
      </c>
      <c r="GA195" s="18">
        <f>FZ195*VLOOKUP('Données projet'!$B$17,Paramètres!$A$1:$I$89,3,0)*VLOOKUP('Données projet'!$B$17,Paramètres!$A$1:$I$89,5,0)</f>
        <v>-4.3983163777738812E-13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495.77880062178235</v>
      </c>
      <c r="GF195" s="60">
        <f t="shared" si="158"/>
        <v>263.55891737750301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1.9508661353029313E-13</v>
      </c>
      <c r="P196" s="14">
        <f t="shared" si="141"/>
        <v>2.711421636700695E-12</v>
      </c>
      <c r="Q196" s="22">
        <f t="shared" si="162"/>
        <v>5.0621685358189711E-12</v>
      </c>
      <c r="R196" s="60">
        <f t="shared" si="191"/>
        <v>290.20450434631357</v>
      </c>
      <c r="S196" s="60">
        <f ca="1">AVERAGE(OFFSET($R$3,0,0,'Données projet'!$E$9+1,1))-AVERAGE(OFFSET($H$3,0,0,'Données projet'!$E$9+1,1))</f>
        <v>598.73855311281966</v>
      </c>
      <c r="T196" s="60">
        <f t="shared" si="142"/>
        <v>275.88160405468193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-4.6111381379887462E-13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515.72324585399997</v>
      </c>
      <c r="AO196" s="60">
        <f t="shared" si="144"/>
        <v>273.35778700650792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2.7134774427395314E-13</v>
      </c>
      <c r="BF196" s="14">
        <f t="shared" si="167"/>
        <v>3.6292411711343559E-12</v>
      </c>
      <c r="BG196" s="22">
        <f t="shared" si="168"/>
        <v>6.7935256943361388E-12</v>
      </c>
      <c r="BH196" s="60">
        <f t="shared" ref="BH196:BH203" si="194">BG196+(AY196+AZ196)*44/12</f>
        <v>290.20450434631533</v>
      </c>
      <c r="BI196" s="60">
        <f ca="1">AVERAGE(OFFSET($BH$3,0,0,'Données projet'!$E$11+1,1))-AVERAGE(OFFSET($H$3,0,0,'Données projet'!$E$11+1,1))</f>
        <v>336.25341821407534</v>
      </c>
      <c r="BJ196" s="60">
        <f t="shared" si="146"/>
        <v>360.3246221345039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5.6663950217785211E-2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5.6663950217785211E-2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1.0818439477588981E-13</v>
      </c>
      <c r="CA196" s="14">
        <f t="shared" si="170"/>
        <v>1.6104228458716316E-12</v>
      </c>
      <c r="CB196" s="22">
        <f t="shared" si="171"/>
        <v>2.9932409441277661E-12</v>
      </c>
      <c r="CC196" s="60">
        <f t="shared" ref="CC196:CC203" si="195">CB196+(BT196+BU196)*44/12</f>
        <v>290.20450434631152</v>
      </c>
      <c r="CD196" s="60">
        <f ca="1">AVERAGE(OFFSET($CC$3,0,0,'Données projet'!$E$12+1,1))-AVERAGE(OFFSET($H$3,0,0,'Données projet'!$E$12+1,1))</f>
        <v>438.41611139377829</v>
      </c>
      <c r="CE196" s="60">
        <f t="shared" si="148"/>
        <v>345.17417065809605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-4.5224624045658861E-14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395.27840703467933</v>
      </c>
      <c r="CZ196" s="60">
        <f t="shared" si="150"/>
        <v>364.24192380053944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-2.8421709430404007E-13</v>
      </c>
      <c r="DP196" s="18">
        <f>DO196*VLOOKUP('Données projet'!$B$14,Paramètres!$A$1:$I$89,3,0)*VLOOKUP('Données projet'!$B$14,Paramètres!$A$1:$I$89,5,0)</f>
        <v>-2.2168933355715128E-13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308.76306523144956</v>
      </c>
      <c r="DU196" s="60">
        <f t="shared" si="152"/>
        <v>283.28099819802776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2.2737367544323206E-13</v>
      </c>
      <c r="EK196" s="18">
        <f>EJ196*VLOOKUP('Données projet'!$B$15,Paramètres!$A$1:$I$89,3,0)*VLOOKUP('Données projet'!$B$15,Paramètres!$A$1:$I$89,5,0)</f>
        <v>1.5252226148732008E-13</v>
      </c>
      <c r="EL196" s="14">
        <f t="shared" si="179"/>
        <v>2.1814502464536512E-12</v>
      </c>
      <c r="EM196" s="22">
        <f t="shared" si="180"/>
        <v>4.0650021179971913E-12</v>
      </c>
      <c r="EN196" s="60">
        <f t="shared" ref="EN196:EN203" si="198">EM196+(EE196+EF196)*44/12</f>
        <v>290.2045043463126</v>
      </c>
      <c r="EO196" s="60">
        <f ca="1">AVERAGE(OFFSET($EN$3,0,0,'Données projet'!$E$15+1,1))-AVERAGE(OFFSET($H$3,0,0,'Données projet'!$E$15+1,1))</f>
        <v>375.49921531693559</v>
      </c>
      <c r="EP196" s="60">
        <f t="shared" si="154"/>
        <v>306.93934681565599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5.6843418860808015E-14</v>
      </c>
      <c r="FF196" s="18">
        <f>FE196*VLOOKUP('Données projet'!$B$16,Paramètres!$A$1:$I$89,3,0)*VLOOKUP('Données projet'!$B$16,Paramètres!$A$1:$I$89,5,0)</f>
        <v>4.6111381379887463E-14</v>
      </c>
      <c r="FG196" s="14">
        <f t="shared" si="182"/>
        <v>7.5804141040779151E-13</v>
      </c>
      <c r="FH196" s="22">
        <f t="shared" si="183"/>
        <v>1.4005661123635408E-12</v>
      </c>
      <c r="FI196" s="60">
        <f t="shared" ref="FI196:FI203" si="199">FH196+(EZ196+FA196)*44/12</f>
        <v>290.20450434630993</v>
      </c>
      <c r="FJ196" s="60">
        <f ca="1">AVERAGE(OFFSET($FI$3,0,0,'Données projet'!$E$16+1,1))-AVERAGE(OFFSET($H$3,0,0,'Données projet'!$E$16+1,1))</f>
        <v>308.58270639204238</v>
      </c>
      <c r="FK196" s="60">
        <f t="shared" si="156"/>
        <v>258.90832875500325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-4.5474735088646412E-13</v>
      </c>
      <c r="GA196" s="18">
        <f>FZ196*VLOOKUP('Données projet'!$B$17,Paramètres!$A$1:$I$89,3,0)*VLOOKUP('Données projet'!$B$17,Paramètres!$A$1:$I$89,5,0)</f>
        <v>-4.3983163777738812E-13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495.77880062178235</v>
      </c>
      <c r="GF196" s="60">
        <f t="shared" si="158"/>
        <v>263.55891737750301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1.9508661353029313E-13</v>
      </c>
      <c r="P197" s="14">
        <f t="shared" ref="P197:P203" si="203">EXP(-1.0587+0.8836*LN(O197)+0.284)</f>
        <v>2.711421636700695E-12</v>
      </c>
      <c r="Q197" s="22">
        <f t="shared" si="162"/>
        <v>5.0621685358189711E-12</v>
      </c>
      <c r="R197" s="60">
        <f t="shared" si="191"/>
        <v>290.25878253422479</v>
      </c>
      <c r="S197" s="60">
        <f ca="1">AVERAGE(OFFSET($R$3,0,0,'Données projet'!$E$9+1,1))-AVERAGE(OFFSET($H$3,0,0,'Données projet'!$E$9+1,1))</f>
        <v>598.73855311281966</v>
      </c>
      <c r="T197" s="60">
        <f t="shared" ref="T197:T203" si="204">$T$3</f>
        <v>275.88160405468193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-4.6111381379887462E-13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515.72324585399997</v>
      </c>
      <c r="AO197" s="60">
        <f t="shared" ref="AO197:AO203" si="205">$AO$3</f>
        <v>273.35778700650792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2.7134774427395314E-13</v>
      </c>
      <c r="BF197" s="14">
        <f t="shared" si="167"/>
        <v>3.6292411711343559E-12</v>
      </c>
      <c r="BG197" s="22">
        <f t="shared" si="168"/>
        <v>6.7935256943361388E-12</v>
      </c>
      <c r="BH197" s="60">
        <f t="shared" si="194"/>
        <v>290.25878253422655</v>
      </c>
      <c r="BI197" s="60">
        <f ca="1">AVERAGE(OFFSET($BH$3,0,0,'Données projet'!$E$11+1,1))-AVERAGE(OFFSET($H$3,0,0,'Données projet'!$E$11+1,1))</f>
        <v>336.25341821407534</v>
      </c>
      <c r="BJ197" s="60">
        <f t="shared" ref="BJ197:BJ203" si="206">$BJ$3</f>
        <v>360.3246221345039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5.5114471519252237E-2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5.5114471519252237E-2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1.0818439477588981E-13</v>
      </c>
      <c r="CA197" s="14">
        <f t="shared" si="170"/>
        <v>1.6104228458716316E-12</v>
      </c>
      <c r="CB197" s="22">
        <f t="shared" si="171"/>
        <v>2.9932409441277661E-12</v>
      </c>
      <c r="CC197" s="60">
        <f t="shared" si="195"/>
        <v>290.25878253422275</v>
      </c>
      <c r="CD197" s="60">
        <f ca="1">AVERAGE(OFFSET($CC$3,0,0,'Données projet'!$E$12+1,1))-AVERAGE(OFFSET($H$3,0,0,'Données projet'!$E$12+1,1))</f>
        <v>438.41611139377829</v>
      </c>
      <c r="CE197" s="60">
        <f t="shared" ref="CE197:CE203" si="207">$CE$3</f>
        <v>345.17417065809605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-4.5224624045658861E-14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395.27840703467933</v>
      </c>
      <c r="CZ197" s="60">
        <f t="shared" ref="CZ197:CZ203" si="208">$CZ$3</f>
        <v>364.24192380053944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-2.8421709430404007E-13</v>
      </c>
      <c r="DP197" s="18">
        <f>DO197*VLOOKUP('Données projet'!$B$14,Paramètres!$A$1:$I$89,3,0)*VLOOKUP('Données projet'!$B$14,Paramètres!$A$1:$I$89,5,0)</f>
        <v>-2.2168933355715128E-13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308.76306523144956</v>
      </c>
      <c r="DU197" s="60">
        <f t="shared" ref="DU197:DU203" si="209">$DU$3</f>
        <v>283.28099819802776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2.2737367544323206E-13</v>
      </c>
      <c r="EK197" s="18">
        <f>EJ197*VLOOKUP('Données projet'!$B$15,Paramètres!$A$1:$I$89,3,0)*VLOOKUP('Données projet'!$B$15,Paramètres!$A$1:$I$89,5,0)</f>
        <v>1.5252226148732008E-13</v>
      </c>
      <c r="EL197" s="14">
        <f t="shared" si="179"/>
        <v>2.1814502464536512E-12</v>
      </c>
      <c r="EM197" s="22">
        <f t="shared" si="180"/>
        <v>4.0650021179971913E-12</v>
      </c>
      <c r="EN197" s="60">
        <f t="shared" si="198"/>
        <v>290.25878253422383</v>
      </c>
      <c r="EO197" s="60">
        <f ca="1">AVERAGE(OFFSET($EN$3,0,0,'Données projet'!$E$15+1,1))-AVERAGE(OFFSET($H$3,0,0,'Données projet'!$E$15+1,1))</f>
        <v>375.49921531693559</v>
      </c>
      <c r="EP197" s="60">
        <f t="shared" ref="EP197:EP203" si="210">$EP$3</f>
        <v>306.93934681565599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5.6843418860808015E-14</v>
      </c>
      <c r="FF197" s="18">
        <f>FE197*VLOOKUP('Données projet'!$B$16,Paramètres!$A$1:$I$89,3,0)*VLOOKUP('Données projet'!$B$16,Paramètres!$A$1:$I$89,5,0)</f>
        <v>4.6111381379887463E-14</v>
      </c>
      <c r="FG197" s="14">
        <f t="shared" si="182"/>
        <v>7.5804141040779151E-13</v>
      </c>
      <c r="FH197" s="22">
        <f t="shared" si="183"/>
        <v>1.4005661123635408E-12</v>
      </c>
      <c r="FI197" s="60">
        <f t="shared" si="199"/>
        <v>290.25878253422115</v>
      </c>
      <c r="FJ197" s="60">
        <f ca="1">AVERAGE(OFFSET($FI$3,0,0,'Données projet'!$E$16+1,1))-AVERAGE(OFFSET($H$3,0,0,'Données projet'!$E$16+1,1))</f>
        <v>308.58270639204238</v>
      </c>
      <c r="FK197" s="60">
        <f t="shared" ref="FK197:FK203" si="211">$FK$3</f>
        <v>258.90832875500325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-4.5474735088646412E-13</v>
      </c>
      <c r="GA197" s="18">
        <f>FZ197*VLOOKUP('Données projet'!$B$17,Paramètres!$A$1:$I$89,3,0)*VLOOKUP('Données projet'!$B$17,Paramètres!$A$1:$I$89,5,0)</f>
        <v>-4.3983163777738812E-13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495.77880062178235</v>
      </c>
      <c r="GF197" s="60">
        <f t="shared" ref="GF197:GF203" si="212">$GF$3</f>
        <v>263.55891737750301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1.9508661353029313E-13</v>
      </c>
      <c r="P198" s="14">
        <f t="shared" si="203"/>
        <v>2.711421636700695E-12</v>
      </c>
      <c r="Q198" s="22">
        <f t="shared" si="162"/>
        <v>5.0621685358189711E-12</v>
      </c>
      <c r="R198" s="60">
        <f t="shared" si="191"/>
        <v>290.31211911692355</v>
      </c>
      <c r="S198" s="60">
        <f ca="1">AVERAGE(OFFSET($R$3,0,0,'Données projet'!$E$9+1,1))-AVERAGE(OFFSET($H$3,0,0,'Données projet'!$E$9+1,1))</f>
        <v>598.73855311281966</v>
      </c>
      <c r="T198" s="60">
        <f t="shared" si="204"/>
        <v>275.88160405468193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-4.6111381379887462E-13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515.72324585399997</v>
      </c>
      <c r="AO198" s="60">
        <f t="shared" si="205"/>
        <v>273.35778700650792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2.7134774427395314E-13</v>
      </c>
      <c r="BF198" s="14">
        <f t="shared" si="167"/>
        <v>3.6292411711343559E-12</v>
      </c>
      <c r="BG198" s="22">
        <f t="shared" si="168"/>
        <v>6.7935256943361388E-12</v>
      </c>
      <c r="BH198" s="60">
        <f t="shared" si="194"/>
        <v>290.31211911692532</v>
      </c>
      <c r="BI198" s="60">
        <f ca="1">AVERAGE(OFFSET($BH$3,0,0,'Données projet'!$E$11+1,1))-AVERAGE(OFFSET($H$3,0,0,'Données projet'!$E$11+1,1))</f>
        <v>336.25341821407534</v>
      </c>
      <c r="BJ198" s="60">
        <f t="shared" si="206"/>
        <v>360.3246221345039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5.360736339721419E-2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5.360736339721419E-2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1.0818439477588981E-13</v>
      </c>
      <c r="CA198" s="14">
        <f t="shared" si="170"/>
        <v>1.6104228458716316E-12</v>
      </c>
      <c r="CB198" s="22">
        <f t="shared" si="171"/>
        <v>2.9932409441277661E-12</v>
      </c>
      <c r="CC198" s="60">
        <f t="shared" si="195"/>
        <v>290.31211911692151</v>
      </c>
      <c r="CD198" s="60">
        <f ca="1">AVERAGE(OFFSET($CC$3,0,0,'Données projet'!$E$12+1,1))-AVERAGE(OFFSET($H$3,0,0,'Données projet'!$E$12+1,1))</f>
        <v>438.41611139377829</v>
      </c>
      <c r="CE198" s="60">
        <f t="shared" si="207"/>
        <v>345.17417065809605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-4.5224624045658861E-14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395.27840703467933</v>
      </c>
      <c r="CZ198" s="60">
        <f t="shared" si="208"/>
        <v>364.24192380053944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-2.8421709430404007E-13</v>
      </c>
      <c r="DP198" s="18">
        <f>DO198*VLOOKUP('Données projet'!$B$14,Paramètres!$A$1:$I$89,3,0)*VLOOKUP('Données projet'!$B$14,Paramètres!$A$1:$I$89,5,0)</f>
        <v>-2.2168933355715128E-13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308.76306523144956</v>
      </c>
      <c r="DU198" s="60">
        <f t="shared" si="209"/>
        <v>283.28099819802776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2.2737367544323206E-13</v>
      </c>
      <c r="EK198" s="18">
        <f>EJ198*VLOOKUP('Données projet'!$B$15,Paramètres!$A$1:$I$89,3,0)*VLOOKUP('Données projet'!$B$15,Paramètres!$A$1:$I$89,5,0)</f>
        <v>1.5252226148732008E-13</v>
      </c>
      <c r="EL198" s="14">
        <f t="shared" si="179"/>
        <v>2.1814502464536512E-12</v>
      </c>
      <c r="EM198" s="22">
        <f t="shared" si="180"/>
        <v>4.0650021179971913E-12</v>
      </c>
      <c r="EN198" s="60">
        <f t="shared" si="198"/>
        <v>290.31211911692259</v>
      </c>
      <c r="EO198" s="60">
        <f ca="1">AVERAGE(OFFSET($EN$3,0,0,'Données projet'!$E$15+1,1))-AVERAGE(OFFSET($H$3,0,0,'Données projet'!$E$15+1,1))</f>
        <v>375.49921531693559</v>
      </c>
      <c r="EP198" s="60">
        <f t="shared" si="210"/>
        <v>306.93934681565599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5.6843418860808015E-14</v>
      </c>
      <c r="FF198" s="18">
        <f>FE198*VLOOKUP('Données projet'!$B$16,Paramètres!$A$1:$I$89,3,0)*VLOOKUP('Données projet'!$B$16,Paramètres!$A$1:$I$89,5,0)</f>
        <v>4.6111381379887463E-14</v>
      </c>
      <c r="FG198" s="14">
        <f t="shared" si="182"/>
        <v>7.5804141040779151E-13</v>
      </c>
      <c r="FH198" s="22">
        <f t="shared" si="183"/>
        <v>1.4005661123635408E-12</v>
      </c>
      <c r="FI198" s="60">
        <f t="shared" si="199"/>
        <v>290.31211911691992</v>
      </c>
      <c r="FJ198" s="60">
        <f ca="1">AVERAGE(OFFSET($FI$3,0,0,'Données projet'!$E$16+1,1))-AVERAGE(OFFSET($H$3,0,0,'Données projet'!$E$16+1,1))</f>
        <v>308.58270639204238</v>
      </c>
      <c r="FK198" s="60">
        <f t="shared" si="211"/>
        <v>258.90832875500325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-4.5474735088646412E-13</v>
      </c>
      <c r="GA198" s="18">
        <f>FZ198*VLOOKUP('Données projet'!$B$17,Paramètres!$A$1:$I$89,3,0)*VLOOKUP('Données projet'!$B$17,Paramètres!$A$1:$I$89,5,0)</f>
        <v>-4.3983163777738812E-13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495.77880062178235</v>
      </c>
      <c r="GF198" s="60">
        <f t="shared" si="212"/>
        <v>263.55891737750301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1.9508661353029313E-13</v>
      </c>
      <c r="P199" s="14">
        <f t="shared" si="203"/>
        <v>2.711421636700695E-12</v>
      </c>
      <c r="Q199" s="22">
        <f t="shared" si="162"/>
        <v>5.0621685358189711E-12</v>
      </c>
      <c r="R199" s="60">
        <f t="shared" si="191"/>
        <v>290.36453042915525</v>
      </c>
      <c r="S199" s="60">
        <f ca="1">AVERAGE(OFFSET($R$3,0,0,'Données projet'!$E$9+1,1))-AVERAGE(OFFSET($H$3,0,0,'Données projet'!$E$9+1,1))</f>
        <v>598.73855311281966</v>
      </c>
      <c r="T199" s="60">
        <f t="shared" si="204"/>
        <v>275.88160405468193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-4.6111381379887462E-13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515.72324585399997</v>
      </c>
      <c r="AO199" s="60">
        <f t="shared" si="205"/>
        <v>273.35778700650792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2.7134774427395314E-13</v>
      </c>
      <c r="BF199" s="14">
        <f t="shared" si="167"/>
        <v>3.6292411711343559E-12</v>
      </c>
      <c r="BG199" s="22">
        <f t="shared" si="168"/>
        <v>6.7935256943361388E-12</v>
      </c>
      <c r="BH199" s="60">
        <f t="shared" si="194"/>
        <v>290.36453042915701</v>
      </c>
      <c r="BI199" s="60">
        <f ca="1">AVERAGE(OFFSET($BH$3,0,0,'Données projet'!$E$11+1,1))-AVERAGE(OFFSET($H$3,0,0,'Données projet'!$E$11+1,1))</f>
        <v>336.25341821407534</v>
      </c>
      <c r="BJ199" s="60">
        <f t="shared" si="206"/>
        <v>360.3246221345039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5.2141467226028651E-2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5.2141467226028651E-2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1.0818439477588981E-13</v>
      </c>
      <c r="CA199" s="14">
        <f t="shared" si="170"/>
        <v>1.6104228458716316E-12</v>
      </c>
      <c r="CB199" s="22">
        <f t="shared" si="171"/>
        <v>2.9932409441277661E-12</v>
      </c>
      <c r="CC199" s="60">
        <f t="shared" si="195"/>
        <v>290.36453042915321</v>
      </c>
      <c r="CD199" s="60">
        <f ca="1">AVERAGE(OFFSET($CC$3,0,0,'Données projet'!$E$12+1,1))-AVERAGE(OFFSET($H$3,0,0,'Données projet'!$E$12+1,1))</f>
        <v>438.41611139377829</v>
      </c>
      <c r="CE199" s="60">
        <f t="shared" si="207"/>
        <v>345.17417065809605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-4.5224624045658861E-14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395.27840703467933</v>
      </c>
      <c r="CZ199" s="60">
        <f t="shared" si="208"/>
        <v>364.24192380053944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-2.8421709430404007E-13</v>
      </c>
      <c r="DP199" s="18">
        <f>DO199*VLOOKUP('Données projet'!$B$14,Paramètres!$A$1:$I$89,3,0)*VLOOKUP('Données projet'!$B$14,Paramètres!$A$1:$I$89,5,0)</f>
        <v>-2.2168933355715128E-13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308.76306523144956</v>
      </c>
      <c r="DU199" s="60">
        <f t="shared" si="209"/>
        <v>283.28099819802776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2.2737367544323206E-13</v>
      </c>
      <c r="EK199" s="18">
        <f>EJ199*VLOOKUP('Données projet'!$B$15,Paramètres!$A$1:$I$89,3,0)*VLOOKUP('Données projet'!$B$15,Paramètres!$A$1:$I$89,5,0)</f>
        <v>1.5252226148732008E-13</v>
      </c>
      <c r="EL199" s="14">
        <f t="shared" si="179"/>
        <v>2.1814502464536512E-12</v>
      </c>
      <c r="EM199" s="22">
        <f t="shared" si="180"/>
        <v>4.0650021179971913E-12</v>
      </c>
      <c r="EN199" s="60">
        <f t="shared" si="198"/>
        <v>290.36453042915429</v>
      </c>
      <c r="EO199" s="60">
        <f ca="1">AVERAGE(OFFSET($EN$3,0,0,'Données projet'!$E$15+1,1))-AVERAGE(OFFSET($H$3,0,0,'Données projet'!$E$15+1,1))</f>
        <v>375.49921531693559</v>
      </c>
      <c r="EP199" s="60">
        <f t="shared" si="210"/>
        <v>306.93934681565599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5.6843418860808015E-14</v>
      </c>
      <c r="FF199" s="18">
        <f>FE199*VLOOKUP('Données projet'!$B$16,Paramètres!$A$1:$I$89,3,0)*VLOOKUP('Données projet'!$B$16,Paramètres!$A$1:$I$89,5,0)</f>
        <v>4.6111381379887463E-14</v>
      </c>
      <c r="FG199" s="14">
        <f t="shared" si="182"/>
        <v>7.5804141040779151E-13</v>
      </c>
      <c r="FH199" s="22">
        <f t="shared" si="183"/>
        <v>1.4005661123635408E-12</v>
      </c>
      <c r="FI199" s="60">
        <f t="shared" si="199"/>
        <v>290.36453042915161</v>
      </c>
      <c r="FJ199" s="60">
        <f ca="1">AVERAGE(OFFSET($FI$3,0,0,'Données projet'!$E$16+1,1))-AVERAGE(OFFSET($H$3,0,0,'Données projet'!$E$16+1,1))</f>
        <v>308.58270639204238</v>
      </c>
      <c r="FK199" s="60">
        <f t="shared" si="211"/>
        <v>258.90832875500325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-4.5474735088646412E-13</v>
      </c>
      <c r="GA199" s="18">
        <f>FZ199*VLOOKUP('Données projet'!$B$17,Paramètres!$A$1:$I$89,3,0)*VLOOKUP('Données projet'!$B$17,Paramètres!$A$1:$I$89,5,0)</f>
        <v>-4.3983163777738812E-13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495.77880062178235</v>
      </c>
      <c r="GF199" s="60">
        <f t="shared" si="212"/>
        <v>263.55891737750301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1.9508661353029313E-13</v>
      </c>
      <c r="P200" s="14">
        <f t="shared" si="203"/>
        <v>2.711421636700695E-12</v>
      </c>
      <c r="Q200" s="22">
        <f t="shared" si="162"/>
        <v>5.0621685358189711E-12</v>
      </c>
      <c r="R200" s="60">
        <f t="shared" si="191"/>
        <v>290.41603252229385</v>
      </c>
      <c r="S200" s="60">
        <f ca="1">AVERAGE(OFFSET($R$3,0,0,'Données projet'!$E$9+1,1))-AVERAGE(OFFSET($H$3,0,0,'Données projet'!$E$9+1,1))</f>
        <v>598.73855311281966</v>
      </c>
      <c r="T200" s="60">
        <f t="shared" si="204"/>
        <v>275.88160405468193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-4.6111381379887462E-13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515.72324585399997</v>
      </c>
      <c r="AO200" s="60">
        <f t="shared" si="205"/>
        <v>273.35778700650792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2.7134774427395314E-13</v>
      </c>
      <c r="BF200" s="14">
        <f t="shared" si="167"/>
        <v>3.6292411711343559E-12</v>
      </c>
      <c r="BG200" s="22">
        <f t="shared" si="168"/>
        <v>6.7935256943361388E-12</v>
      </c>
      <c r="BH200" s="60">
        <f t="shared" si="194"/>
        <v>290.41603252229561</v>
      </c>
      <c r="BI200" s="60">
        <f ca="1">AVERAGE(OFFSET($BH$3,0,0,'Données projet'!$E$11+1,1))-AVERAGE(OFFSET($H$3,0,0,'Données projet'!$E$11+1,1))</f>
        <v>336.25341821407534</v>
      </c>
      <c r="BJ200" s="60">
        <f t="shared" si="206"/>
        <v>360.3246221345039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5.071565606273231E-2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5.071565606273231E-2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1.0818439477588981E-13</v>
      </c>
      <c r="CA200" s="14">
        <f t="shared" si="170"/>
        <v>1.6104228458716316E-12</v>
      </c>
      <c r="CB200" s="22">
        <f t="shared" si="171"/>
        <v>2.9932409441277661E-12</v>
      </c>
      <c r="CC200" s="60">
        <f t="shared" si="195"/>
        <v>290.4160325222918</v>
      </c>
      <c r="CD200" s="60">
        <f ca="1">AVERAGE(OFFSET($CC$3,0,0,'Données projet'!$E$12+1,1))-AVERAGE(OFFSET($H$3,0,0,'Données projet'!$E$12+1,1))</f>
        <v>438.41611139377829</v>
      </c>
      <c r="CE200" s="60">
        <f t="shared" si="207"/>
        <v>345.17417065809605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-4.5224624045658861E-14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395.27840703467933</v>
      </c>
      <c r="CZ200" s="60">
        <f t="shared" si="208"/>
        <v>364.24192380053944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-2.8421709430404007E-13</v>
      </c>
      <c r="DP200" s="18">
        <f>DO200*VLOOKUP('Données projet'!$B$14,Paramètres!$A$1:$I$89,3,0)*VLOOKUP('Données projet'!$B$14,Paramètres!$A$1:$I$89,5,0)</f>
        <v>-2.2168933355715128E-13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308.76306523144956</v>
      </c>
      <c r="DU200" s="60">
        <f t="shared" si="209"/>
        <v>283.28099819802776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2.2737367544323206E-13</v>
      </c>
      <c r="EK200" s="18">
        <f>EJ200*VLOOKUP('Données projet'!$B$15,Paramètres!$A$1:$I$89,3,0)*VLOOKUP('Données projet'!$B$15,Paramètres!$A$1:$I$89,5,0)</f>
        <v>1.5252226148732008E-13</v>
      </c>
      <c r="EL200" s="14">
        <f t="shared" si="179"/>
        <v>2.1814502464536512E-12</v>
      </c>
      <c r="EM200" s="22">
        <f t="shared" si="180"/>
        <v>4.0650021179971913E-12</v>
      </c>
      <c r="EN200" s="60">
        <f t="shared" si="198"/>
        <v>290.41603252229288</v>
      </c>
      <c r="EO200" s="60">
        <f ca="1">AVERAGE(OFFSET($EN$3,0,0,'Données projet'!$E$15+1,1))-AVERAGE(OFFSET($H$3,0,0,'Données projet'!$E$15+1,1))</f>
        <v>375.49921531693559</v>
      </c>
      <c r="EP200" s="60">
        <f t="shared" si="210"/>
        <v>306.93934681565599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5.6843418860808015E-14</v>
      </c>
      <c r="FF200" s="18">
        <f>FE200*VLOOKUP('Données projet'!$B$16,Paramètres!$A$1:$I$89,3,0)*VLOOKUP('Données projet'!$B$16,Paramètres!$A$1:$I$89,5,0)</f>
        <v>4.6111381379887463E-14</v>
      </c>
      <c r="FG200" s="14">
        <f t="shared" si="182"/>
        <v>7.5804141040779151E-13</v>
      </c>
      <c r="FH200" s="22">
        <f t="shared" si="183"/>
        <v>1.4005661123635408E-12</v>
      </c>
      <c r="FI200" s="60">
        <f t="shared" si="199"/>
        <v>290.41603252229021</v>
      </c>
      <c r="FJ200" s="60">
        <f ca="1">AVERAGE(OFFSET($FI$3,0,0,'Données projet'!$E$16+1,1))-AVERAGE(OFFSET($H$3,0,0,'Données projet'!$E$16+1,1))</f>
        <v>308.58270639204238</v>
      </c>
      <c r="FK200" s="60">
        <f t="shared" si="211"/>
        <v>258.90832875500325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-4.5474735088646412E-13</v>
      </c>
      <c r="GA200" s="18">
        <f>FZ200*VLOOKUP('Données projet'!$B$17,Paramètres!$A$1:$I$89,3,0)*VLOOKUP('Données projet'!$B$17,Paramètres!$A$1:$I$89,5,0)</f>
        <v>-4.3983163777738812E-13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495.77880062178235</v>
      </c>
      <c r="GF200" s="60">
        <f t="shared" si="212"/>
        <v>263.55891737750301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1.9508661353029313E-13</v>
      </c>
      <c r="P201" s="14">
        <f t="shared" si="203"/>
        <v>2.711421636700695E-12</v>
      </c>
      <c r="Q201" s="22">
        <f t="shared" si="162"/>
        <v>5.0621685358189711E-12</v>
      </c>
      <c r="R201" s="60">
        <f t="shared" si="191"/>
        <v>290.46664116925797</v>
      </c>
      <c r="S201" s="60">
        <f ca="1">AVERAGE(OFFSET($R$3,0,0,'Données projet'!$E$9+1,1))-AVERAGE(OFFSET($H$3,0,0,'Données projet'!$E$9+1,1))</f>
        <v>598.73855311281966</v>
      </c>
      <c r="T201" s="60">
        <f t="shared" si="204"/>
        <v>275.88160405468193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-4.6111381379887462E-13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515.72324585399997</v>
      </c>
      <c r="AO201" s="60">
        <f t="shared" si="205"/>
        <v>273.35778700650792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2.7134774427395314E-13</v>
      </c>
      <c r="BF201" s="14">
        <f t="shared" si="167"/>
        <v>3.6292411711343559E-12</v>
      </c>
      <c r="BG201" s="22">
        <f t="shared" si="168"/>
        <v>6.7935256943361388E-12</v>
      </c>
      <c r="BH201" s="60">
        <f t="shared" si="194"/>
        <v>290.46664116925973</v>
      </c>
      <c r="BI201" s="60">
        <f ca="1">AVERAGE(OFFSET($BH$3,0,0,'Données projet'!$E$11+1,1))-AVERAGE(OFFSET($H$3,0,0,'Données projet'!$E$11+1,1))</f>
        <v>336.25341821407534</v>
      </c>
      <c r="BJ201" s="60">
        <f t="shared" si="206"/>
        <v>360.3246221345039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4.9328833780676457E-2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4.9328833780676457E-2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1.0818439477588981E-13</v>
      </c>
      <c r="CA201" s="14">
        <f t="shared" si="170"/>
        <v>1.6104228458716316E-12</v>
      </c>
      <c r="CB201" s="22">
        <f t="shared" si="171"/>
        <v>2.9932409441277661E-12</v>
      </c>
      <c r="CC201" s="60">
        <f t="shared" si="195"/>
        <v>290.46664116925592</v>
      </c>
      <c r="CD201" s="60">
        <f ca="1">AVERAGE(OFFSET($CC$3,0,0,'Données projet'!$E$12+1,1))-AVERAGE(OFFSET($H$3,0,0,'Données projet'!$E$12+1,1))</f>
        <v>438.41611139377829</v>
      </c>
      <c r="CE201" s="60">
        <f t="shared" si="207"/>
        <v>345.17417065809605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-4.5224624045658861E-14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395.27840703467933</v>
      </c>
      <c r="CZ201" s="60">
        <f t="shared" si="208"/>
        <v>364.24192380053944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-2.8421709430404007E-13</v>
      </c>
      <c r="DP201" s="18">
        <f>DO201*VLOOKUP('Données projet'!$B$14,Paramètres!$A$1:$I$89,3,0)*VLOOKUP('Données projet'!$B$14,Paramètres!$A$1:$I$89,5,0)</f>
        <v>-2.2168933355715128E-13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308.76306523144956</v>
      </c>
      <c r="DU201" s="60">
        <f t="shared" si="209"/>
        <v>283.28099819802776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2.2737367544323206E-13</v>
      </c>
      <c r="EK201" s="18">
        <f>EJ201*VLOOKUP('Données projet'!$B$15,Paramètres!$A$1:$I$89,3,0)*VLOOKUP('Données projet'!$B$15,Paramètres!$A$1:$I$89,5,0)</f>
        <v>1.5252226148732008E-13</v>
      </c>
      <c r="EL201" s="14">
        <f t="shared" si="179"/>
        <v>2.1814502464536512E-12</v>
      </c>
      <c r="EM201" s="22">
        <f t="shared" si="180"/>
        <v>4.0650021179971913E-12</v>
      </c>
      <c r="EN201" s="60">
        <f t="shared" si="198"/>
        <v>290.466641169257</v>
      </c>
      <c r="EO201" s="60">
        <f ca="1">AVERAGE(OFFSET($EN$3,0,0,'Données projet'!$E$15+1,1))-AVERAGE(OFFSET($H$3,0,0,'Données projet'!$E$15+1,1))</f>
        <v>375.49921531693559</v>
      </c>
      <c r="EP201" s="60">
        <f t="shared" si="210"/>
        <v>306.93934681565599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5.6843418860808015E-14</v>
      </c>
      <c r="FF201" s="18">
        <f>FE201*VLOOKUP('Données projet'!$B$16,Paramètres!$A$1:$I$89,3,0)*VLOOKUP('Données projet'!$B$16,Paramètres!$A$1:$I$89,5,0)</f>
        <v>4.6111381379887463E-14</v>
      </c>
      <c r="FG201" s="14">
        <f t="shared" si="182"/>
        <v>7.5804141040779151E-13</v>
      </c>
      <c r="FH201" s="22">
        <f t="shared" si="183"/>
        <v>1.4005661123635408E-12</v>
      </c>
      <c r="FI201" s="60">
        <f t="shared" si="199"/>
        <v>290.46664116925433</v>
      </c>
      <c r="FJ201" s="60">
        <f ca="1">AVERAGE(OFFSET($FI$3,0,0,'Données projet'!$E$16+1,1))-AVERAGE(OFFSET($H$3,0,0,'Données projet'!$E$16+1,1))</f>
        <v>308.58270639204238</v>
      </c>
      <c r="FK201" s="60">
        <f t="shared" si="211"/>
        <v>258.90832875500325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-4.5474735088646412E-13</v>
      </c>
      <c r="GA201" s="18">
        <f>FZ201*VLOOKUP('Données projet'!$B$17,Paramètres!$A$1:$I$89,3,0)*VLOOKUP('Données projet'!$B$17,Paramètres!$A$1:$I$89,5,0)</f>
        <v>-4.3983163777738812E-13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495.77880062178235</v>
      </c>
      <c r="GF201" s="60">
        <f t="shared" si="212"/>
        <v>263.55891737750301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1.9508661353029313E-13</v>
      </c>
      <c r="P202" s="14">
        <f t="shared" si="203"/>
        <v>2.711421636700695E-12</v>
      </c>
      <c r="Q202" s="22">
        <f t="shared" si="162"/>
        <v>5.0621685358189711E-12</v>
      </c>
      <c r="R202" s="60">
        <f t="shared" si="191"/>
        <v>290.51637186934119</v>
      </c>
      <c r="S202" s="60">
        <f ca="1">AVERAGE(OFFSET($R$3,0,0,'Données projet'!$E$9+1,1))-AVERAGE(OFFSET($H$3,0,0,'Données projet'!$E$9+1,1))</f>
        <v>598.73855311281966</v>
      </c>
      <c r="T202" s="60">
        <f t="shared" si="204"/>
        <v>275.88160405468193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-4.6111381379887462E-13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515.72324585399997</v>
      </c>
      <c r="AO202" s="60">
        <f t="shared" si="205"/>
        <v>273.35778700650792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2.7134774427395314E-13</v>
      </c>
      <c r="BF202" s="14">
        <f t="shared" si="167"/>
        <v>3.6292411711343559E-12</v>
      </c>
      <c r="BG202" s="22">
        <f t="shared" si="168"/>
        <v>6.7935256943361388E-12</v>
      </c>
      <c r="BH202" s="60">
        <f t="shared" si="194"/>
        <v>290.51637186934295</v>
      </c>
      <c r="BI202" s="60">
        <f ca="1">AVERAGE(OFFSET($BH$3,0,0,'Données projet'!$E$11+1,1))-AVERAGE(OFFSET($H$3,0,0,'Données projet'!$E$11+1,1))</f>
        <v>336.25341821407534</v>
      </c>
      <c r="BJ202" s="60">
        <f t="shared" si="206"/>
        <v>360.3246221345039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4.7979934226853233E-2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4.7979934226853233E-2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1.0818439477588981E-13</v>
      </c>
      <c r="CA202" s="14">
        <f t="shared" si="170"/>
        <v>1.6104228458716316E-12</v>
      </c>
      <c r="CB202" s="22">
        <f t="shared" si="171"/>
        <v>2.9932409441277661E-12</v>
      </c>
      <c r="CC202" s="60">
        <f t="shared" si="195"/>
        <v>290.51637186933914</v>
      </c>
      <c r="CD202" s="60">
        <f ca="1">AVERAGE(OFFSET($CC$3,0,0,'Données projet'!$E$12+1,1))-AVERAGE(OFFSET($H$3,0,0,'Données projet'!$E$12+1,1))</f>
        <v>438.41611139377829</v>
      </c>
      <c r="CE202" s="60">
        <f t="shared" si="207"/>
        <v>345.17417065809605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-4.5224624045658861E-14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395.27840703467933</v>
      </c>
      <c r="CZ202" s="60">
        <f t="shared" si="208"/>
        <v>364.24192380053944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-2.8421709430404007E-13</v>
      </c>
      <c r="DP202" s="18">
        <f>DO202*VLOOKUP('Données projet'!$B$14,Paramètres!$A$1:$I$89,3,0)*VLOOKUP('Données projet'!$B$14,Paramètres!$A$1:$I$89,5,0)</f>
        <v>-2.2168933355715128E-13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308.76306523144956</v>
      </c>
      <c r="DU202" s="60">
        <f t="shared" si="209"/>
        <v>283.28099819802776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2.2737367544323206E-13</v>
      </c>
      <c r="EK202" s="18">
        <f>EJ202*VLOOKUP('Données projet'!$B$15,Paramètres!$A$1:$I$89,3,0)*VLOOKUP('Données projet'!$B$15,Paramètres!$A$1:$I$89,5,0)</f>
        <v>1.5252226148732008E-13</v>
      </c>
      <c r="EL202" s="14">
        <f t="shared" si="179"/>
        <v>2.1814502464536512E-12</v>
      </c>
      <c r="EM202" s="22">
        <f t="shared" si="180"/>
        <v>4.0650021179971913E-12</v>
      </c>
      <c r="EN202" s="60">
        <f t="shared" si="198"/>
        <v>290.51637186934022</v>
      </c>
      <c r="EO202" s="60">
        <f ca="1">AVERAGE(OFFSET($EN$3,0,0,'Données projet'!$E$15+1,1))-AVERAGE(OFFSET($H$3,0,0,'Données projet'!$E$15+1,1))</f>
        <v>375.49921531693559</v>
      </c>
      <c r="EP202" s="60">
        <f t="shared" si="210"/>
        <v>306.93934681565599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5.6843418860808015E-14</v>
      </c>
      <c r="FF202" s="18">
        <f>FE202*VLOOKUP('Données projet'!$B$16,Paramètres!$A$1:$I$89,3,0)*VLOOKUP('Données projet'!$B$16,Paramètres!$A$1:$I$89,5,0)</f>
        <v>4.6111381379887463E-14</v>
      </c>
      <c r="FG202" s="14">
        <f t="shared" si="182"/>
        <v>7.5804141040779151E-13</v>
      </c>
      <c r="FH202" s="22">
        <f t="shared" si="183"/>
        <v>1.4005661123635408E-12</v>
      </c>
      <c r="FI202" s="60">
        <f t="shared" si="199"/>
        <v>290.51637186933755</v>
      </c>
      <c r="FJ202" s="60">
        <f ca="1">AVERAGE(OFFSET($FI$3,0,0,'Données projet'!$E$16+1,1))-AVERAGE(OFFSET($H$3,0,0,'Données projet'!$E$16+1,1))</f>
        <v>308.58270639204238</v>
      </c>
      <c r="FK202" s="60">
        <f t="shared" si="211"/>
        <v>258.90832875500325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-4.5474735088646412E-13</v>
      </c>
      <c r="GA202" s="18">
        <f>FZ202*VLOOKUP('Données projet'!$B$17,Paramètres!$A$1:$I$89,3,0)*VLOOKUP('Données projet'!$B$17,Paramètres!$A$1:$I$89,5,0)</f>
        <v>-4.3983163777738812E-13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495.77880062178235</v>
      </c>
      <c r="GF202" s="60">
        <f t="shared" si="212"/>
        <v>263.55891737750301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1.9508661353029313E-13</v>
      </c>
      <c r="P203" s="14">
        <f t="shared" si="203"/>
        <v>2.711421636700695E-12</v>
      </c>
      <c r="Q203" s="22">
        <f t="shared" si="162"/>
        <v>5.0621685358189711E-12</v>
      </c>
      <c r="R203" s="60">
        <f t="shared" si="191"/>
        <v>290.56523985295917</v>
      </c>
      <c r="S203" s="60">
        <f ca="1">AVERAGE(OFFSET($R$3,0,0,'Données projet'!$E$9+1,1))-AVERAGE(OFFSET($H$3,0,0,'Données projet'!$E$9+1,1))</f>
        <v>598.73855311281966</v>
      </c>
      <c r="T203" s="60">
        <f t="shared" si="204"/>
        <v>275.88160405468193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-4.6111381379887462E-13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515.72324585399997</v>
      </c>
      <c r="AO203" s="60">
        <f t="shared" si="205"/>
        <v>273.35778700650792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2.7134774427395314E-13</v>
      </c>
      <c r="BF203" s="14">
        <f t="shared" si="167"/>
        <v>3.6292411711343559E-12</v>
      </c>
      <c r="BG203" s="22">
        <f t="shared" si="168"/>
        <v>6.7935256943361388E-12</v>
      </c>
      <c r="BH203" s="60">
        <f t="shared" si="194"/>
        <v>290.56523985296093</v>
      </c>
      <c r="BI203" s="60">
        <f ca="1">AVERAGE(OFFSET($BH$3,0,0,'Données projet'!$E$11+1,1))-AVERAGE(OFFSET($H$3,0,0,'Données projet'!$E$11+1,1))</f>
        <v>336.25341821407534</v>
      </c>
      <c r="BJ203" s="60">
        <f t="shared" si="206"/>
        <v>360.3246221345039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4.6667920402264848E-2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4.6667920402264848E-2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1.0818439477588981E-13</v>
      </c>
      <c r="CA203" s="14">
        <f t="shared" si="170"/>
        <v>1.6104228458716316E-12</v>
      </c>
      <c r="CB203" s="22">
        <f t="shared" si="171"/>
        <v>2.9932409441277661E-12</v>
      </c>
      <c r="CC203" s="60">
        <f t="shared" si="195"/>
        <v>290.56523985295712</v>
      </c>
      <c r="CD203" s="60">
        <f ca="1">AVERAGE(OFFSET($CC$3,0,0,'Données projet'!$E$12+1,1))-AVERAGE(OFFSET($H$3,0,0,'Données projet'!$E$12+1,1))</f>
        <v>438.41611139377829</v>
      </c>
      <c r="CE203" s="60">
        <f t="shared" si="207"/>
        <v>345.17417065809605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-4.5224624045658861E-14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395.27840703467933</v>
      </c>
      <c r="CZ203" s="60">
        <f t="shared" si="208"/>
        <v>364.24192380053944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-2.8421709430404007E-13</v>
      </c>
      <c r="DP203" s="18">
        <f>DO203*VLOOKUP('Données projet'!$B$14,Paramètres!$A$1:$I$89,3,0)*VLOOKUP('Données projet'!$B$14,Paramètres!$A$1:$I$89,5,0)</f>
        <v>-2.2168933355715128E-13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308.76306523144956</v>
      </c>
      <c r="DU203" s="60">
        <f t="shared" si="209"/>
        <v>283.28099819802776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2.2737367544323206E-13</v>
      </c>
      <c r="EK203" s="18">
        <f>EJ203*VLOOKUP('Données projet'!$B$15,Paramètres!$A$1:$I$89,3,0)*VLOOKUP('Données projet'!$B$15,Paramètres!$A$1:$I$89,5,0)</f>
        <v>1.5252226148732008E-13</v>
      </c>
      <c r="EL203" s="14">
        <f t="shared" si="179"/>
        <v>2.1814502464536512E-12</v>
      </c>
      <c r="EM203" s="22">
        <f t="shared" si="180"/>
        <v>4.0650021179971913E-12</v>
      </c>
      <c r="EN203" s="60">
        <f t="shared" si="198"/>
        <v>290.5652398529582</v>
      </c>
      <c r="EO203" s="60">
        <f ca="1">AVERAGE(OFFSET($EN$3,0,0,'Données projet'!$E$15+1,1))-AVERAGE(OFFSET($H$3,0,0,'Données projet'!$E$15+1,1))</f>
        <v>375.49921531693559</v>
      </c>
      <c r="EP203" s="60">
        <f t="shared" si="210"/>
        <v>306.93934681565599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5.6843418860808015E-14</v>
      </c>
      <c r="FF203" s="18">
        <f>FE203*VLOOKUP('Données projet'!$B$16,Paramètres!$A$1:$I$89,3,0)*VLOOKUP('Données projet'!$B$16,Paramètres!$A$1:$I$89,5,0)</f>
        <v>4.6111381379887463E-14</v>
      </c>
      <c r="FG203" s="14">
        <f t="shared" si="182"/>
        <v>7.5804141040779151E-13</v>
      </c>
      <c r="FH203" s="22">
        <f t="shared" si="183"/>
        <v>1.4005661123635408E-12</v>
      </c>
      <c r="FI203" s="60">
        <f t="shared" si="199"/>
        <v>290.56523985295553</v>
      </c>
      <c r="FJ203" s="60">
        <f ca="1">AVERAGE(OFFSET($FI$3,0,0,'Données projet'!$E$16+1,1))-AVERAGE(OFFSET($H$3,0,0,'Données projet'!$E$16+1,1))</f>
        <v>308.58270639204238</v>
      </c>
      <c r="FK203" s="60">
        <f t="shared" si="211"/>
        <v>258.90832875500325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-4.5474735088646412E-13</v>
      </c>
      <c r="GA203" s="18">
        <f>FZ203*VLOOKUP('Données projet'!$B$17,Paramètres!$A$1:$I$89,3,0)*VLOOKUP('Données projet'!$B$17,Paramètres!$A$1:$I$89,5,0)</f>
        <v>-4.3983163777738812E-13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495.77880062178235</v>
      </c>
      <c r="GF203" s="60">
        <f t="shared" si="212"/>
        <v>263.55891737750301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1.189207115002721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1.2054868146447177</v>
      </c>
      <c r="BA205" s="85">
        <f>EXP(LN('Données projet'!B88)/'Données projet'!A88)</f>
        <v>1.2730870686066207</v>
      </c>
      <c r="BV205" s="85">
        <f>EXP(LN('Données projet'!B114)/'Données projet'!A114)</f>
        <v>1.2934226882877784</v>
      </c>
      <c r="CQ205" s="85">
        <f>EXP(LN('Données projet'!B140)/'Données projet'!A140)</f>
        <v>1.2721323532877689</v>
      </c>
      <c r="DL205" s="85">
        <f>EXP(LN('Données projet'!B166)/'Données projet'!A166)</f>
        <v>1.1966732973638288</v>
      </c>
      <c r="EG205" s="85">
        <f>EXP(LN('Données projet'!B192)/'Données projet'!A192)</f>
        <v>1.3932671119677325</v>
      </c>
      <c r="FB205" s="85">
        <f>EXP(LN('Données projet'!B218)/'Données projet'!A218)</f>
        <v>1.282970348825361</v>
      </c>
      <c r="FW205" s="85">
        <f>EXP(LN('Données projet'!B244)/'Données projet'!A244)</f>
        <v>1.2054868146447177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3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3" t="s">
        <v>238</v>
      </c>
      <c r="P2" s="126">
        <v>0</v>
      </c>
    </row>
    <row r="3" spans="1:16" ht="15" thickBot="1" x14ac:dyDescent="0.3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4"/>
      <c r="P3" s="133">
        <v>0.2</v>
      </c>
    </row>
    <row r="4" spans="1:16" ht="15" thickBot="1" x14ac:dyDescent="0.3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3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3" t="s">
        <v>237</v>
      </c>
      <c r="P5" s="126">
        <v>0</v>
      </c>
    </row>
    <row r="6" spans="1:16" x14ac:dyDescent="0.3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5"/>
      <c r="P6" s="134">
        <v>0.05</v>
      </c>
    </row>
    <row r="7" spans="1:16" x14ac:dyDescent="0.3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5"/>
      <c r="P7" s="134">
        <v>0.1</v>
      </c>
    </row>
    <row r="8" spans="1:16" ht="15" thickBot="1" x14ac:dyDescent="0.3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4"/>
      <c r="P8" s="133">
        <v>0.15</v>
      </c>
    </row>
    <row r="9" spans="1:16" ht="15" thickBot="1" x14ac:dyDescent="0.3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3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3" t="s">
        <v>236</v>
      </c>
      <c r="P10" s="126">
        <v>0</v>
      </c>
    </row>
    <row r="11" spans="1:16" ht="15" thickBot="1" x14ac:dyDescent="0.3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4"/>
      <c r="P11" s="133">
        <v>0.1</v>
      </c>
    </row>
    <row r="12" spans="1:16" x14ac:dyDescent="0.3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3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3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3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3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3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3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3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3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3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3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3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3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3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3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3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3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3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3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3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3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3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3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3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3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3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3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3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3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3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3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3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3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3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3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3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3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3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3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3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3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3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3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3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3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3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3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3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3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3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3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3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3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3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3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3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3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3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3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3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3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3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3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3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3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3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3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3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3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3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3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3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3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3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3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3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3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" thickBot="1" x14ac:dyDescent="0.35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3">
      <c r="A93" s="127" t="s">
        <v>208</v>
      </c>
    </row>
    <row r="94" spans="1:14" x14ac:dyDescent="0.3">
      <c r="A94" s="127" t="s">
        <v>209</v>
      </c>
    </row>
    <row r="95" spans="1:14" x14ac:dyDescent="0.3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L16" activeCellId="7" sqref="G5 I5 K5 L5 G16 I16 K16 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0" t="str">
        <f>IF('Données projet'!$B$9="","",'Données projet'!$B$9)</f>
        <v>Hêtre</v>
      </c>
      <c r="B6" s="151">
        <f>'Données projet'!D9</f>
        <v>1.8659999999999999</v>
      </c>
      <c r="C6" s="152">
        <f ca="1">IF(OR('Données projet'!B9="",'Données projet'!C9="",'Données projet'!C9=0%),0,Calculateur!S3)</f>
        <v>598.73855311281966</v>
      </c>
      <c r="D6" s="152">
        <f>IF(OR('Données projet'!B9="",'Données projet'!C9="",'Données projet'!C9=0%),0,Calculateur!T3)</f>
        <v>275.88160405468193</v>
      </c>
      <c r="E6" s="152">
        <f ca="1">MIN(C6,D6)</f>
        <v>275.88160405468193</v>
      </c>
      <c r="F6" s="152">
        <f ca="1">E6*B6</f>
        <v>514.79507316603645</v>
      </c>
      <c r="G6" s="152">
        <f ca="1">F6*(100%-'Données projet'!$C$24)*(100%-'Données projet'!$C$25)*(100%-'Données projet'!$C$26)*(100%-'Données projet'!$C$27)</f>
        <v>463.3155658494328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3.2654999999999998</v>
      </c>
      <c r="K6" s="156">
        <f>J6*(100%-'Données projet'!$C$24)*(100%-'Données projet'!$C$25)*(100%-'Données projet'!$C$26)*(100%-'Données projet'!$C$27)</f>
        <v>2.9389499999999997</v>
      </c>
      <c r="L6" s="157">
        <f ca="1">G6+I6+K6</f>
        <v>466.25451584943278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8" t="str">
        <f>IF('Données projet'!$B$10="","",'Données projet'!$B$10)</f>
        <v>Chêne pubescent</v>
      </c>
      <c r="B7" s="159">
        <f>'Données projet'!D10</f>
        <v>0.93299999999999994</v>
      </c>
      <c r="C7" s="152">
        <f ca="1">IF(OR('Données projet'!B10="",'Données projet'!C10="",'Données projet'!C10=0%),0,Calculateur!AN3)</f>
        <v>515.72324585399997</v>
      </c>
      <c r="D7" s="152">
        <f>IF(OR('Données projet'!B10="",'Données projet'!C10="",'Données projet'!C10=0%),0,Calculateur!AO3)</f>
        <v>273.35778700650792</v>
      </c>
      <c r="E7" s="152">
        <f t="shared" ref="E7:E15" ca="1" si="0">MIN(C7,D7)</f>
        <v>273.35778700650792</v>
      </c>
      <c r="F7" s="152">
        <f t="shared" ref="F7:F15" ca="1" si="1">E7*B7</f>
        <v>255.04281527707187</v>
      </c>
      <c r="G7" s="152">
        <f ca="1">F7*(100%-'Données projet'!$C$24)*(100%-'Données projet'!$C$25)*(100%-'Données projet'!$C$26)*(100%-'Données projet'!$C$27)</f>
        <v>229.53853374936469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1.8659999999999999</v>
      </c>
      <c r="K7" s="156">
        <f>J7*(100%-'Données projet'!$C$24)*(100%-'Données projet'!$C$25)*(100%-'Données projet'!$C$26)*(100%-'Données projet'!$C$27)</f>
        <v>1.6794</v>
      </c>
      <c r="L7" s="157">
        <f t="shared" ref="L7:L15" ca="1" si="2">G7+I7+K7</f>
        <v>231.21793374936468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8" t="str">
        <f>IF('Données projet'!$B$11="","",'Données projet'!$B$11)</f>
        <v>Erable plane</v>
      </c>
      <c r="B8" s="159">
        <f>'Données projet'!D11</f>
        <v>0.622</v>
      </c>
      <c r="C8" s="152">
        <f ca="1">IF(OR('Données projet'!B11="",'Données projet'!C11="",'Données projet'!C11=0%),0,Calculateur!BI3)</f>
        <v>336.25341821407534</v>
      </c>
      <c r="D8" s="152">
        <f>IF(OR('Données projet'!B11="",'Données projet'!C11="",'Données projet'!C11=0%),0,Calculateur!BJ3)</f>
        <v>360.3246221345039</v>
      </c>
      <c r="E8" s="152">
        <f t="shared" ca="1" si="0"/>
        <v>336.25341821407534</v>
      </c>
      <c r="F8" s="152">
        <f t="shared" ca="1" si="1"/>
        <v>209.14962612915485</v>
      </c>
      <c r="G8" s="152">
        <f ca="1">F8*(100%-'Données projet'!$C$24)*(100%-'Données projet'!$C$25)*(100%-'Données projet'!$C$26)*(100%-'Données projet'!$C$27)</f>
        <v>188.23466351623938</v>
      </c>
      <c r="H8" s="160">
        <f>IF(OR('Données projet'!B11="",'Données projet'!C11="",'Données projet'!C11=0%),0,AVERAGE(Calculateur!$BS$3:$BS$33)*B8)</f>
        <v>0.10434006665537755</v>
      </c>
      <c r="I8" s="154">
        <f>H8*(100%-'Données projet'!$C$24)*(100%-'Données projet'!$C$25)*(100%-'Données projet'!$C$26)*(100%-'Données projet'!$C$27)</f>
        <v>9.3906059989839794E-2</v>
      </c>
      <c r="J8" s="155">
        <f>IF(OR('Données projet'!B11="",'Données projet'!C11="",'Données projet'!C11=0%),0,SUM(Calculateur!$BL$3:$BL$33)*VLOOKUP('Données projet'!$B$11,Paramètres!$A$1:$I$89,9,0)*B8)</f>
        <v>15.410049999999998</v>
      </c>
      <c r="K8" s="156">
        <f>J8*(100%-'Données projet'!$C$24)*(100%-'Données projet'!$C$25)*(100%-'Données projet'!$C$26)*(100%-'Données projet'!$C$27)</f>
        <v>13.869044999999998</v>
      </c>
      <c r="L8" s="157">
        <f t="shared" ca="1" si="2"/>
        <v>202.19761457622923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8" t="str">
        <f>IF('Données projet'!$B$12="","",'Données projet'!$B$12)</f>
        <v>Charme</v>
      </c>
      <c r="B9" s="159">
        <f>'Données projet'!D12</f>
        <v>0.622</v>
      </c>
      <c r="C9" s="152">
        <f ca="1">IF(OR('Données projet'!B12="",'Données projet'!C12="",'Données projet'!C12=0%),0,Calculateur!CD3)</f>
        <v>438.41611139377829</v>
      </c>
      <c r="D9" s="152">
        <f>IF(OR('Données projet'!B12="",'Données projet'!C12="",'Données projet'!C12=0%),0,Calculateur!CE3)</f>
        <v>345.17417065809605</v>
      </c>
      <c r="E9" s="152">
        <f t="shared" ca="1" si="0"/>
        <v>345.17417065809605</v>
      </c>
      <c r="F9" s="152">
        <f t="shared" ca="1" si="1"/>
        <v>214.69833414933575</v>
      </c>
      <c r="G9" s="152">
        <f ca="1">F9*(100%-'Données projet'!$C$24)*(100%-'Données projet'!$C$25)*(100%-'Données projet'!$C$26)*(100%-'Données projet'!$C$27)</f>
        <v>193.22850073440219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8.0740384615384606</v>
      </c>
      <c r="K9" s="156">
        <f>J9*(100%-'Données projet'!$C$24)*(100%-'Données projet'!$C$25)*(100%-'Données projet'!$C$26)*(100%-'Données projet'!$C$27)</f>
        <v>7.2666346153846151</v>
      </c>
      <c r="L9" s="157">
        <f t="shared" ca="1" si="2"/>
        <v>200.49513534978681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8" t="str">
        <f>IF('Données projet'!$B$13="","",'Données projet'!$B$13)</f>
        <v>Erable sycomore</v>
      </c>
      <c r="B10" s="159">
        <f>'Données projet'!D13</f>
        <v>0.52248000000000006</v>
      </c>
      <c r="C10" s="152">
        <f ca="1">IF(OR('Données projet'!B13="",'Données projet'!C13="",'Données projet'!C13=0%),0,Calculateur!CY3)</f>
        <v>395.27840703467933</v>
      </c>
      <c r="D10" s="152">
        <f>IF(OR('Données projet'!B13="",'Données projet'!C13="",'Données projet'!C13=0%),0,Calculateur!CZ3)</f>
        <v>364.24192380053944</v>
      </c>
      <c r="E10" s="152">
        <f t="shared" ca="1" si="0"/>
        <v>364.24192380053944</v>
      </c>
      <c r="F10" s="152">
        <f t="shared" ca="1" si="1"/>
        <v>190.30912034730588</v>
      </c>
      <c r="G10" s="152">
        <f ca="1">F10*(100%-'Données projet'!$C$24)*(100%-'Données projet'!$C$25)*(100%-'Données projet'!$C$26)*(100%-'Données projet'!$C$27)</f>
        <v>171.27820831257529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13.257930000000002</v>
      </c>
      <c r="K10" s="156">
        <f>J10*(100%-'Données projet'!$C$24)*(100%-'Données projet'!$C$25)*(100%-'Données projet'!$C$26)*(100%-'Données projet'!$C$27)</f>
        <v>11.932137000000003</v>
      </c>
      <c r="L10" s="157">
        <f t="shared" ca="1" si="2"/>
        <v>183.2103453125753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8" t="str">
        <f>IF('Données projet'!$B$14="","",'Données projet'!$B$14)</f>
        <v>Merisier</v>
      </c>
      <c r="B11" s="159">
        <f>'Données projet'!D14</f>
        <v>0.43540000000000001</v>
      </c>
      <c r="C11" s="152">
        <f ca="1">IF(OR('Données projet'!B14="",'Données projet'!C14="",'Données projet'!C14=0%),0,Calculateur!DT3)</f>
        <v>308.76306523144956</v>
      </c>
      <c r="D11" s="152">
        <f>IF(OR('Données projet'!B14="",'Données projet'!C14="",'Données projet'!C14=0%),0,Calculateur!DU3)</f>
        <v>283.28099819802776</v>
      </c>
      <c r="E11" s="152">
        <f t="shared" ca="1" si="0"/>
        <v>283.28099819802776</v>
      </c>
      <c r="F11" s="152">
        <f t="shared" ca="1" si="1"/>
        <v>123.34054661542129</v>
      </c>
      <c r="G11" s="152">
        <f ca="1">F11*(100%-'Données projet'!$C$24)*(100%-'Données projet'!$C$25)*(100%-'Données projet'!$C$26)*(100%-'Données projet'!$C$27)</f>
        <v>111.00649195387916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5.6601999999999997</v>
      </c>
      <c r="K11" s="156">
        <f>J11*(100%-'Données projet'!$C$24)*(100%-'Données projet'!$C$25)*(100%-'Données projet'!$C$26)*(100%-'Données projet'!$C$27)</f>
        <v>5.0941799999999997</v>
      </c>
      <c r="L11" s="157">
        <f t="shared" ca="1" si="2"/>
        <v>116.10067195387916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8" t="str">
        <f>IF('Données projet'!$B$15="","",'Données projet'!$B$15)</f>
        <v>Tilleul</v>
      </c>
      <c r="B12" s="159">
        <f>'Données projet'!D15</f>
        <v>0.311</v>
      </c>
      <c r="C12" s="152">
        <f ca="1">IF(OR('Données projet'!B15="",'Données projet'!C15="",'Données projet'!C15=0%),0,Calculateur!EO3)</f>
        <v>375.49921531693559</v>
      </c>
      <c r="D12" s="152">
        <f>IF(OR('Données projet'!B15="",'Données projet'!C15="",'Données projet'!C15=0%),0,Calculateur!EP3)</f>
        <v>306.93934681565599</v>
      </c>
      <c r="E12" s="152">
        <f t="shared" ca="1" si="0"/>
        <v>306.93934681565599</v>
      </c>
      <c r="F12" s="152">
        <f t="shared" ca="1" si="1"/>
        <v>95.458136859669011</v>
      </c>
      <c r="G12" s="152">
        <f ca="1">F12*(100%-'Données projet'!$C$24)*(100%-'Données projet'!$C$25)*(100%-'Données projet'!$C$26)*(100%-'Données projet'!$C$27)</f>
        <v>85.912323173702106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5.6318910256410248</v>
      </c>
      <c r="K12" s="156">
        <f>J12*(100%-'Données projet'!$C$24)*(100%-'Données projet'!$C$25)*(100%-'Données projet'!$C$26)*(100%-'Données projet'!$C$27)</f>
        <v>5.0687019230769224</v>
      </c>
      <c r="L12" s="157">
        <f t="shared" ca="1" si="2"/>
        <v>90.981025096779035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8" t="str">
        <f>IF('Données projet'!$B$16="","",'Données projet'!$B$16)</f>
        <v>Bouleau verruqueux</v>
      </c>
      <c r="B13" s="159">
        <f>'Données projet'!D16</f>
        <v>0.311</v>
      </c>
      <c r="C13" s="152">
        <f ca="1">IF(OR('Données projet'!B16="",'Données projet'!C16="",'Données projet'!C16=0%),0,Calculateur!FJ3)</f>
        <v>308.58270639204238</v>
      </c>
      <c r="D13" s="152">
        <f>IF(OR('Données projet'!B16="",'Données projet'!C16="",'Données projet'!C16=0%),0,Calculateur!FK3)</f>
        <v>258.90832875500325</v>
      </c>
      <c r="E13" s="152">
        <f t="shared" ca="1" si="0"/>
        <v>258.90832875500325</v>
      </c>
      <c r="F13" s="152">
        <f t="shared" ca="1" si="1"/>
        <v>80.520490242806005</v>
      </c>
      <c r="G13" s="152">
        <f ca="1">F13*(100%-'Données projet'!$C$24)*(100%-'Données projet'!$C$25)*(100%-'Données projet'!$C$26)*(100%-'Données projet'!$C$27)</f>
        <v>72.468441218525413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2.7989999999999999</v>
      </c>
      <c r="K13" s="156">
        <f>J13*(100%-'Données projet'!$C$24)*(100%-'Données projet'!$C$25)*(100%-'Données projet'!$C$26)*(100%-'Données projet'!$C$27)</f>
        <v>2.5190999999999999</v>
      </c>
      <c r="L13" s="157">
        <f t="shared" ca="1" si="2"/>
        <v>74.987541218525408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8" t="str">
        <f>IF('Données projet'!$B$17="","",'Données projet'!$B$17)</f>
        <v>Alisier torminal</v>
      </c>
      <c r="B14" s="159">
        <f>'Données projet'!D17</f>
        <v>0.311</v>
      </c>
      <c r="C14" s="152">
        <f ca="1">IF(OR('Données projet'!B17="",'Données projet'!C17="",'Données projet'!C17=0%),0,Calculateur!GE3)</f>
        <v>495.77880062178235</v>
      </c>
      <c r="D14" s="152">
        <f>IF(OR('Données projet'!B17="",'Données projet'!C17="",'Données projet'!C17=0%),0,Calculateur!GF3)</f>
        <v>263.55891737750301</v>
      </c>
      <c r="E14" s="152">
        <f t="shared" ca="1" si="0"/>
        <v>263.55891737750301</v>
      </c>
      <c r="F14" s="152">
        <f t="shared" ca="1" si="1"/>
        <v>81.966823304403434</v>
      </c>
      <c r="G14" s="152">
        <f ca="1">F14*(100%-'Données projet'!$C$24)*(100%-'Données projet'!$C$25)*(100%-'Données projet'!$C$26)*(100%-'Données projet'!$C$27)</f>
        <v>73.770140973963095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0.622</v>
      </c>
      <c r="K14" s="156">
        <f>J14*(100%-'Données projet'!$C$24)*(100%-'Données projet'!$C$25)*(100%-'Données projet'!$C$26)*(100%-'Données projet'!$C$27)</f>
        <v>0.55979999999999996</v>
      </c>
      <c r="L14" s="157">
        <f t="shared" ca="1" si="2"/>
        <v>74.32994097396309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2"/>
      <c r="B16" s="229"/>
      <c r="C16" s="230"/>
      <c r="D16" s="25"/>
      <c r="E16" s="25"/>
      <c r="F16" s="170">
        <f t="shared" ref="F16:L16" ca="1" si="3">SUM(F6:F15)</f>
        <v>1765.2809660912046</v>
      </c>
      <c r="G16" s="171">
        <f t="shared" ca="1" si="3"/>
        <v>1588.7528694820844</v>
      </c>
      <c r="H16" s="172">
        <f t="shared" si="3"/>
        <v>0.10434006665537755</v>
      </c>
      <c r="I16" s="172">
        <f t="shared" si="3"/>
        <v>9.3906059989839794E-2</v>
      </c>
      <c r="J16" s="173">
        <f t="shared" si="3"/>
        <v>56.58660948717948</v>
      </c>
      <c r="K16" s="173">
        <f t="shared" si="3"/>
        <v>50.927948538461543</v>
      </c>
      <c r="L16" s="174">
        <f t="shared" ca="1" si="3"/>
        <v>1639.7747240805356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2"/>
      <c r="B17" s="229"/>
      <c r="C17" s="230"/>
      <c r="D17" s="227"/>
      <c r="E17" s="227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2"/>
      <c r="B18" s="229"/>
      <c r="C18" s="230"/>
      <c r="D18" s="227"/>
      <c r="E18" s="227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5" t="str">
        <f>A6</f>
        <v>Hêtre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5" t="str">
        <f>A7</f>
        <v>Chêne pubescent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5" t="str">
        <f>A8</f>
        <v>Erable plane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5" t="str">
        <f>A9</f>
        <v>Charme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5" t="str">
        <f>A10</f>
        <v>Erable sycomore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5" t="str">
        <f>A11</f>
        <v>Merisier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5" t="str">
        <f>A12</f>
        <v>Tilleul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5" t="str">
        <f>A13</f>
        <v>Bouleau verruqueux</v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5" t="str">
        <f>A14</f>
        <v>Alisier torminal</v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80" zoomScaleNormal="80" workbookViewId="0">
      <selection activeCell="I12" sqref="I1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3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3">
      <c r="A4" s="95"/>
      <c r="B4" s="95"/>
      <c r="C4" s="95"/>
      <c r="D4" s="95"/>
      <c r="E4" s="95"/>
      <c r="G4" s="176"/>
      <c r="H4" s="336" t="s">
        <v>315</v>
      </c>
      <c r="I4" s="336"/>
      <c r="K4" s="333" t="s">
        <v>253</v>
      </c>
      <c r="L4" s="334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3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" thickBot="1" x14ac:dyDescent="0.35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55000000000000004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25" t="s">
        <v>310</v>
      </c>
      <c r="S7" s="326"/>
      <c r="T7" s="326"/>
      <c r="U7" s="326"/>
      <c r="V7" s="327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3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Hêtre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806.15920346061409</v>
      </c>
      <c r="U10" s="186">
        <f>'Données projet'!D9</f>
        <v>1.8659999999999999</v>
      </c>
      <c r="V10" s="185">
        <f>U10*T10</f>
        <v>1504.2930736575058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Chêne pubescent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717.78963105060325</v>
      </c>
      <c r="U11" s="186">
        <f>'Données projet'!D10</f>
        <v>0.93299999999999994</v>
      </c>
      <c r="V11" s="185">
        <f t="shared" ref="V11" si="0">U11*T11</f>
        <v>669.69772577021274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Erable plane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1352.1413479041787</v>
      </c>
      <c r="U12" s="186">
        <f>'Données projet'!D11</f>
        <v>0.622</v>
      </c>
      <c r="V12" s="185">
        <f t="shared" ref="V12:V19" si="1">U12*T12</f>
        <v>841.03191839639919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Charme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551.31053671071083</v>
      </c>
      <c r="U13" s="186">
        <f>'Données projet'!D12</f>
        <v>0.622</v>
      </c>
      <c r="V13" s="185">
        <f t="shared" si="1"/>
        <v>342.91515383406215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2" t="str">
        <f>IF('Données projet'!$B$9="","",'Données projet'!$B$9)</f>
        <v>Hêtre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Erable sycomore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1895.4615669295581</v>
      </c>
      <c r="U14" s="186">
        <f>'Données projet'!D13</f>
        <v>0.52248000000000006</v>
      </c>
      <c r="V14" s="185">
        <f t="shared" si="1"/>
        <v>990.34075948935561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7"/>
      <c r="G15" s="337" t="s">
        <v>318</v>
      </c>
      <c r="H15" s="199">
        <v>0</v>
      </c>
      <c r="I15" s="200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Merisier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1709.5021671431791</v>
      </c>
      <c r="U15" s="186">
        <f>'Données projet'!D14</f>
        <v>0.43540000000000001</v>
      </c>
      <c r="V15" s="185">
        <f t="shared" si="1"/>
        <v>744.31724357414021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37"/>
      <c r="H16" s="199"/>
      <c r="I16" s="200"/>
      <c r="J16" s="212"/>
      <c r="K16" s="221"/>
      <c r="L16" s="333" t="s">
        <v>254</v>
      </c>
      <c r="M16" s="334"/>
      <c r="N16" s="2"/>
      <c r="O16" s="25"/>
      <c r="P16" s="25"/>
      <c r="Q16" s="261"/>
      <c r="R16" s="25"/>
      <c r="S16" s="181" t="str">
        <f>B200</f>
        <v>Tilleul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825.039317750598</v>
      </c>
      <c r="U16" s="186">
        <f>'Données projet'!D15</f>
        <v>0.311</v>
      </c>
      <c r="V16" s="185">
        <f t="shared" si="1"/>
        <v>256.587227820436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37"/>
      <c r="J17" s="212"/>
      <c r="K17" s="221"/>
      <c r="L17" s="291" t="s">
        <v>289</v>
      </c>
      <c r="M17" s="293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>Bouleau verruqueux</v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699.92601121174539</v>
      </c>
      <c r="U17" s="186">
        <f>'Données projet'!D16</f>
        <v>0.311</v>
      </c>
      <c r="V17" s="185">
        <f t="shared" si="1"/>
        <v>217.67698948685282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37"/>
      <c r="J18" s="212"/>
      <c r="K18" s="221"/>
      <c r="L18" s="291" t="s">
        <v>255</v>
      </c>
      <c r="M18" s="293"/>
      <c r="N18" s="201"/>
      <c r="O18" s="25"/>
      <c r="P18" s="25"/>
      <c r="Q18" s="261"/>
      <c r="R18" s="25"/>
      <c r="S18" s="181" t="str">
        <f>B262</f>
        <v>Alisier torminal</v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682.45537636381994</v>
      </c>
      <c r="U18" s="186">
        <f>'Données projet'!D17</f>
        <v>0.311</v>
      </c>
      <c r="V18" s="185">
        <f t="shared" si="1"/>
        <v>212.243622049148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37"/>
      <c r="H19" s="228" t="s">
        <v>178</v>
      </c>
      <c r="I19" s="228" t="s">
        <v>287</v>
      </c>
      <c r="J19" s="256"/>
      <c r="K19" s="179"/>
      <c r="L19" s="333" t="s">
        <v>288</v>
      </c>
      <c r="M19" s="334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37"/>
      <c r="H20" s="199">
        <v>0</v>
      </c>
      <c r="I20" s="200">
        <v>8500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8">
        <f>'Données projet'!A36</f>
        <v>20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35" t="s">
        <v>260</v>
      </c>
      <c r="M23" s="335"/>
      <c r="N23" s="335"/>
      <c r="O23" s="25"/>
      <c r="P23" s="25"/>
      <c r="Q23" s="261"/>
      <c r="R23" s="25"/>
      <c r="S23" s="181" t="s">
        <v>264</v>
      </c>
      <c r="T23" s="33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-47090.896285921888</v>
      </c>
      <c r="U23" s="330"/>
      <c r="V23" s="33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8">
        <f>'Données projet'!A37</f>
        <v>25</v>
      </c>
      <c r="B24" s="189">
        <f>'Données projet'!D37</f>
        <v>7</v>
      </c>
      <c r="C24" s="200">
        <v>10</v>
      </c>
      <c r="D24" s="190">
        <f t="shared" ref="D24:D42" si="2">B24*C24</f>
        <v>70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1"/>
      <c r="V24" s="33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8">
        <f>'Données projet'!A38</f>
        <v>30</v>
      </c>
      <c r="B25" s="189">
        <f>'Données projet'!D38</f>
        <v>0</v>
      </c>
      <c r="C25" s="200"/>
      <c r="D25" s="190">
        <f t="shared" si="2"/>
        <v>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>
        <v>0</v>
      </c>
      <c r="Q25" s="261"/>
      <c r="R25" s="25"/>
      <c r="S25" s="194" t="s">
        <v>266</v>
      </c>
      <c r="T25" s="332">
        <f ca="1">T23-T24</f>
        <v>-47090.896285921888</v>
      </c>
      <c r="U25" s="332"/>
      <c r="V25" s="33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8">
        <f>'Données projet'!A39</f>
        <v>35</v>
      </c>
      <c r="B26" s="189">
        <f>'Données projet'!D39</f>
        <v>56</v>
      </c>
      <c r="C26" s="200">
        <v>15</v>
      </c>
      <c r="D26" s="190">
        <f t="shared" si="2"/>
        <v>840</v>
      </c>
      <c r="E26" s="202"/>
      <c r="F26" s="260"/>
      <c r="G26" s="255"/>
      <c r="H26" s="199"/>
      <c r="I26" s="200"/>
      <c r="K26" s="221"/>
      <c r="L26" s="319" t="s">
        <v>258</v>
      </c>
      <c r="M26" s="320"/>
      <c r="N26" s="320"/>
      <c r="O26" s="320"/>
      <c r="P26" s="321"/>
      <c r="Q26" s="261"/>
      <c r="R26" s="25"/>
      <c r="S26" s="194" t="s">
        <v>265</v>
      </c>
      <c r="T26" s="329" t="str">
        <f ca="1">IF(T25&lt;0,"Votre projet est additionnel","Votre projet n'est pas additionnel")</f>
        <v>Votre projet est additionnel</v>
      </c>
      <c r="U26" s="329"/>
      <c r="V26" s="32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8">
        <f>'Données projet'!A40</f>
        <v>40</v>
      </c>
      <c r="B27" s="189">
        <f>'Données projet'!D40</f>
        <v>0</v>
      </c>
      <c r="C27" s="200"/>
      <c r="D27" s="190">
        <f t="shared" si="2"/>
        <v>0</v>
      </c>
      <c r="E27" s="202"/>
      <c r="F27" s="260"/>
      <c r="G27" s="255"/>
      <c r="H27" s="199"/>
      <c r="I27" s="200"/>
      <c r="K27" s="221"/>
      <c r="L27" s="322"/>
      <c r="M27" s="323"/>
      <c r="N27" s="323"/>
      <c r="O27" s="323"/>
      <c r="P27" s="324"/>
      <c r="Q27" s="261"/>
      <c r="R27" s="25"/>
      <c r="S27" s="328" t="s">
        <v>267</v>
      </c>
      <c r="T27" s="328"/>
      <c r="U27" s="328"/>
      <c r="V27" s="32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8">
        <f>'Données projet'!A41</f>
        <v>45</v>
      </c>
      <c r="B28" s="189">
        <f>'Données projet'!D41</f>
        <v>56</v>
      </c>
      <c r="C28" s="200">
        <v>20</v>
      </c>
      <c r="D28" s="190">
        <f t="shared" si="2"/>
        <v>1120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8">
        <f>'Données projet'!A42</f>
        <v>50</v>
      </c>
      <c r="B29" s="189">
        <f>'Données projet'!D42</f>
        <v>0</v>
      </c>
      <c r="C29" s="200"/>
      <c r="D29" s="190">
        <f t="shared" si="2"/>
        <v>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8">
        <f>'Données projet'!A43</f>
        <v>55</v>
      </c>
      <c r="B30" s="189">
        <f>'Données projet'!D43</f>
        <v>56</v>
      </c>
      <c r="C30" s="200">
        <v>20</v>
      </c>
      <c r="D30" s="190">
        <f t="shared" si="2"/>
        <v>1120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8">
        <f>'Données projet'!A44</f>
        <v>65</v>
      </c>
      <c r="B31" s="189">
        <f>'Données projet'!D44</f>
        <v>56</v>
      </c>
      <c r="C31" s="200">
        <v>30</v>
      </c>
      <c r="D31" s="190">
        <f t="shared" si="2"/>
        <v>1680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8">
        <f>'Données projet'!A45</f>
        <v>75</v>
      </c>
      <c r="B32" s="189">
        <f>'Données projet'!D45</f>
        <v>56</v>
      </c>
      <c r="C32" s="200">
        <v>30</v>
      </c>
      <c r="D32" s="190">
        <f t="shared" si="2"/>
        <v>1680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8">
        <f>'Données projet'!A46</f>
        <v>85</v>
      </c>
      <c r="B33" s="189">
        <f>'Données projet'!D46</f>
        <v>55</v>
      </c>
      <c r="C33" s="200">
        <v>40</v>
      </c>
      <c r="D33" s="190">
        <f t="shared" si="2"/>
        <v>2200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8">
        <f>'Données projet'!A47</f>
        <v>95</v>
      </c>
      <c r="B34" s="189">
        <f>'Données projet'!D47</f>
        <v>51</v>
      </c>
      <c r="C34" s="202">
        <v>40</v>
      </c>
      <c r="D34" s="190">
        <f t="shared" si="2"/>
        <v>2040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3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8">
        <f>'Données projet'!A48</f>
        <v>105</v>
      </c>
      <c r="B35" s="189">
        <f>'Données projet'!D48</f>
        <v>47</v>
      </c>
      <c r="C35" s="202">
        <v>50</v>
      </c>
      <c r="D35" s="190">
        <f t="shared" si="2"/>
        <v>2350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3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8">
        <f>'Données projet'!A49</f>
        <v>115</v>
      </c>
      <c r="B36" s="189">
        <f>'Données projet'!D49</f>
        <v>44</v>
      </c>
      <c r="C36" s="202">
        <v>50</v>
      </c>
      <c r="D36" s="190">
        <f t="shared" si="2"/>
        <v>2200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8">
        <f>'Données projet'!A50</f>
        <v>125</v>
      </c>
      <c r="B37" s="189">
        <f>'Données projet'!D50</f>
        <v>42</v>
      </c>
      <c r="C37" s="202">
        <v>60</v>
      </c>
      <c r="D37" s="190">
        <f t="shared" si="2"/>
        <v>2520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8">
        <f>'Données projet'!A51</f>
        <v>140</v>
      </c>
      <c r="B38" s="189">
        <f>'Données projet'!D51</f>
        <v>59</v>
      </c>
      <c r="C38" s="202">
        <v>60</v>
      </c>
      <c r="D38" s="190">
        <f t="shared" si="2"/>
        <v>3540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8">
        <f>'Données projet'!A52</f>
        <v>150</v>
      </c>
      <c r="B39" s="189">
        <f>'Données projet'!D52</f>
        <v>486</v>
      </c>
      <c r="C39" s="202">
        <v>80</v>
      </c>
      <c r="D39" s="190">
        <f t="shared" si="2"/>
        <v>38880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8">
        <f>'Données projet'!A53</f>
        <v>0</v>
      </c>
      <c r="B40" s="189">
        <f>'Données projet'!D53</f>
        <v>0</v>
      </c>
      <c r="C40" s="202"/>
      <c r="D40" s="190">
        <f t="shared" si="2"/>
        <v>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8">
        <f>'Données projet'!A54</f>
        <v>0</v>
      </c>
      <c r="B41" s="189">
        <f>'Données projet'!D54</f>
        <v>0</v>
      </c>
      <c r="C41" s="202"/>
      <c r="D41" s="190">
        <f t="shared" si="2"/>
        <v>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8">
        <f>'Données projet'!A55</f>
        <v>0</v>
      </c>
      <c r="B42" s="189">
        <f>'Données projet'!D55</f>
        <v>0</v>
      </c>
      <c r="C42" s="202"/>
      <c r="D42" s="190">
        <f t="shared" si="2"/>
        <v>0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2" t="str">
        <f>IF('Données projet'!$B$10="","",'Données projet'!$B$10)</f>
        <v>Chêne pubescent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3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3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8">
        <f>'Données projet'!A62</f>
        <v>20</v>
      </c>
      <c r="B54" s="189">
        <f>'Données projet'!D62</f>
        <v>0</v>
      </c>
      <c r="C54" s="200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8">
        <f>'Données projet'!A63</f>
        <v>25</v>
      </c>
      <c r="B55" s="189">
        <f>'Données projet'!D63</f>
        <v>8</v>
      </c>
      <c r="C55" s="200">
        <v>10</v>
      </c>
      <c r="D55" s="187">
        <f t="shared" ref="D55:D73" si="4">B55*C55</f>
        <v>80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8">
        <f>'Données projet'!A64</f>
        <v>30</v>
      </c>
      <c r="B56" s="189">
        <f>'Données projet'!D64</f>
        <v>0</v>
      </c>
      <c r="C56" s="200"/>
      <c r="D56" s="187">
        <f t="shared" si="4"/>
        <v>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8">
        <f>'Données projet'!A65</f>
        <v>35</v>
      </c>
      <c r="B57" s="189">
        <f>'Données projet'!D65</f>
        <v>42</v>
      </c>
      <c r="C57" s="200">
        <v>15</v>
      </c>
      <c r="D57" s="187">
        <f t="shared" si="4"/>
        <v>630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8">
        <f>'Données projet'!A66</f>
        <v>40</v>
      </c>
      <c r="B58" s="189">
        <f>'Données projet'!D66</f>
        <v>0</v>
      </c>
      <c r="C58" s="200"/>
      <c r="D58" s="187">
        <f t="shared" si="4"/>
        <v>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8">
        <f>'Données projet'!A67</f>
        <v>45</v>
      </c>
      <c r="B59" s="189">
        <f>'Données projet'!D67</f>
        <v>42</v>
      </c>
      <c r="C59" s="200">
        <v>20</v>
      </c>
      <c r="D59" s="187">
        <f t="shared" si="4"/>
        <v>840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8">
        <f>'Données projet'!A68</f>
        <v>50</v>
      </c>
      <c r="B60" s="189">
        <f>'Données projet'!D68</f>
        <v>0</v>
      </c>
      <c r="C60" s="200"/>
      <c r="D60" s="187">
        <f t="shared" si="4"/>
        <v>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8">
        <f>'Données projet'!A69</f>
        <v>55</v>
      </c>
      <c r="B61" s="189">
        <f>'Données projet'!D69</f>
        <v>42</v>
      </c>
      <c r="C61" s="200">
        <v>25</v>
      </c>
      <c r="D61" s="187">
        <f t="shared" si="4"/>
        <v>1050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8">
        <f>'Données projet'!A70</f>
        <v>65</v>
      </c>
      <c r="B62" s="189">
        <f>'Données projet'!D70</f>
        <v>42</v>
      </c>
      <c r="C62" s="200">
        <v>30</v>
      </c>
      <c r="D62" s="187">
        <f t="shared" si="4"/>
        <v>1260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8">
        <f>'Données projet'!A71</f>
        <v>75</v>
      </c>
      <c r="B63" s="189">
        <f>'Données projet'!D71</f>
        <v>42</v>
      </c>
      <c r="C63" s="200">
        <v>40</v>
      </c>
      <c r="D63" s="187">
        <f t="shared" si="4"/>
        <v>1680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8">
        <f>'Données projet'!A72</f>
        <v>85</v>
      </c>
      <c r="B64" s="189">
        <f>'Données projet'!D72</f>
        <v>42</v>
      </c>
      <c r="C64" s="200">
        <v>50</v>
      </c>
      <c r="D64" s="187">
        <f t="shared" si="4"/>
        <v>2100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8">
        <f>'Données projet'!A73</f>
        <v>95</v>
      </c>
      <c r="B65" s="189">
        <f>'Données projet'!D73</f>
        <v>42</v>
      </c>
      <c r="C65" s="200">
        <v>60</v>
      </c>
      <c r="D65" s="187">
        <f t="shared" si="4"/>
        <v>2520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8">
        <f>'Données projet'!A74</f>
        <v>105</v>
      </c>
      <c r="B66" s="189">
        <f>'Données projet'!D74</f>
        <v>41</v>
      </c>
      <c r="C66" s="200">
        <v>70</v>
      </c>
      <c r="D66" s="187">
        <f t="shared" si="4"/>
        <v>2870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8">
        <f>'Données projet'!A75</f>
        <v>115</v>
      </c>
      <c r="B67" s="189">
        <f>'Données projet'!D75</f>
        <v>37</v>
      </c>
      <c r="C67" s="200">
        <v>80</v>
      </c>
      <c r="D67" s="187">
        <f t="shared" si="4"/>
        <v>2960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8">
        <f>'Données projet'!A76</f>
        <v>125</v>
      </c>
      <c r="B68" s="189">
        <f>'Données projet'!D76</f>
        <v>33</v>
      </c>
      <c r="C68" s="200">
        <v>100</v>
      </c>
      <c r="D68" s="187">
        <f t="shared" si="4"/>
        <v>3300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8">
        <f>'Données projet'!A77</f>
        <v>135</v>
      </c>
      <c r="B69" s="189">
        <f>'Données projet'!D77</f>
        <v>29</v>
      </c>
      <c r="C69" s="200">
        <v>150</v>
      </c>
      <c r="D69" s="187">
        <f t="shared" si="4"/>
        <v>4350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8">
        <f>'Données projet'!A78</f>
        <v>145</v>
      </c>
      <c r="B70" s="189">
        <f>'Données projet'!D78</f>
        <v>0</v>
      </c>
      <c r="C70" s="200"/>
      <c r="D70" s="187">
        <f t="shared" si="4"/>
        <v>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8">
        <f>'Données projet'!A79</f>
        <v>150</v>
      </c>
      <c r="B71" s="189">
        <f>'Données projet'!D79</f>
        <v>293</v>
      </c>
      <c r="C71" s="200">
        <v>200</v>
      </c>
      <c r="D71" s="187">
        <f t="shared" si="4"/>
        <v>58600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8">
        <f>'Données projet'!A80</f>
        <v>0</v>
      </c>
      <c r="B72" s="189">
        <f>'Données projet'!D80</f>
        <v>0</v>
      </c>
      <c r="C72" s="200"/>
      <c r="D72" s="187">
        <f t="shared" si="4"/>
        <v>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8">
        <f>'Données projet'!A81</f>
        <v>0</v>
      </c>
      <c r="B73" s="189">
        <f>'Données projet'!D81</f>
        <v>0</v>
      </c>
      <c r="C73" s="200"/>
      <c r="D73" s="187">
        <f t="shared" si="4"/>
        <v>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2" t="str">
        <f>IF('Données projet'!B11="","",'Données projet'!B11)</f>
        <v>Erable plane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0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5"/>
        <v>0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5"/>
        <v>0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5"/>
        <v>0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5"/>
        <v>0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5"/>
        <v>0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5"/>
        <v>0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8">
        <f>'Données projet'!A88</f>
        <v>15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5"/>
        <v>0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8">
        <f>'Données projet'!A89</f>
        <v>20</v>
      </c>
      <c r="B86" s="189">
        <f>'Données projet'!D89</f>
        <v>43.1</v>
      </c>
      <c r="C86" s="200">
        <v>10</v>
      </c>
      <c r="D86" s="187">
        <f t="shared" ref="D86:D104" si="6">B86*C86</f>
        <v>431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5"/>
        <v>0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8">
        <f>'Données projet'!A90</f>
        <v>25</v>
      </c>
      <c r="B87" s="189">
        <f>'Données projet'!D90</f>
        <v>0</v>
      </c>
      <c r="C87" s="200"/>
      <c r="D87" s="187">
        <f t="shared" si="6"/>
        <v>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5"/>
        <v>0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8">
        <f>'Données projet'!A91</f>
        <v>30</v>
      </c>
      <c r="B88" s="189">
        <f>'Données projet'!D91</f>
        <v>56</v>
      </c>
      <c r="C88" s="200">
        <v>15</v>
      </c>
      <c r="D88" s="187">
        <f t="shared" si="6"/>
        <v>840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5"/>
        <v>0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8">
        <f>'Données projet'!A92</f>
        <v>35</v>
      </c>
      <c r="B89" s="189">
        <f>'Données projet'!D92</f>
        <v>0</v>
      </c>
      <c r="C89" s="200"/>
      <c r="D89" s="187">
        <f t="shared" si="6"/>
        <v>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5"/>
        <v>0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8">
        <f>'Données projet'!A93</f>
        <v>40</v>
      </c>
      <c r="B90" s="189">
        <f>'Données projet'!D93</f>
        <v>56</v>
      </c>
      <c r="C90" s="200">
        <v>20</v>
      </c>
      <c r="D90" s="187">
        <f t="shared" si="6"/>
        <v>1120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5"/>
        <v>0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8">
        <f>'Données projet'!A94</f>
        <v>45</v>
      </c>
      <c r="B91" s="189">
        <f>'Données projet'!D94</f>
        <v>0</v>
      </c>
      <c r="C91" s="200"/>
      <c r="D91" s="187">
        <f t="shared" si="6"/>
        <v>0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5"/>
        <v>0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8">
        <f>'Données projet'!A95</f>
        <v>50</v>
      </c>
      <c r="B92" s="189">
        <f>'Données projet'!D95</f>
        <v>38.299999999999997</v>
      </c>
      <c r="C92" s="200">
        <v>30</v>
      </c>
      <c r="D92" s="187">
        <f t="shared" si="6"/>
        <v>1149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5"/>
        <v>0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8">
        <f>'Données projet'!A96</f>
        <v>55</v>
      </c>
      <c r="B93" s="189">
        <f>'Données projet'!D96</f>
        <v>0</v>
      </c>
      <c r="C93" s="200"/>
      <c r="D93" s="187">
        <f t="shared" si="6"/>
        <v>0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5"/>
        <v>0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8">
        <f>'Données projet'!A97</f>
        <v>60</v>
      </c>
      <c r="B94" s="189">
        <f>'Données projet'!D97</f>
        <v>25.200000000000003</v>
      </c>
      <c r="C94" s="200">
        <v>40</v>
      </c>
      <c r="D94" s="187">
        <f t="shared" si="6"/>
        <v>1008.0000000000001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>
        <f>IF(O93+1&lt;=MIN('Données projet'!$E$9:$E$18),O93+1,"STOP")</f>
        <v>61</v>
      </c>
      <c r="P94" s="193">
        <f t="shared" si="5"/>
        <v>0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8">
        <f>'Données projet'!A98</f>
        <v>65</v>
      </c>
      <c r="B95" s="189">
        <f>'Données projet'!D98</f>
        <v>0</v>
      </c>
      <c r="C95" s="200"/>
      <c r="D95" s="187">
        <f t="shared" si="6"/>
        <v>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>
        <f>IF(O94+1&lt;=MIN('Données projet'!$E$9:$E$18),O94+1,"STOP")</f>
        <v>62</v>
      </c>
      <c r="P95" s="193">
        <f t="shared" si="5"/>
        <v>0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8">
        <f>'Données projet'!A99</f>
        <v>70</v>
      </c>
      <c r="B96" s="189">
        <f>'Données projet'!D99</f>
        <v>20.9</v>
      </c>
      <c r="C96" s="200">
        <v>55</v>
      </c>
      <c r="D96" s="187">
        <f t="shared" si="6"/>
        <v>1149.5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>
        <f>IF(O95+1&lt;=MIN('Données projet'!$E$9:$E$18),O95+1,"STOP")</f>
        <v>63</v>
      </c>
      <c r="P96" s="193">
        <f t="shared" si="5"/>
        <v>0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8">
        <f>'Données projet'!A100</f>
        <v>75</v>
      </c>
      <c r="B97" s="189">
        <f>'Données projet'!D100</f>
        <v>0</v>
      </c>
      <c r="C97" s="200"/>
      <c r="D97" s="187">
        <f t="shared" si="6"/>
        <v>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>
        <f>IF(O96+1&lt;=MIN('Données projet'!$E$9:$E$18),O96+1,"STOP")</f>
        <v>64</v>
      </c>
      <c r="P97" s="193">
        <f t="shared" ref="P97:P128" si="7">$P$25/(1+$M$4)^O97</f>
        <v>0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8">
        <f>'Données projet'!A101</f>
        <v>80</v>
      </c>
      <c r="B98" s="189">
        <f>'Données projet'!D101</f>
        <v>284.60000000000002</v>
      </c>
      <c r="C98" s="202">
        <v>60</v>
      </c>
      <c r="D98" s="187">
        <f t="shared" si="6"/>
        <v>17076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>
        <f>IF(O97+1&lt;=MIN('Données projet'!$E$9:$E$18),O97+1,"STOP")</f>
        <v>65</v>
      </c>
      <c r="P98" s="193">
        <f t="shared" si="7"/>
        <v>0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8">
        <f>'Données projet'!A102</f>
        <v>0</v>
      </c>
      <c r="B99" s="189">
        <f>'Données projet'!D102</f>
        <v>0</v>
      </c>
      <c r="C99" s="202"/>
      <c r="D99" s="187">
        <f t="shared" si="6"/>
        <v>0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>
        <f>IF(O98+1&lt;=MIN('Données projet'!$E$9:$E$18),O98+1,"STOP")</f>
        <v>66</v>
      </c>
      <c r="P99" s="193">
        <f t="shared" si="7"/>
        <v>0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8">
        <f>'Données projet'!A103</f>
        <v>0</v>
      </c>
      <c r="B100" s="189">
        <f>'Données projet'!D103</f>
        <v>0</v>
      </c>
      <c r="C100" s="200"/>
      <c r="D100" s="187">
        <f t="shared" si="6"/>
        <v>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>
        <f>IF(O99+1&lt;=MIN('Données projet'!$E$9:$E$18),O99+1,"STOP")</f>
        <v>67</v>
      </c>
      <c r="P100" s="193">
        <f t="shared" si="7"/>
        <v>0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8">
        <f>'Données projet'!A104</f>
        <v>0</v>
      </c>
      <c r="B101" s="189">
        <f>'Données projet'!D104</f>
        <v>0</v>
      </c>
      <c r="C101" s="200"/>
      <c r="D101" s="187">
        <f t="shared" si="6"/>
        <v>0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>
        <f>IF(O100+1&lt;=MIN('Données projet'!$E$9:$E$18),O100+1,"STOP")</f>
        <v>68</v>
      </c>
      <c r="P101" s="193">
        <f t="shared" si="7"/>
        <v>0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8">
        <f>'Données projet'!A105</f>
        <v>0</v>
      </c>
      <c r="B102" s="189">
        <f>'Données projet'!D105</f>
        <v>0</v>
      </c>
      <c r="C102" s="200"/>
      <c r="D102" s="187">
        <f t="shared" si="6"/>
        <v>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>
        <f>IF(O101+1&lt;=MIN('Données projet'!$E$9:$E$18),O101+1,"STOP")</f>
        <v>69</v>
      </c>
      <c r="P102" s="193">
        <f t="shared" si="7"/>
        <v>0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8">
        <f>'Données projet'!A106</f>
        <v>0</v>
      </c>
      <c r="B103" s="189">
        <f>'Données projet'!D106</f>
        <v>0</v>
      </c>
      <c r="C103" s="200"/>
      <c r="D103" s="187">
        <f t="shared" si="6"/>
        <v>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>
        <f>IF(O102+1&lt;=MIN('Données projet'!$E$9:$E$18),O102+1,"STOP")</f>
        <v>70</v>
      </c>
      <c r="P103" s="193">
        <f t="shared" si="7"/>
        <v>0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8">
        <f>'Données projet'!A107</f>
        <v>0</v>
      </c>
      <c r="B104" s="189">
        <f>'Données projet'!D107</f>
        <v>0</v>
      </c>
      <c r="C104" s="200"/>
      <c r="D104" s="187">
        <f t="shared" si="6"/>
        <v>0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>
        <f>IF(O103+1&lt;=MIN('Données projet'!$E$9:$E$18),O103+1,"STOP")</f>
        <v>71</v>
      </c>
      <c r="P104" s="193">
        <f t="shared" si="7"/>
        <v>0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>
        <f>IF(O104+1&lt;=MIN('Données projet'!$E$9:$E$18),O104+1,"STOP")</f>
        <v>72</v>
      </c>
      <c r="P105" s="193">
        <f t="shared" si="7"/>
        <v>0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>
        <f>IF(O105+1&lt;=MIN('Données projet'!$E$9:$E$18),O105+1,"STOP")</f>
        <v>73</v>
      </c>
      <c r="P106" s="193">
        <f t="shared" si="7"/>
        <v>0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2" t="str">
        <f>IF('Données projet'!B12="","",'Données projet'!B12)</f>
        <v>Charme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>
        <f>IF(O106+1&lt;=MIN('Données projet'!$E$9:$E$18),O106+1,"STOP")</f>
        <v>74</v>
      </c>
      <c r="P107" s="193">
        <f t="shared" si="7"/>
        <v>0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>
        <f>IF(O107+1&lt;=MIN('Données projet'!$E$9:$E$18),O107+1,"STOP")</f>
        <v>75</v>
      </c>
      <c r="P108" s="193">
        <f t="shared" si="7"/>
        <v>0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 t="str">
        <f>IF(O108+1&lt;=MIN('Données projet'!$E$9:$E$18),O108+1,"STOP")</f>
        <v>STOP</v>
      </c>
      <c r="P109" s="193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8">
        <f>'Données projet'!A114</f>
        <v>15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8">
        <f>'Données projet'!A115</f>
        <v>20</v>
      </c>
      <c r="B117" s="189">
        <f>'Données projet'!D115</f>
        <v>21.153846153846153</v>
      </c>
      <c r="C117" s="200">
        <v>10</v>
      </c>
      <c r="D117" s="187">
        <f t="shared" ref="D117:D135" si="8">B117*C117</f>
        <v>211.53846153846155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8">
        <f>'Données projet'!A116</f>
        <v>25</v>
      </c>
      <c r="B118" s="189">
        <f>'Données projet'!D116</f>
        <v>0</v>
      </c>
      <c r="C118" s="200"/>
      <c r="D118" s="187">
        <f t="shared" si="8"/>
        <v>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8">
        <f>'Données projet'!A117</f>
        <v>30</v>
      </c>
      <c r="B119" s="189">
        <f>'Données projet'!D117</f>
        <v>30.769230769230766</v>
      </c>
      <c r="C119" s="200">
        <v>10</v>
      </c>
      <c r="D119" s="187">
        <f t="shared" si="8"/>
        <v>307.69230769230768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8">
        <f>'Données projet'!A118</f>
        <v>35</v>
      </c>
      <c r="B120" s="189">
        <f>'Données projet'!D118</f>
        <v>0</v>
      </c>
      <c r="C120" s="200"/>
      <c r="D120" s="187">
        <f t="shared" si="8"/>
        <v>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8">
        <f>'Données projet'!A119</f>
        <v>40</v>
      </c>
      <c r="B121" s="189">
        <f>'Données projet'!D119</f>
        <v>34.615384615384613</v>
      </c>
      <c r="C121" s="200">
        <v>15</v>
      </c>
      <c r="D121" s="187">
        <f t="shared" si="8"/>
        <v>519.23076923076917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8">
        <f>'Données projet'!A120</f>
        <v>45</v>
      </c>
      <c r="B122" s="189">
        <f>'Données projet'!D120</f>
        <v>0</v>
      </c>
      <c r="C122" s="200"/>
      <c r="D122" s="187">
        <f t="shared" si="8"/>
        <v>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8">
        <f>'Données projet'!A121</f>
        <v>50</v>
      </c>
      <c r="B123" s="189">
        <f>'Données projet'!D121</f>
        <v>34.615384615384613</v>
      </c>
      <c r="C123" s="200">
        <v>20</v>
      </c>
      <c r="D123" s="187">
        <f t="shared" si="8"/>
        <v>692.30769230769226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8">
        <f>'Données projet'!A122</f>
        <v>55</v>
      </c>
      <c r="B124" s="189">
        <f>'Données projet'!D122</f>
        <v>0</v>
      </c>
      <c r="C124" s="200"/>
      <c r="D124" s="187">
        <f t="shared" si="8"/>
        <v>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8">
        <f>'Données projet'!A123</f>
        <v>60</v>
      </c>
      <c r="B125" s="189">
        <f>'Données projet'!D123</f>
        <v>33.974358974358971</v>
      </c>
      <c r="C125" s="200">
        <v>20</v>
      </c>
      <c r="D125" s="187">
        <f t="shared" si="8"/>
        <v>679.48717948717945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8">
        <f>'Données projet'!A124</f>
        <v>65</v>
      </c>
      <c r="B126" s="189">
        <f>'Données projet'!D124</f>
        <v>0</v>
      </c>
      <c r="C126" s="202"/>
      <c r="D126" s="187">
        <f t="shared" si="8"/>
        <v>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8">
        <f>'Données projet'!A125</f>
        <v>70</v>
      </c>
      <c r="B127" s="189">
        <f>'Données projet'!D125</f>
        <v>31.410256410256409</v>
      </c>
      <c r="C127" s="202">
        <v>25</v>
      </c>
      <c r="D127" s="187">
        <f t="shared" si="8"/>
        <v>785.25641025641016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8">
        <f>'Données projet'!A126</f>
        <v>75</v>
      </c>
      <c r="B128" s="189">
        <f>'Données projet'!D126</f>
        <v>0</v>
      </c>
      <c r="C128" s="202"/>
      <c r="D128" s="187">
        <f t="shared" si="8"/>
        <v>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8">
        <f>'Données projet'!A127</f>
        <v>80</v>
      </c>
      <c r="B129" s="189">
        <f>'Données projet'!D127</f>
        <v>30.128205128205128</v>
      </c>
      <c r="C129" s="202">
        <v>30</v>
      </c>
      <c r="D129" s="187">
        <f t="shared" si="8"/>
        <v>903.84615384615381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8">
        <f>'Données projet'!A128</f>
        <v>85</v>
      </c>
      <c r="B130" s="189">
        <f>'Données projet'!D128</f>
        <v>0</v>
      </c>
      <c r="C130" s="202"/>
      <c r="D130" s="187">
        <f t="shared" si="8"/>
        <v>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8">
        <f>'Données projet'!A129</f>
        <v>90</v>
      </c>
      <c r="B131" s="189">
        <f>'Données projet'!D129</f>
        <v>28.205128205128204</v>
      </c>
      <c r="C131" s="202">
        <v>35</v>
      </c>
      <c r="D131" s="187">
        <f t="shared" si="8"/>
        <v>987.17948717948718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8">
        <f>'Données projet'!A130</f>
        <v>95</v>
      </c>
      <c r="B132" s="189">
        <f>'Données projet'!D130</f>
        <v>0</v>
      </c>
      <c r="C132" s="202"/>
      <c r="D132" s="187">
        <f t="shared" si="8"/>
        <v>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8">
        <f>'Données projet'!A131</f>
        <v>100</v>
      </c>
      <c r="B133" s="189">
        <f>'Données projet'!D131</f>
        <v>26.282051282051281</v>
      </c>
      <c r="C133" s="202">
        <v>40</v>
      </c>
      <c r="D133" s="187">
        <f t="shared" si="8"/>
        <v>1051.2820512820513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8">
        <f>'Données projet'!A132</f>
        <v>110</v>
      </c>
      <c r="B134" s="189">
        <f>'Données projet'!D132</f>
        <v>25</v>
      </c>
      <c r="C134" s="202"/>
      <c r="D134" s="187">
        <f t="shared" si="8"/>
        <v>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8">
        <f>'Données projet'!A133</f>
        <v>120</v>
      </c>
      <c r="B135" s="189">
        <f>'Données projet'!D133</f>
        <v>285.89743589743591</v>
      </c>
      <c r="C135" s="202">
        <v>50</v>
      </c>
      <c r="D135" s="187">
        <f t="shared" si="8"/>
        <v>14294.871794871795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2" t="str">
        <f>IF('Données projet'!B13="","",'Données projet'!B13)</f>
        <v>Erable sycomore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10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15</v>
      </c>
      <c r="B148" s="183">
        <f>'Données projet'!D141</f>
        <v>31.5</v>
      </c>
      <c r="C148" s="200">
        <v>10</v>
      </c>
      <c r="D148" s="190">
        <f t="shared" ref="D148:D166" si="10">B148*C148</f>
        <v>315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20</v>
      </c>
      <c r="B149" s="183">
        <f>'Données projet'!D142</f>
        <v>0</v>
      </c>
      <c r="C149" s="200"/>
      <c r="D149" s="190">
        <f t="shared" si="10"/>
        <v>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25</v>
      </c>
      <c r="B150" s="183">
        <f>'Données projet'!D143</f>
        <v>70</v>
      </c>
      <c r="C150" s="200">
        <v>15</v>
      </c>
      <c r="D150" s="190">
        <f t="shared" si="10"/>
        <v>1050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30</v>
      </c>
      <c r="B151" s="183">
        <f>'Données projet'!D144</f>
        <v>0</v>
      </c>
      <c r="C151" s="200"/>
      <c r="D151" s="190">
        <f t="shared" si="10"/>
        <v>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35</v>
      </c>
      <c r="B152" s="183">
        <f>'Données projet'!D145</f>
        <v>70</v>
      </c>
      <c r="C152" s="200">
        <v>20</v>
      </c>
      <c r="D152" s="190">
        <f t="shared" si="10"/>
        <v>1400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40</v>
      </c>
      <c r="B153" s="183">
        <f>'Données projet'!D146</f>
        <v>0</v>
      </c>
      <c r="C153" s="200"/>
      <c r="D153" s="190">
        <f t="shared" si="10"/>
        <v>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45</v>
      </c>
      <c r="B154" s="183">
        <f>'Données projet'!D147</f>
        <v>59.2</v>
      </c>
      <c r="C154" s="200">
        <v>30</v>
      </c>
      <c r="D154" s="190">
        <f t="shared" si="10"/>
        <v>1776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50</v>
      </c>
      <c r="B155" s="183">
        <f>'Données projet'!D148</f>
        <v>0</v>
      </c>
      <c r="C155" s="200"/>
      <c r="D155" s="190">
        <f t="shared" si="10"/>
        <v>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55</v>
      </c>
      <c r="B156" s="183">
        <f>'Données projet'!D149</f>
        <v>34.9</v>
      </c>
      <c r="C156" s="200">
        <v>40</v>
      </c>
      <c r="D156" s="190">
        <f t="shared" si="10"/>
        <v>1396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60</v>
      </c>
      <c r="B157" s="183">
        <f>'Données projet'!D150</f>
        <v>0</v>
      </c>
      <c r="C157" s="200"/>
      <c r="D157" s="190">
        <f t="shared" si="10"/>
        <v>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65</v>
      </c>
      <c r="B158" s="183">
        <f>'Données projet'!D151</f>
        <v>27.6</v>
      </c>
      <c r="C158" s="200">
        <v>55</v>
      </c>
      <c r="D158" s="190">
        <f t="shared" si="10"/>
        <v>1518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70</v>
      </c>
      <c r="B159" s="183">
        <f>'Données projet'!D152</f>
        <v>0</v>
      </c>
      <c r="C159" s="200"/>
      <c r="D159" s="190">
        <f t="shared" si="10"/>
        <v>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75</v>
      </c>
      <c r="B160" s="183">
        <f>'Données projet'!D153</f>
        <v>0</v>
      </c>
      <c r="C160" s="200"/>
      <c r="D160" s="190">
        <f t="shared" si="10"/>
        <v>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80</v>
      </c>
      <c r="B161" s="183">
        <f>'Données projet'!D154</f>
        <v>353.8</v>
      </c>
      <c r="C161" s="200">
        <v>60</v>
      </c>
      <c r="D161" s="190">
        <f t="shared" si="10"/>
        <v>21228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3">
        <f>'Données projet'!D155</f>
        <v>0</v>
      </c>
      <c r="C162" s="200"/>
      <c r="D162" s="190">
        <f t="shared" si="10"/>
        <v>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3">
        <f>'Données projet'!D156</f>
        <v>0</v>
      </c>
      <c r="C163" s="200"/>
      <c r="D163" s="190">
        <f t="shared" si="10"/>
        <v>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3">
        <f>'Données projet'!D157</f>
        <v>0</v>
      </c>
      <c r="C164" s="200"/>
      <c r="D164" s="190">
        <f t="shared" si="10"/>
        <v>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3">
        <f>'Données projet'!D158</f>
        <v>0</v>
      </c>
      <c r="C165" s="200"/>
      <c r="D165" s="190">
        <f t="shared" si="10"/>
        <v>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3">
        <f>'Données projet'!D159</f>
        <v>0</v>
      </c>
      <c r="C166" s="200"/>
      <c r="D166" s="190">
        <f t="shared" si="10"/>
        <v>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2" t="str">
        <f>IF('Données projet'!B14="","",'Données projet'!B14)</f>
        <v>Merisier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8">
        <f>'Données projet'!A166</f>
        <v>25</v>
      </c>
      <c r="B178" s="189">
        <f>'Données projet'!D166</f>
        <v>28</v>
      </c>
      <c r="C178" s="202">
        <v>10</v>
      </c>
      <c r="D178" s="187">
        <f>B178*C178</f>
        <v>280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8">
        <f>'Données projet'!A167</f>
        <v>30</v>
      </c>
      <c r="B179" s="189">
        <f>'Données projet'!D167</f>
        <v>24</v>
      </c>
      <c r="C179" s="202">
        <v>10</v>
      </c>
      <c r="D179" s="187">
        <f t="shared" ref="D179:D197" si="11">B179*C179</f>
        <v>240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8">
        <f>'Données projet'!A168</f>
        <v>35</v>
      </c>
      <c r="B180" s="189">
        <f>'Données projet'!D168</f>
        <v>27</v>
      </c>
      <c r="C180" s="200">
        <v>15</v>
      </c>
      <c r="D180" s="187">
        <f t="shared" si="11"/>
        <v>405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8">
        <f>'Données projet'!A169</f>
        <v>40</v>
      </c>
      <c r="B181" s="189">
        <f>'Données projet'!D169</f>
        <v>32</v>
      </c>
      <c r="C181" s="200">
        <v>20</v>
      </c>
      <c r="D181" s="187">
        <f t="shared" si="11"/>
        <v>640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8">
        <f>'Données projet'!A170</f>
        <v>45</v>
      </c>
      <c r="B182" s="189">
        <f>'Données projet'!D170</f>
        <v>31</v>
      </c>
      <c r="C182" s="200">
        <v>25</v>
      </c>
      <c r="D182" s="187">
        <f t="shared" si="11"/>
        <v>775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8">
        <f>'Données projet'!A171</f>
        <v>50</v>
      </c>
      <c r="B183" s="189">
        <f>'Données projet'!D171</f>
        <v>30</v>
      </c>
      <c r="C183" s="200">
        <v>25</v>
      </c>
      <c r="D183" s="187">
        <f t="shared" si="11"/>
        <v>750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8">
        <f>'Données projet'!A172</f>
        <v>55</v>
      </c>
      <c r="B184" s="189">
        <f>'Données projet'!D172</f>
        <v>30</v>
      </c>
      <c r="C184" s="200">
        <v>40</v>
      </c>
      <c r="D184" s="187">
        <f t="shared" si="11"/>
        <v>1200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8">
        <f>'Données projet'!A173</f>
        <v>60</v>
      </c>
      <c r="B185" s="189">
        <f>'Données projet'!D173</f>
        <v>27</v>
      </c>
      <c r="C185" s="200">
        <v>45</v>
      </c>
      <c r="D185" s="187">
        <f t="shared" si="11"/>
        <v>1215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8">
        <f>'Données projet'!A174</f>
        <v>65</v>
      </c>
      <c r="B186" s="189">
        <f>'Données projet'!D174</f>
        <v>26</v>
      </c>
      <c r="C186" s="200">
        <v>50</v>
      </c>
      <c r="D186" s="187">
        <f t="shared" si="11"/>
        <v>1300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8">
        <f>'Données projet'!A175</f>
        <v>70</v>
      </c>
      <c r="B187" s="189">
        <f>'Données projet'!D175</f>
        <v>20</v>
      </c>
      <c r="C187" s="202">
        <v>60</v>
      </c>
      <c r="D187" s="187">
        <f t="shared" si="11"/>
        <v>1200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8">
        <f>'Données projet'!A176</f>
        <v>75</v>
      </c>
      <c r="B188" s="189">
        <f>'Données projet'!D176</f>
        <v>286</v>
      </c>
      <c r="C188" s="200">
        <v>80</v>
      </c>
      <c r="D188" s="187">
        <f t="shared" si="11"/>
        <v>22880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8">
        <f>'Données projet'!A177</f>
        <v>0</v>
      </c>
      <c r="B189" s="189">
        <f>'Données projet'!D177</f>
        <v>0</v>
      </c>
      <c r="C189" s="202"/>
      <c r="D189" s="187">
        <f t="shared" si="11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8">
        <f>'Données projet'!A178</f>
        <v>0</v>
      </c>
      <c r="B190" s="189">
        <f>'Données projet'!D178</f>
        <v>0</v>
      </c>
      <c r="C190" s="202"/>
      <c r="D190" s="187">
        <f t="shared" si="11"/>
        <v>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8">
        <f>'Données projet'!A179</f>
        <v>0</v>
      </c>
      <c r="B191" s="189">
        <f>'Données projet'!D179</f>
        <v>0</v>
      </c>
      <c r="C191" s="202"/>
      <c r="D191" s="187">
        <f t="shared" si="11"/>
        <v>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8">
        <f>'Données projet'!A180</f>
        <v>0</v>
      </c>
      <c r="B192" s="189">
        <f>'Données projet'!D180</f>
        <v>0</v>
      </c>
      <c r="C192" s="202"/>
      <c r="D192" s="187">
        <f t="shared" si="11"/>
        <v>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8">
        <f>'Données projet'!A181</f>
        <v>0</v>
      </c>
      <c r="B193" s="189">
        <f>'Données projet'!D181</f>
        <v>0</v>
      </c>
      <c r="C193" s="202"/>
      <c r="D193" s="187">
        <f t="shared" si="11"/>
        <v>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8">
        <f>'Données projet'!A182</f>
        <v>0</v>
      </c>
      <c r="B194" s="189">
        <f>'Données projet'!D182</f>
        <v>0</v>
      </c>
      <c r="C194" s="202"/>
      <c r="D194" s="187">
        <f t="shared" si="11"/>
        <v>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8">
        <f>'Données projet'!A183</f>
        <v>0</v>
      </c>
      <c r="B195" s="189">
        <f>'Données projet'!D183</f>
        <v>0</v>
      </c>
      <c r="C195" s="202"/>
      <c r="D195" s="187">
        <f t="shared" si="11"/>
        <v>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8">
        <f>'Données projet'!A184</f>
        <v>0</v>
      </c>
      <c r="B196" s="189">
        <f>'Données projet'!D184</f>
        <v>0</v>
      </c>
      <c r="C196" s="202"/>
      <c r="D196" s="187">
        <f t="shared" si="11"/>
        <v>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8">
        <f>'Données projet'!A185</f>
        <v>0</v>
      </c>
      <c r="B197" s="189">
        <f>'Données projet'!D185</f>
        <v>0</v>
      </c>
      <c r="C197" s="202"/>
      <c r="D197" s="187">
        <f t="shared" si="11"/>
        <v>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2" t="str">
        <f>IF('Données projet'!$B$15="","",'Données projet'!$B$15)</f>
        <v>Tilleul</v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8">
        <f>'Données projet'!A192</f>
        <v>10</v>
      </c>
      <c r="B209" s="189">
        <f>'Données projet'!D192</f>
        <v>0</v>
      </c>
      <c r="C209" s="202">
        <v>0</v>
      </c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8">
        <f>'Données projet'!A193</f>
        <v>15</v>
      </c>
      <c r="B210" s="189">
        <f>'Données projet'!D193</f>
        <v>0</v>
      </c>
      <c r="C210" s="202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8">
        <f>'Données projet'!A194</f>
        <v>20</v>
      </c>
      <c r="B211" s="189">
        <f>'Données projet'!D194</f>
        <v>35.897435897435898</v>
      </c>
      <c r="C211" s="200">
        <v>10</v>
      </c>
      <c r="D211" s="187">
        <f t="shared" si="12"/>
        <v>358.97435897435901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8">
        <f>'Données projet'!A195</f>
        <v>25</v>
      </c>
      <c r="B212" s="189">
        <f>'Données projet'!D195</f>
        <v>0</v>
      </c>
      <c r="C212" s="200">
        <v>0</v>
      </c>
      <c r="D212" s="187">
        <f t="shared" si="12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8">
        <f>'Données projet'!A196</f>
        <v>30</v>
      </c>
      <c r="B213" s="189">
        <f>'Données projet'!D196</f>
        <v>36.53846153846154</v>
      </c>
      <c r="C213" s="200">
        <v>10</v>
      </c>
      <c r="D213" s="187">
        <f t="shared" si="12"/>
        <v>365.38461538461542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8">
        <f>'Données projet'!A197</f>
        <v>35</v>
      </c>
      <c r="B214" s="189">
        <f>'Données projet'!D197</f>
        <v>0</v>
      </c>
      <c r="C214" s="200">
        <v>0</v>
      </c>
      <c r="D214" s="187">
        <f t="shared" si="12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8">
        <f>'Données projet'!A198</f>
        <v>40</v>
      </c>
      <c r="B215" s="189">
        <f>'Données projet'!D198</f>
        <v>37.179487179487175</v>
      </c>
      <c r="C215" s="200">
        <v>15</v>
      </c>
      <c r="D215" s="187">
        <f t="shared" si="12"/>
        <v>557.69230769230762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8">
        <f>'Données projet'!A199</f>
        <v>45</v>
      </c>
      <c r="B216" s="189">
        <f>'Données projet'!D199</f>
        <v>0</v>
      </c>
      <c r="C216" s="200">
        <v>0</v>
      </c>
      <c r="D216" s="187">
        <f t="shared" si="12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8">
        <f>'Données projet'!A200</f>
        <v>50</v>
      </c>
      <c r="B217" s="189">
        <f>'Données projet'!D200</f>
        <v>35.256410256410255</v>
      </c>
      <c r="C217" s="200">
        <v>20</v>
      </c>
      <c r="D217" s="187">
        <f t="shared" si="12"/>
        <v>705.12820512820508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8">
        <f>'Données projet'!A201</f>
        <v>55</v>
      </c>
      <c r="B218" s="189">
        <f>'Données projet'!D201</f>
        <v>0</v>
      </c>
      <c r="C218" s="200">
        <v>0</v>
      </c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8">
        <f>'Données projet'!A202</f>
        <v>60</v>
      </c>
      <c r="B219" s="189">
        <f>'Données projet'!D202</f>
        <v>31.410256410256409</v>
      </c>
      <c r="C219" s="200">
        <v>30</v>
      </c>
      <c r="D219" s="187">
        <f t="shared" si="12"/>
        <v>942.30769230769226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8">
        <f>'Données projet'!A203</f>
        <v>65</v>
      </c>
      <c r="B220" s="189">
        <f>'Données projet'!D203</f>
        <v>0</v>
      </c>
      <c r="C220" s="200">
        <v>0</v>
      </c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8">
        <f>'Données projet'!A204</f>
        <v>70</v>
      </c>
      <c r="B221" s="189">
        <f>'Données projet'!D204</f>
        <v>30.128205128205128</v>
      </c>
      <c r="C221" s="200">
        <v>40</v>
      </c>
      <c r="D221" s="187">
        <f t="shared" si="12"/>
        <v>1205.1282051282051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8">
        <f>'Données projet'!A205</f>
        <v>75</v>
      </c>
      <c r="B222" s="189">
        <f>'Données projet'!D205</f>
        <v>0</v>
      </c>
      <c r="C222" s="202">
        <v>0</v>
      </c>
      <c r="D222" s="187">
        <f t="shared" si="12"/>
        <v>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8">
        <f>'Données projet'!A206</f>
        <v>80</v>
      </c>
      <c r="B223" s="189">
        <f>'Données projet'!D206</f>
        <v>28.205128205128204</v>
      </c>
      <c r="C223" s="202">
        <v>50</v>
      </c>
      <c r="D223" s="187">
        <f t="shared" si="12"/>
        <v>1410.2564102564102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8">
        <f>'Données projet'!A207</f>
        <v>85</v>
      </c>
      <c r="B224" s="189">
        <f>'Données projet'!D207</f>
        <v>0</v>
      </c>
      <c r="C224" s="202">
        <v>0</v>
      </c>
      <c r="D224" s="187">
        <f t="shared" si="12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8">
        <f>'Données projet'!A208</f>
        <v>90</v>
      </c>
      <c r="B225" s="189">
        <f>'Données projet'!D208</f>
        <v>26.282051282051281</v>
      </c>
      <c r="C225" s="202">
        <v>60</v>
      </c>
      <c r="D225" s="187">
        <f t="shared" si="12"/>
        <v>1576.9230769230769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8">
        <f>'Données projet'!A209</f>
        <v>95</v>
      </c>
      <c r="B226" s="189">
        <f>'Données projet'!D209</f>
        <v>0</v>
      </c>
      <c r="C226" s="202"/>
      <c r="D226" s="187">
        <f t="shared" si="12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8">
        <f>'Données projet'!A210</f>
        <v>100</v>
      </c>
      <c r="B227" s="189">
        <f>'Données projet'!D210</f>
        <v>23.717948717948715</v>
      </c>
      <c r="C227" s="202">
        <v>65</v>
      </c>
      <c r="D227" s="187">
        <f t="shared" si="12"/>
        <v>1541.6666666666665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8">
        <f>'Données projet'!A211</f>
        <v>110</v>
      </c>
      <c r="B228" s="189">
        <f>'Données projet'!D211</f>
        <v>346.79487179487177</v>
      </c>
      <c r="C228" s="202">
        <v>70</v>
      </c>
      <c r="D228" s="187">
        <f t="shared" si="12"/>
        <v>24275.641025641024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2" t="str">
        <f>IF('Données projet'!$B$16="","",'Données projet'!$B$16)</f>
        <v>Bouleau verruqueux</v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8">
        <f>'Données projet'!A218</f>
        <v>15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8">
        <f>'Données projet'!A219</f>
        <v>20</v>
      </c>
      <c r="B241" s="189">
        <f>'Données projet'!D219</f>
        <v>15</v>
      </c>
      <c r="C241" s="202">
        <v>10</v>
      </c>
      <c r="D241" s="187">
        <f t="shared" ref="D241:D259" si="13">B241*C241</f>
        <v>150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8">
        <f>'Données projet'!A220</f>
        <v>25</v>
      </c>
      <c r="B242" s="189">
        <f>'Données projet'!D220</f>
        <v>0</v>
      </c>
      <c r="C242" s="202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8">
        <f>'Données projet'!A221</f>
        <v>30</v>
      </c>
      <c r="B243" s="189">
        <f>'Données projet'!D221</f>
        <v>21</v>
      </c>
      <c r="C243" s="202">
        <v>15</v>
      </c>
      <c r="D243" s="187">
        <f t="shared" si="13"/>
        <v>315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8">
        <f>'Données projet'!A222</f>
        <v>35</v>
      </c>
      <c r="B244" s="189">
        <f>'Données projet'!D222</f>
        <v>0</v>
      </c>
      <c r="C244" s="202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8">
        <f>'Données projet'!A223</f>
        <v>40</v>
      </c>
      <c r="B245" s="189">
        <f>'Données projet'!D223</f>
        <v>27</v>
      </c>
      <c r="C245" s="202">
        <v>20</v>
      </c>
      <c r="D245" s="187">
        <f t="shared" si="13"/>
        <v>540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8">
        <f>'Données projet'!A224</f>
        <v>45</v>
      </c>
      <c r="B246" s="189">
        <f>'Données projet'!D224</f>
        <v>0</v>
      </c>
      <c r="C246" s="202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8">
        <f>'Données projet'!A225</f>
        <v>50</v>
      </c>
      <c r="B247" s="189">
        <f>'Données projet'!D225</f>
        <v>28</v>
      </c>
      <c r="C247" s="202">
        <v>25</v>
      </c>
      <c r="D247" s="187">
        <f t="shared" si="13"/>
        <v>700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8">
        <f>'Données projet'!A226</f>
        <v>55</v>
      </c>
      <c r="B248" s="189">
        <f>'Données projet'!D226</f>
        <v>0</v>
      </c>
      <c r="C248" s="202"/>
      <c r="D248" s="187">
        <f t="shared" si="13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8">
        <f>'Données projet'!A227</f>
        <v>60</v>
      </c>
      <c r="B249" s="189">
        <f>'Données projet'!D227</f>
        <v>28</v>
      </c>
      <c r="C249" s="202">
        <v>30</v>
      </c>
      <c r="D249" s="187">
        <f t="shared" si="13"/>
        <v>840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8">
        <f>'Données projet'!A228</f>
        <v>65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8">
        <f>'Données projet'!A229</f>
        <v>70</v>
      </c>
      <c r="B251" s="189">
        <f>'Données projet'!D229</f>
        <v>28</v>
      </c>
      <c r="C251" s="202">
        <v>35</v>
      </c>
      <c r="D251" s="187">
        <f t="shared" si="13"/>
        <v>980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8">
        <f>'Données projet'!A230</f>
        <v>75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8">
        <f>'Données projet'!A231</f>
        <v>80</v>
      </c>
      <c r="B253" s="189">
        <f>'Données projet'!D231</f>
        <v>27</v>
      </c>
      <c r="C253" s="202">
        <v>40</v>
      </c>
      <c r="D253" s="187">
        <f t="shared" si="13"/>
        <v>1080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8">
        <f>'Données projet'!A232</f>
        <v>85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8">
        <f>'Données projet'!A233</f>
        <v>90</v>
      </c>
      <c r="B255" s="189">
        <f>'Données projet'!D233</f>
        <v>259</v>
      </c>
      <c r="C255" s="202">
        <v>50</v>
      </c>
      <c r="D255" s="187">
        <f t="shared" si="13"/>
        <v>12950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2" t="str">
        <f>IF('Données projet'!$B$17="","",'Données projet'!$B$17)</f>
        <v>Alisier torminal</v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8">
        <f>'Données projet'!A244</f>
        <v>20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8">
        <f>'Données projet'!A245</f>
        <v>25</v>
      </c>
      <c r="B272" s="189">
        <f>'Données projet'!D245</f>
        <v>8</v>
      </c>
      <c r="C272" s="202">
        <v>10</v>
      </c>
      <c r="D272" s="187">
        <f t="shared" ref="D272:D290" si="14">B272*C272</f>
        <v>80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8">
        <f>'Données projet'!A246</f>
        <v>30</v>
      </c>
      <c r="B273" s="189">
        <f>'Données projet'!D246</f>
        <v>0</v>
      </c>
      <c r="C273" s="202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8">
        <f>'Données projet'!A247</f>
        <v>35</v>
      </c>
      <c r="B274" s="189">
        <f>'Données projet'!D247</f>
        <v>42</v>
      </c>
      <c r="C274" s="202">
        <v>10</v>
      </c>
      <c r="D274" s="187">
        <f t="shared" si="14"/>
        <v>420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8">
        <f>'Données projet'!A248</f>
        <v>40</v>
      </c>
      <c r="B275" s="189">
        <f>'Données projet'!D248</f>
        <v>0</v>
      </c>
      <c r="C275" s="202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8">
        <f>'Données projet'!A249</f>
        <v>45</v>
      </c>
      <c r="B276" s="189">
        <f>'Données projet'!D249</f>
        <v>42</v>
      </c>
      <c r="C276" s="202">
        <v>15</v>
      </c>
      <c r="D276" s="187">
        <f t="shared" si="14"/>
        <v>630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8">
        <f>'Données projet'!A250</f>
        <v>50</v>
      </c>
      <c r="B277" s="189">
        <f>'Données projet'!D250</f>
        <v>0</v>
      </c>
      <c r="C277" s="202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8">
        <f>'Données projet'!A251</f>
        <v>55</v>
      </c>
      <c r="B278" s="189">
        <f>'Données projet'!D251</f>
        <v>42</v>
      </c>
      <c r="C278" s="202">
        <v>25</v>
      </c>
      <c r="D278" s="187">
        <f t="shared" si="14"/>
        <v>1050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8">
        <f>'Données projet'!A252</f>
        <v>65</v>
      </c>
      <c r="B279" s="189">
        <f>'Données projet'!D252</f>
        <v>42</v>
      </c>
      <c r="C279" s="202">
        <v>35</v>
      </c>
      <c r="D279" s="187">
        <f t="shared" si="14"/>
        <v>1470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8">
        <f>'Données projet'!A253</f>
        <v>75</v>
      </c>
      <c r="B280" s="189">
        <f>'Données projet'!D253</f>
        <v>42</v>
      </c>
      <c r="C280" s="202">
        <v>40</v>
      </c>
      <c r="D280" s="187">
        <f t="shared" si="14"/>
        <v>1680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8">
        <f>'Données projet'!A254</f>
        <v>85</v>
      </c>
      <c r="B281" s="189">
        <f>'Données projet'!D254</f>
        <v>42</v>
      </c>
      <c r="C281" s="202">
        <v>50</v>
      </c>
      <c r="D281" s="187">
        <f t="shared" si="14"/>
        <v>2100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8">
        <f>'Données projet'!A255</f>
        <v>95</v>
      </c>
      <c r="B282" s="189">
        <f>'Données projet'!D255</f>
        <v>42</v>
      </c>
      <c r="C282" s="202">
        <v>60</v>
      </c>
      <c r="D282" s="187">
        <f t="shared" si="14"/>
        <v>2520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8">
        <f>'Données projet'!A256</f>
        <v>105</v>
      </c>
      <c r="B283" s="189">
        <f>'Données projet'!D256</f>
        <v>41</v>
      </c>
      <c r="C283" s="200">
        <v>70</v>
      </c>
      <c r="D283" s="187">
        <f t="shared" si="14"/>
        <v>2870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8">
        <f>'Données projet'!A257</f>
        <v>115</v>
      </c>
      <c r="B284" s="189">
        <f>'Données projet'!D257</f>
        <v>37</v>
      </c>
      <c r="C284" s="200">
        <v>80</v>
      </c>
      <c r="D284" s="187">
        <f t="shared" si="14"/>
        <v>2960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8">
        <f>'Données projet'!A258</f>
        <v>125</v>
      </c>
      <c r="B285" s="189">
        <f>'Données projet'!D258</f>
        <v>33</v>
      </c>
      <c r="C285" s="200">
        <v>100</v>
      </c>
      <c r="D285" s="187">
        <f t="shared" si="14"/>
        <v>3300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8">
        <f>'Données projet'!A259</f>
        <v>135</v>
      </c>
      <c r="B286" s="189">
        <f>'Données projet'!D259</f>
        <v>29</v>
      </c>
      <c r="C286" s="200">
        <v>150</v>
      </c>
      <c r="D286" s="187">
        <f t="shared" si="14"/>
        <v>4350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8">
        <f>'Données projet'!A260</f>
        <v>145</v>
      </c>
      <c r="B287" s="189">
        <f>'Données projet'!D260</f>
        <v>0</v>
      </c>
      <c r="C287" s="200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8">
        <f>'Données projet'!A261</f>
        <v>150</v>
      </c>
      <c r="B288" s="189">
        <f>'Données projet'!D261</f>
        <v>293</v>
      </c>
      <c r="C288" s="200">
        <v>200</v>
      </c>
      <c r="D288" s="187">
        <f t="shared" si="14"/>
        <v>58600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8">
        <f>'Données projet'!A262</f>
        <v>0</v>
      </c>
      <c r="B289" s="189">
        <f>'Données projet'!D262</f>
        <v>0</v>
      </c>
      <c r="C289" s="200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8">
        <f>'Données projet'!A263</f>
        <v>0</v>
      </c>
      <c r="B290" s="189">
        <f>'Données projet'!D263</f>
        <v>0</v>
      </c>
      <c r="C290" s="200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2025-01-16T13:57:21Z</dcterms:modified>
</cp:coreProperties>
</file>