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Naudet_Bonnay (80)\Dossier d_instruction\"/>
    </mc:Choice>
  </mc:AlternateContent>
  <xr:revisionPtr revIDLastSave="0" documentId="13_ncr:1_{2B74B1E1-0696-4DB7-8AF4-38149E83B552}" xr6:coauthVersionLast="47" xr6:coauthVersionMax="47" xr10:uidLastSave="{00000000-0000-0000-0000-000000000000}"/>
  <bookViews>
    <workbookView xWindow="-108" yWindow="-108" windowWidth="23256" windowHeight="12576" tabRatio="866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Y163" i="2"/>
  <c r="ED163" i="2"/>
  <c r="FR164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Y175" i="2" s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ED194" i="2"/>
  <c r="FQ195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ED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W202" i="2"/>
  <c r="HG202" i="2"/>
  <c r="FR202" i="2"/>
  <c r="HH202" i="2"/>
  <c r="EX202" i="2"/>
  <c r="EY202" i="2" s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CS52" i="2" a="1"/>
  <c r="CS52" i="2" s="1"/>
  <c r="DN43" i="2" a="1"/>
  <c r="DN43" i="2" s="1"/>
  <c r="DN184" i="2" a="1"/>
  <c r="DN184" i="2" s="1"/>
  <c r="DN129" i="2" a="1"/>
  <c r="DN129" i="2" s="1"/>
  <c r="DN177" i="2" a="1"/>
  <c r="DN177" i="2" s="1"/>
  <c r="DN192" i="2" a="1"/>
  <c r="DN192" i="2" s="1"/>
  <c r="CS116" i="2" a="1"/>
  <c r="CS116" i="2" s="1"/>
  <c r="EI195" i="2" a="1"/>
  <c r="EI195" i="2" s="1"/>
  <c r="DN123" i="2" a="1"/>
  <c r="DN123" i="2" s="1"/>
  <c r="CS137" i="2" a="1"/>
  <c r="CS137" i="2" s="1"/>
  <c r="CS77" i="2" a="1"/>
  <c r="CS77" i="2" s="1"/>
  <c r="AH19" i="2" a="1"/>
  <c r="AH19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135" i="2" a="1"/>
  <c r="DN135" i="2" s="1"/>
  <c r="DN49" i="2" a="1"/>
  <c r="DN49" i="2" s="1"/>
  <c r="DN16" i="2" a="1"/>
  <c r="DN16" i="2" s="1"/>
  <c r="DN31" i="2" a="1"/>
  <c r="DN31" i="2" s="1"/>
  <c r="DN55" i="2" a="1"/>
  <c r="DN55" i="2" s="1"/>
  <c r="DN65" i="2" a="1"/>
  <c r="DN65" i="2" s="1"/>
  <c r="DN190" i="2" a="1"/>
  <c r="DN190" i="2" s="1"/>
  <c r="DN6" i="2" a="1"/>
  <c r="DN6" i="2" s="1"/>
  <c r="DO6" i="2" s="1"/>
  <c r="DN30" i="2" a="1"/>
  <c r="DN30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HJ202" i="2"/>
  <c r="AX200" i="2"/>
  <c r="AH163" i="2" l="1" a="1"/>
  <c r="AH163" i="2" s="1"/>
  <c r="DN103" i="2" a="1"/>
  <c r="DN103" i="2" s="1"/>
  <c r="DN188" i="2" a="1"/>
  <c r="DN188" i="2" s="1"/>
  <c r="DN153" i="2" a="1"/>
  <c r="DN153" i="2" s="1"/>
  <c r="DN113" i="2" a="1"/>
  <c r="DN113" i="2" s="1"/>
  <c r="DN29" i="2" a="1"/>
  <c r="DN29" i="2" s="1"/>
  <c r="DN137" i="2" a="1"/>
  <c r="DN137" i="2" s="1"/>
  <c r="DN155" i="2" a="1"/>
  <c r="DN155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87" i="2" a="1"/>
  <c r="DN187" i="2" s="1"/>
  <c r="DN46" i="2" a="1"/>
  <c r="DN46" i="2" s="1"/>
  <c r="DN133" i="2" a="1"/>
  <c r="DN133" i="2" s="1"/>
  <c r="DN110" i="2" a="1"/>
  <c r="DN110" i="2" s="1"/>
  <c r="DN162" i="2" a="1"/>
  <c r="DN162" i="2" s="1"/>
  <c r="DN38" i="2" a="1"/>
  <c r="DN38" i="2" s="1"/>
  <c r="DN114" i="2" a="1"/>
  <c r="DN114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56" i="2" a="1"/>
  <c r="DN56" i="2" s="1"/>
  <c r="CS129" i="2" a="1"/>
  <c r="CS129" i="2" s="1"/>
  <c r="CS120" i="2" a="1"/>
  <c r="CS120" i="2" s="1"/>
  <c r="EI198" i="2" a="1"/>
  <c r="EI198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90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06" i="2" l="1"/>
  <c r="FJ195" i="2"/>
  <c r="FJ11" i="2"/>
  <c r="FJ29" i="2"/>
  <c r="FJ104" i="2"/>
  <c r="FJ69" i="2"/>
  <c r="FJ156" i="2"/>
  <c r="FJ183" i="2"/>
  <c r="FJ182" i="2"/>
  <c r="FJ159" i="2"/>
  <c r="FJ18" i="2"/>
  <c r="FJ140" i="2"/>
  <c r="FJ83" i="2"/>
  <c r="FJ166" i="2"/>
  <c r="FJ84" i="2"/>
  <c r="FJ161" i="2"/>
  <c r="FJ63" i="2"/>
  <c r="FJ116" i="2"/>
  <c r="FJ64" i="2"/>
  <c r="FJ40" i="2"/>
  <c r="FJ101" i="2"/>
  <c r="FJ30" i="2"/>
  <c r="FJ200" i="2"/>
  <c r="FJ14" i="2"/>
  <c r="FJ105" i="2"/>
  <c r="FJ133" i="2"/>
  <c r="FJ170" i="2"/>
  <c r="FJ66" i="2"/>
  <c r="FJ26" i="2"/>
  <c r="FJ203" i="2"/>
  <c r="FJ55" i="2"/>
  <c r="FJ152" i="2"/>
  <c r="FJ100" i="2"/>
  <c r="FJ32" i="2"/>
  <c r="FJ75" i="2"/>
  <c r="FJ95" i="2"/>
  <c r="FJ181" i="2"/>
  <c r="FJ33" i="2"/>
  <c r="FJ187" i="2"/>
  <c r="FJ43" i="2"/>
  <c r="FJ201" i="2"/>
  <c r="FJ167" i="2"/>
  <c r="FJ141" i="2"/>
  <c r="FJ199" i="2"/>
  <c r="FJ108" i="2"/>
  <c r="FJ5" i="2"/>
  <c r="FJ137" i="2"/>
  <c r="FJ52" i="2"/>
  <c r="FJ177" i="2"/>
  <c r="FJ191" i="2"/>
  <c r="FJ97" i="2"/>
  <c r="FJ53" i="2"/>
  <c r="FJ92" i="2"/>
  <c r="FJ110" i="2"/>
  <c r="FJ27" i="2"/>
  <c r="FJ20" i="2"/>
  <c r="FJ88" i="2"/>
  <c r="FJ103" i="2"/>
  <c r="FJ81" i="2"/>
  <c r="FJ87" i="2"/>
  <c r="FJ153" i="2"/>
  <c r="FJ58" i="2"/>
  <c r="FJ25" i="2"/>
  <c r="FJ121" i="2"/>
  <c r="FJ36" i="2"/>
  <c r="FJ171" i="2"/>
  <c r="FJ192" i="2"/>
  <c r="FJ134" i="2"/>
  <c r="FJ78" i="2"/>
  <c r="FJ61" i="2"/>
  <c r="FJ62" i="2"/>
  <c r="FJ19" i="2"/>
  <c r="FJ202" i="2"/>
  <c r="FJ93" i="2"/>
  <c r="FJ129" i="2"/>
  <c r="FJ74" i="2"/>
  <c r="FJ194" i="2"/>
  <c r="FJ176" i="2"/>
  <c r="FJ180" i="2"/>
  <c r="FJ184" i="2"/>
  <c r="FJ165" i="2"/>
  <c r="FJ82" i="2"/>
  <c r="FJ47" i="2"/>
  <c r="FJ96" i="2"/>
  <c r="FJ89" i="2"/>
  <c r="FJ189" i="2"/>
  <c r="FJ149" i="2"/>
  <c r="FJ120" i="2"/>
  <c r="FJ178" i="2"/>
  <c r="FJ131" i="2"/>
  <c r="FJ15" i="2"/>
  <c r="FJ6" i="2"/>
  <c r="FJ34" i="2"/>
  <c r="FJ42" i="2"/>
  <c r="FJ112" i="2"/>
  <c r="FJ31" i="2"/>
  <c r="FJ102" i="2"/>
  <c r="FJ160" i="2"/>
  <c r="FJ123" i="2"/>
  <c r="FJ44" i="2"/>
  <c r="FJ90" i="2"/>
  <c r="FJ22" i="2"/>
  <c r="FJ138" i="2"/>
  <c r="FJ124" i="2"/>
  <c r="FJ41" i="2"/>
  <c r="FJ4" i="2"/>
  <c r="FJ51" i="2"/>
  <c r="FJ46" i="2"/>
  <c r="FJ17" i="2"/>
  <c r="FJ148" i="2"/>
  <c r="FJ168" i="2"/>
  <c r="FJ146" i="2"/>
  <c r="FJ127" i="2"/>
  <c r="FJ179" i="2"/>
  <c r="FJ150" i="2"/>
  <c r="FJ143" i="2"/>
  <c r="FJ80" i="2"/>
  <c r="FJ185" i="2"/>
  <c r="FJ16" i="2"/>
  <c r="FJ136" i="2"/>
  <c r="FJ169" i="2"/>
  <c r="FJ172" i="2"/>
  <c r="FJ3" i="2"/>
  <c r="C13" i="4" s="1"/>
  <c r="E13" i="4" s="1"/>
  <c r="F13" i="4" s="1"/>
  <c r="G13" i="4" s="1"/>
  <c r="L13" i="4" s="1"/>
  <c r="FJ135" i="2"/>
  <c r="FJ99" i="2"/>
  <c r="FJ85" i="2"/>
  <c r="FJ113" i="2"/>
  <c r="FJ188" i="2"/>
  <c r="FJ173" i="2"/>
  <c r="FJ67" i="2"/>
  <c r="FJ73" i="2"/>
  <c r="FJ37" i="2"/>
  <c r="FJ60" i="2"/>
  <c r="FJ10" i="2"/>
  <c r="FJ145" i="2"/>
  <c r="FJ45" i="2"/>
  <c r="FJ163" i="2"/>
  <c r="FJ54" i="2"/>
  <c r="FJ154" i="2"/>
  <c r="FJ65" i="2"/>
  <c r="FJ128" i="2"/>
  <c r="FJ142" i="2"/>
  <c r="FJ126" i="2"/>
  <c r="FJ86" i="2"/>
  <c r="FJ118" i="2"/>
  <c r="FJ76" i="2"/>
  <c r="FJ175" i="2"/>
  <c r="FJ115" i="2"/>
  <c r="FJ56" i="2"/>
  <c r="FJ72" i="2"/>
  <c r="FJ21" i="2"/>
  <c r="FJ186" i="2"/>
  <c r="FJ79" i="2"/>
  <c r="FJ39" i="2"/>
  <c r="FJ35" i="2"/>
  <c r="FJ147" i="2"/>
  <c r="FJ71" i="2"/>
  <c r="FJ48" i="2"/>
  <c r="FJ49" i="2"/>
  <c r="FJ13" i="2"/>
  <c r="FJ164" i="2"/>
  <c r="FJ38" i="2"/>
  <c r="FJ98" i="2"/>
  <c r="FJ77" i="2"/>
  <c r="FJ158" i="2"/>
  <c r="FJ70" i="2"/>
  <c r="FJ157" i="2"/>
  <c r="FJ24" i="2"/>
  <c r="FJ114" i="2"/>
  <c r="FJ162" i="2"/>
  <c r="FJ94" i="2"/>
  <c r="FJ119" i="2"/>
  <c r="FJ107" i="2"/>
  <c r="FJ125" i="2"/>
  <c r="FJ193" i="2"/>
  <c r="FJ196" i="2"/>
  <c r="FJ7" i="2"/>
  <c r="FJ68" i="2"/>
  <c r="FJ23" i="2"/>
  <c r="FJ151" i="2"/>
  <c r="FJ12" i="2"/>
  <c r="FJ111" i="2"/>
  <c r="FJ198" i="2"/>
  <c r="FJ50" i="2"/>
  <c r="FJ144" i="2"/>
  <c r="FJ117" i="2"/>
  <c r="FJ139" i="2"/>
  <c r="FJ59" i="2"/>
  <c r="FJ9" i="2"/>
  <c r="FJ91" i="2"/>
  <c r="FJ8" i="2"/>
  <c r="FJ197" i="2"/>
  <c r="FJ28" i="2"/>
  <c r="FJ130" i="2"/>
  <c r="FJ57" i="2"/>
  <c r="FJ122" i="2"/>
  <c r="FJ109" i="2"/>
  <c r="FJ174" i="2"/>
  <c r="FJ132" i="2"/>
  <c r="FJ155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Y24" i="2" l="1"/>
  <c r="CY138" i="2"/>
  <c r="CY155" i="2"/>
  <c r="CY12" i="2"/>
  <c r="CY4" i="2"/>
  <c r="CY154" i="2"/>
  <c r="CY86" i="2"/>
  <c r="CY112" i="2"/>
  <c r="CY59" i="2"/>
  <c r="CY38" i="2"/>
  <c r="CY16" i="2"/>
  <c r="CY51" i="2"/>
  <c r="CY199" i="2"/>
  <c r="CY71" i="2"/>
  <c r="CY181" i="2"/>
  <c r="CY197" i="2"/>
  <c r="CY110" i="2"/>
  <c r="CY64" i="2"/>
  <c r="CY195" i="2"/>
  <c r="CY39" i="2"/>
  <c r="CY29" i="2"/>
  <c r="CY193" i="2"/>
  <c r="CY70" i="2"/>
  <c r="CY141" i="2"/>
  <c r="CY8" i="2"/>
  <c r="CY196" i="2"/>
  <c r="CY47" i="2"/>
  <c r="CY149" i="2"/>
  <c r="CY5" i="2"/>
  <c r="CY19" i="2"/>
  <c r="CY117" i="2"/>
  <c r="CY191" i="2"/>
  <c r="CY58" i="2"/>
  <c r="CY54" i="2"/>
  <c r="CY190" i="2"/>
  <c r="CY18" i="2"/>
  <c r="CY177" i="2"/>
  <c r="CY28" i="2"/>
  <c r="CY107" i="2"/>
  <c r="CY158" i="2"/>
  <c r="CY74" i="2"/>
  <c r="CY183" i="2"/>
  <c r="CY66" i="2"/>
  <c r="CY36" i="2"/>
  <c r="CY161" i="2"/>
  <c r="CY6" i="2"/>
  <c r="CY82" i="2"/>
  <c r="CY105" i="2"/>
  <c r="CY20" i="2"/>
  <c r="CY14" i="2"/>
  <c r="CY57" i="2"/>
  <c r="CY172" i="2"/>
  <c r="CY106" i="2"/>
  <c r="CY101" i="2"/>
  <c r="CY55" i="2"/>
  <c r="CY129" i="2"/>
  <c r="CY96" i="2"/>
  <c r="CY178" i="2"/>
  <c r="CY165" i="2"/>
  <c r="CY88" i="2"/>
  <c r="CY108" i="2"/>
  <c r="CY179" i="2"/>
  <c r="CY136" i="2"/>
  <c r="CY200" i="2"/>
  <c r="CY44" i="2"/>
  <c r="CY30" i="2"/>
  <c r="CY176" i="2"/>
  <c r="CY182" i="2"/>
  <c r="CY131" i="2"/>
  <c r="CY166" i="2"/>
  <c r="CY7" i="2"/>
  <c r="CY163" i="2"/>
  <c r="CY94" i="2"/>
  <c r="CY87" i="2"/>
  <c r="CY49" i="2"/>
  <c r="CY56" i="2"/>
  <c r="CY114" i="2"/>
  <c r="CY153" i="2"/>
  <c r="CY122" i="2"/>
  <c r="CY65" i="2"/>
  <c r="CY120" i="2"/>
  <c r="CY113" i="2"/>
  <c r="CY160" i="2"/>
  <c r="CY185" i="2"/>
  <c r="CY140" i="2"/>
  <c r="CY60" i="2"/>
  <c r="CY100" i="2"/>
  <c r="CY139" i="2"/>
  <c r="CY22" i="2"/>
  <c r="CY184" i="2"/>
  <c r="CY23" i="2"/>
  <c r="CY77" i="2"/>
  <c r="CY146" i="2"/>
  <c r="CY98" i="2"/>
  <c r="CY9" i="2"/>
  <c r="CY35" i="2"/>
  <c r="CY169" i="2"/>
  <c r="CY148" i="2"/>
  <c r="CY85" i="2"/>
  <c r="CY33" i="2"/>
  <c r="CY145" i="2"/>
  <c r="CY125" i="2"/>
  <c r="CY97" i="2"/>
  <c r="CY93" i="2"/>
  <c r="CY63" i="2"/>
  <c r="CY84" i="2"/>
  <c r="CY175" i="2"/>
  <c r="CY34" i="2"/>
  <c r="CY68" i="2"/>
  <c r="CY157" i="2"/>
  <c r="CY150" i="2"/>
  <c r="CY41" i="2"/>
  <c r="CY124" i="2"/>
  <c r="CY189" i="2"/>
  <c r="CY167" i="2"/>
  <c r="CY194" i="2"/>
  <c r="CY201" i="2"/>
  <c r="CY46" i="2"/>
  <c r="CY11" i="2"/>
  <c r="CY170" i="2"/>
  <c r="CY174" i="2"/>
  <c r="CY75" i="2"/>
  <c r="CY81" i="2"/>
  <c r="CY13" i="2"/>
  <c r="CY147" i="2"/>
  <c r="CY137" i="2"/>
  <c r="CY168" i="2"/>
  <c r="CY188" i="2"/>
  <c r="CY187" i="2"/>
  <c r="CY27" i="2"/>
  <c r="CY45" i="2"/>
  <c r="CY134" i="2"/>
  <c r="CY91" i="2"/>
  <c r="CY152" i="2"/>
  <c r="CY202" i="2"/>
  <c r="CY162" i="2"/>
  <c r="CY115" i="2"/>
  <c r="CY127" i="2"/>
  <c r="CY102" i="2"/>
  <c r="CY180" i="2"/>
  <c r="CY130" i="2"/>
  <c r="CY52" i="2"/>
  <c r="CY186" i="2"/>
  <c r="CY26" i="2"/>
  <c r="CY103" i="2"/>
  <c r="CY83" i="2"/>
  <c r="CY109" i="2"/>
  <c r="CY128" i="2"/>
  <c r="CY21" i="2"/>
  <c r="CY73" i="2"/>
  <c r="CY111" i="2"/>
  <c r="CY48" i="2"/>
  <c r="CY25" i="2"/>
  <c r="CY42" i="2"/>
  <c r="CY142" i="2"/>
  <c r="CY37" i="2"/>
  <c r="CY198" i="2"/>
  <c r="CY50" i="2"/>
  <c r="CY119" i="2"/>
  <c r="CY171" i="2"/>
  <c r="CY78" i="2"/>
  <c r="CY80" i="2"/>
  <c r="CY143" i="2"/>
  <c r="CY164" i="2"/>
  <c r="CY67" i="2"/>
  <c r="CY133" i="2"/>
  <c r="CY17" i="2"/>
  <c r="CY76" i="2"/>
  <c r="CY173" i="2"/>
  <c r="CY151" i="2"/>
  <c r="CY156" i="2"/>
  <c r="CY72" i="2"/>
  <c r="CY126" i="2"/>
  <c r="CY53" i="2"/>
  <c r="CY61" i="2"/>
  <c r="CY121" i="2"/>
  <c r="CY116" i="2"/>
  <c r="CY132" i="2"/>
  <c r="CY3" i="2"/>
  <c r="C10" i="4" s="1"/>
  <c r="E10" i="4" s="1"/>
  <c r="F10" i="4" s="1"/>
  <c r="G10" i="4" s="1"/>
  <c r="L10" i="4" s="1"/>
  <c r="CY135" i="2"/>
  <c r="CY92" i="2"/>
  <c r="CY144" i="2"/>
  <c r="CY95" i="2"/>
  <c r="CY89" i="2"/>
  <c r="CY79" i="2"/>
  <c r="CY118" i="2"/>
  <c r="CY31" i="2"/>
  <c r="CY62" i="2"/>
  <c r="CY90" i="2"/>
  <c r="CY43" i="2"/>
  <c r="CY15" i="2"/>
  <c r="CY123" i="2"/>
  <c r="CY99" i="2"/>
  <c r="CY192" i="2"/>
  <c r="CY203" i="2"/>
  <c r="CY159" i="2"/>
  <c r="CY10" i="2"/>
  <c r="CY40" i="2"/>
  <c r="CY69" i="2"/>
  <c r="CY104" i="2"/>
  <c r="CY32" i="2"/>
  <c r="DT14" i="2"/>
  <c r="DT199" i="2"/>
  <c r="DT37" i="2"/>
  <c r="DT161" i="2"/>
  <c r="DT34" i="2"/>
  <c r="DT55" i="2"/>
  <c r="DT131" i="2"/>
  <c r="DT60" i="2"/>
  <c r="DT12" i="2"/>
  <c r="DT196" i="2"/>
  <c r="DT74" i="2"/>
  <c r="DT33" i="2"/>
  <c r="DT190" i="2"/>
  <c r="DT123" i="2"/>
  <c r="DT169" i="2"/>
  <c r="DT151" i="2"/>
  <c r="DT78" i="2"/>
  <c r="DT106" i="2"/>
  <c r="DT46" i="2"/>
  <c r="DT198" i="2"/>
  <c r="DT121" i="2"/>
  <c r="DT111" i="2"/>
  <c r="DT94" i="2"/>
  <c r="DT153" i="2"/>
  <c r="DT92" i="2"/>
  <c r="DT95" i="2"/>
  <c r="DT165" i="2"/>
  <c r="DT7" i="2"/>
  <c r="DT166" i="2"/>
  <c r="DT172" i="2"/>
  <c r="DT122" i="2"/>
  <c r="DT162" i="2"/>
  <c r="DT184" i="2"/>
  <c r="DT203" i="2"/>
  <c r="DT129" i="2"/>
  <c r="DT44" i="2"/>
  <c r="DT128" i="2"/>
  <c r="DT91" i="2"/>
  <c r="DT30" i="2"/>
  <c r="DT186" i="2"/>
  <c r="DT85" i="2"/>
  <c r="DT144" i="2"/>
  <c r="DT124" i="2"/>
  <c r="DT182" i="2"/>
  <c r="DT10" i="2"/>
  <c r="DT41" i="2"/>
  <c r="DT179" i="2"/>
  <c r="DT47" i="2"/>
  <c r="DT147" i="2"/>
  <c r="DT173" i="2"/>
  <c r="DT9" i="2"/>
  <c r="DT38" i="2"/>
  <c r="DT109" i="2"/>
  <c r="DT53" i="2"/>
  <c r="DT98" i="2"/>
  <c r="DT100" i="2"/>
  <c r="DT145" i="2"/>
  <c r="DT170" i="2"/>
  <c r="DT181" i="2"/>
  <c r="DT31" i="2"/>
  <c r="DT120" i="2"/>
  <c r="DT164" i="2"/>
  <c r="DT110" i="2"/>
  <c r="DT15" i="2"/>
  <c r="DT17" i="2"/>
  <c r="DT20" i="2"/>
  <c r="DT88" i="2"/>
  <c r="DT21" i="2"/>
  <c r="DT80" i="2"/>
  <c r="DT108" i="2"/>
  <c r="DT107" i="2"/>
  <c r="DT49" i="2"/>
  <c r="DT116" i="2"/>
  <c r="DT137" i="2"/>
  <c r="DT152" i="2"/>
  <c r="DT143" i="2"/>
  <c r="DT154" i="2"/>
  <c r="DT56" i="2"/>
  <c r="DT126" i="2"/>
  <c r="DT141" i="2"/>
  <c r="DT200" i="2"/>
  <c r="DT26" i="2"/>
  <c r="DT89" i="2"/>
  <c r="DT71" i="2"/>
  <c r="DT76" i="2"/>
  <c r="DT194" i="2"/>
  <c r="DT130" i="2"/>
  <c r="DT176" i="2"/>
  <c r="DT8" i="2"/>
  <c r="DT61" i="2"/>
  <c r="DT188" i="2"/>
  <c r="DT87" i="2"/>
  <c r="DT105" i="2"/>
  <c r="DT77" i="2"/>
  <c r="DT82" i="2"/>
  <c r="DT167" i="2"/>
  <c r="DT127" i="2"/>
  <c r="DT69" i="2"/>
  <c r="DT86" i="2"/>
  <c r="DT202" i="2"/>
  <c r="DT119" i="2"/>
  <c r="DT96" i="2"/>
  <c r="DT79" i="2"/>
  <c r="DT99" i="2"/>
  <c r="DT25" i="2"/>
  <c r="DT178" i="2"/>
  <c r="DT72" i="2"/>
  <c r="DT83" i="2"/>
  <c r="DT197" i="2"/>
  <c r="DT157" i="2"/>
  <c r="DT35" i="2"/>
  <c r="DT93" i="2"/>
  <c r="DT97" i="2"/>
  <c r="DT118" i="2"/>
  <c r="DT24" i="2"/>
  <c r="DT150" i="2"/>
  <c r="DT159" i="2"/>
  <c r="DT28" i="2"/>
  <c r="DT183" i="2"/>
  <c r="DT134" i="2"/>
  <c r="DT187" i="2"/>
  <c r="DT52" i="2"/>
  <c r="DT180" i="2"/>
  <c r="DT125" i="2"/>
  <c r="DT6" i="2"/>
  <c r="DT112" i="2"/>
  <c r="DT19" i="2"/>
  <c r="DT103" i="2"/>
  <c r="DT140" i="2"/>
  <c r="DT32" i="2"/>
  <c r="DT66" i="2"/>
  <c r="DT189" i="2"/>
  <c r="DT63" i="2"/>
  <c r="DT149" i="2"/>
  <c r="DT168" i="2"/>
  <c r="DT132" i="2"/>
  <c r="DT142" i="2"/>
  <c r="DT57" i="2"/>
  <c r="DT114" i="2"/>
  <c r="DT27" i="2"/>
  <c r="DT67" i="2"/>
  <c r="DT42" i="2"/>
  <c r="DT193" i="2"/>
  <c r="DT59" i="2"/>
  <c r="DT62" i="2"/>
  <c r="DT138" i="2"/>
  <c r="DT101" i="2"/>
  <c r="DT171" i="2"/>
  <c r="DT5" i="2"/>
  <c r="DT65" i="2"/>
  <c r="DT177" i="2"/>
  <c r="DT201" i="2"/>
  <c r="DT40" i="2"/>
  <c r="DT146" i="2"/>
  <c r="DT191" i="2"/>
  <c r="DT73" i="2"/>
  <c r="DT90" i="2"/>
  <c r="DT45" i="2"/>
  <c r="DT104" i="2"/>
  <c r="DT156" i="2"/>
  <c r="DT23" i="2"/>
  <c r="DT39" i="2"/>
  <c r="DT75" i="2"/>
  <c r="DT139" i="2"/>
  <c r="DT51" i="2"/>
  <c r="DT160" i="2"/>
  <c r="DT68" i="2"/>
  <c r="DT13" i="2"/>
  <c r="DT115" i="2"/>
  <c r="DT84" i="2"/>
  <c r="DT81" i="2"/>
  <c r="DT70" i="2"/>
  <c r="DT43" i="2"/>
  <c r="DT58" i="2"/>
  <c r="DT158" i="2"/>
  <c r="DT117" i="2"/>
  <c r="DT174" i="2"/>
  <c r="DT102" i="2"/>
  <c r="DT148" i="2"/>
  <c r="DT54" i="2"/>
  <c r="DT3" i="2"/>
  <c r="C11" i="4" s="1"/>
  <c r="E11" i="4" s="1"/>
  <c r="F11" i="4" s="1"/>
  <c r="G11" i="4" s="1"/>
  <c r="L11" i="4" s="1"/>
  <c r="DT113" i="2"/>
  <c r="DT64" i="2"/>
  <c r="DT136" i="2"/>
  <c r="DT22" i="2"/>
  <c r="DT16" i="2"/>
  <c r="DT48" i="2"/>
  <c r="DT50" i="2"/>
  <c r="DT135" i="2"/>
  <c r="DT133" i="2"/>
  <c r="DT195" i="2"/>
  <c r="DT192" i="2"/>
  <c r="DT11" i="2"/>
  <c r="DT185" i="2"/>
  <c r="DT36" i="2"/>
  <c r="DT29" i="2"/>
  <c r="DT18" i="2"/>
  <c r="DT4" i="2"/>
  <c r="DT155" i="2"/>
  <c r="DT163" i="2"/>
  <c r="DT175" i="2"/>
  <c r="CD50" i="2"/>
  <c r="CD137" i="2"/>
  <c r="CD176" i="2"/>
  <c r="CD141" i="2"/>
  <c r="CD167" i="2"/>
  <c r="CD70" i="2"/>
  <c r="CD25" i="2"/>
  <c r="CD17" i="2"/>
  <c r="CD74" i="2"/>
  <c r="CD59" i="2"/>
  <c r="CD11" i="2"/>
  <c r="CD73" i="2"/>
  <c r="CD58" i="2"/>
  <c r="CD42" i="2"/>
  <c r="CD193" i="2"/>
  <c r="CD96" i="2"/>
  <c r="CD101" i="2"/>
  <c r="CD12" i="2"/>
  <c r="CD48" i="2"/>
  <c r="CD108" i="2"/>
  <c r="CD187" i="2"/>
  <c r="CD198" i="2"/>
  <c r="CD168" i="2"/>
  <c r="CD34" i="2"/>
  <c r="CD115" i="2"/>
  <c r="CD98" i="2"/>
  <c r="CD36" i="2"/>
  <c r="CD171" i="2"/>
  <c r="CD45" i="2"/>
  <c r="CD5" i="2"/>
  <c r="CD150" i="2"/>
  <c r="CD26" i="2"/>
  <c r="CD93" i="2"/>
  <c r="CD178" i="2"/>
  <c r="CD166" i="2"/>
  <c r="CD76" i="2"/>
  <c r="CD22" i="2"/>
  <c r="CD102" i="2"/>
  <c r="CD72" i="2"/>
  <c r="CD67" i="2"/>
  <c r="CD191" i="2"/>
  <c r="CD139" i="2"/>
  <c r="CD107" i="2"/>
  <c r="CD52" i="2"/>
  <c r="CD92" i="2"/>
  <c r="CD200" i="2"/>
  <c r="CD157" i="2"/>
  <c r="CD47" i="2"/>
  <c r="CD203" i="2"/>
  <c r="CD81" i="2"/>
  <c r="CD151" i="2"/>
  <c r="CD130" i="2"/>
  <c r="CD165" i="2"/>
  <c r="CD55" i="2"/>
  <c r="CD158" i="2"/>
  <c r="CD94" i="2"/>
  <c r="CD21" i="2"/>
  <c r="CD175" i="2"/>
  <c r="CD129" i="2"/>
  <c r="CD14" i="2"/>
  <c r="CD31" i="2"/>
  <c r="CD37" i="2"/>
  <c r="CD133" i="2"/>
  <c r="CD91" i="2"/>
  <c r="CD43" i="2"/>
  <c r="CD44" i="2"/>
  <c r="CD181" i="2"/>
  <c r="CD10" i="2"/>
  <c r="CD54" i="2"/>
  <c r="CD18" i="2"/>
  <c r="CD177" i="2"/>
  <c r="CD145" i="2"/>
  <c r="CD66" i="2"/>
  <c r="CD119" i="2"/>
  <c r="CD127" i="2"/>
  <c r="CD173" i="2"/>
  <c r="CD116" i="2"/>
  <c r="CD23" i="2"/>
  <c r="CD56" i="2"/>
  <c r="CD126" i="2"/>
  <c r="CD77" i="2"/>
  <c r="CD109" i="2"/>
  <c r="CD33" i="2"/>
  <c r="CD140" i="2"/>
  <c r="CD80" i="2"/>
  <c r="CD57" i="2"/>
  <c r="CD104" i="2"/>
  <c r="CD148" i="2"/>
  <c r="CD118" i="2"/>
  <c r="CD95" i="2"/>
  <c r="CD155" i="2"/>
  <c r="CD64" i="2"/>
  <c r="CD19" i="2"/>
  <c r="CD4" i="2"/>
  <c r="CD123" i="2"/>
  <c r="CD164" i="2"/>
  <c r="CD30" i="2"/>
  <c r="CD103" i="2"/>
  <c r="CD159" i="2"/>
  <c r="CD110" i="2"/>
  <c r="CD192" i="2"/>
  <c r="CD97" i="2"/>
  <c r="CD100" i="2"/>
  <c r="CD202" i="2"/>
  <c r="CD201" i="2"/>
  <c r="CD61" i="2"/>
  <c r="CD170" i="2"/>
  <c r="CD75" i="2"/>
  <c r="CD41" i="2"/>
  <c r="CD174" i="2"/>
  <c r="CD138" i="2"/>
  <c r="CD125" i="2"/>
  <c r="CD196" i="2"/>
  <c r="CD197" i="2"/>
  <c r="CD51" i="2"/>
  <c r="CD195" i="2"/>
  <c r="CD114" i="2"/>
  <c r="CD183" i="2"/>
  <c r="CD16" i="2"/>
  <c r="CD142" i="2"/>
  <c r="CD143" i="2"/>
  <c r="CD185" i="2"/>
  <c r="CD86" i="2"/>
  <c r="CD117" i="2"/>
  <c r="CD188" i="2"/>
  <c r="CD172" i="2"/>
  <c r="CD194" i="2"/>
  <c r="CD132" i="2"/>
  <c r="CD79" i="2"/>
  <c r="CD112" i="2"/>
  <c r="CD149" i="2"/>
  <c r="CD152" i="2"/>
  <c r="CD135" i="2"/>
  <c r="CD24" i="2"/>
  <c r="CD147" i="2"/>
  <c r="CD39" i="2"/>
  <c r="CD60" i="2"/>
  <c r="CD199" i="2"/>
  <c r="CD122" i="2"/>
  <c r="CD89" i="2"/>
  <c r="CD182" i="2"/>
  <c r="CD84" i="2"/>
  <c r="CD40" i="2"/>
  <c r="CD68" i="2"/>
  <c r="CD65" i="2"/>
  <c r="CD85" i="2"/>
  <c r="CD156" i="2"/>
  <c r="CD163" i="2"/>
  <c r="CD87" i="2"/>
  <c r="CD153" i="2"/>
  <c r="CD71" i="2"/>
  <c r="CD3" i="2"/>
  <c r="C9" i="4" s="1"/>
  <c r="E9" i="4" s="1"/>
  <c r="F9" i="4" s="1"/>
  <c r="G9" i="4" s="1"/>
  <c r="L9" i="4" s="1"/>
  <c r="CD28" i="2"/>
  <c r="CD190" i="2"/>
  <c r="CD180" i="2"/>
  <c r="CD124" i="2"/>
  <c r="CD13" i="2"/>
  <c r="CD121" i="2"/>
  <c r="CD154" i="2"/>
  <c r="CD106" i="2"/>
  <c r="CD146" i="2"/>
  <c r="CD35" i="2"/>
  <c r="CD113" i="2"/>
  <c r="CD62" i="2"/>
  <c r="CD169" i="2"/>
  <c r="CD162" i="2"/>
  <c r="CD120" i="2"/>
  <c r="CD32" i="2"/>
  <c r="CD189" i="2"/>
  <c r="CD186" i="2"/>
  <c r="CD111" i="2"/>
  <c r="CD63" i="2"/>
  <c r="CD128" i="2"/>
  <c r="CD8" i="2"/>
  <c r="CD38" i="2"/>
  <c r="CD20" i="2"/>
  <c r="CD184" i="2"/>
  <c r="CD131" i="2"/>
  <c r="CD7" i="2"/>
  <c r="CD90" i="2"/>
  <c r="CD179" i="2"/>
  <c r="CD15" i="2"/>
  <c r="CD69" i="2"/>
  <c r="CD161" i="2"/>
  <c r="CD144" i="2"/>
  <c r="CD27" i="2"/>
  <c r="CD83" i="2"/>
  <c r="CD136" i="2"/>
  <c r="CD46" i="2"/>
  <c r="CD49" i="2"/>
  <c r="CD88" i="2"/>
  <c r="CD6" i="2"/>
  <c r="CD134" i="2"/>
  <c r="CD53" i="2"/>
  <c r="CD99" i="2"/>
  <c r="CD82" i="2"/>
  <c r="CD105" i="2"/>
  <c r="CD160" i="2"/>
  <c r="CD78" i="2"/>
  <c r="CD29" i="2"/>
  <c r="CD9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<sst xmlns="http://schemas.openxmlformats.org/spreadsheetml/2006/main" count="1187" uniqueCount="328">
  <si>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</si>
  <si>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</si>
  <si>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</si>
  <si>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</si>
  <si>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</si>
  <si>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</si>
  <si>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</si>
  <si>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</si>
  <si>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</si>
  <si>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</si>
  <si>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</si>
  <si>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</si>
  <si>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</si>
  <si>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</si>
  <si>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</si>
  <si>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</si>
  <si>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</si>
  <si>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</si>
  <si>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</si>
  <si>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</si>
  <si>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</si>
  <si>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</si>
  <si>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</si>
  <si>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</si>
  <si>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</si>
  <si>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</si>
  <si>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</si>
  <si>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</si>
  <si>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</si>
  <si>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</si>
  <si>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</si>
  <si>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</si>
  <si>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</si>
  <si>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</si>
  <si>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</si>
  <si>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</si>
  <si>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</si>
  <si>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</si>
  <si>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</si>
  <si>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</si>
  <si>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</si>
  <si>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</si>
  <si>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</si>
  <si>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</si>
  <si>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</si>
  <si>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</si>
  <si>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</si>
  <si>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</si>
  <si>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</si>
  <si>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</si>
  <si>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</si>
  <si>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</si>
  <si>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</si>
  <si>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</si>
  <si>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</si>
  <si>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</si>
  <si>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</si>
  <si>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</si>
  <si>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</si>
  <si>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</si>
  <si>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</si>
  <si>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</si>
  <si>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</si>
  <si>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</si>
  <si>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</si>
  <si>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</si>
  <si>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</si>
  <si>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</si>
  <si>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</si>
  <si>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</si>
  <si>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</si>
  <si>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</si>
  <si>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</si>
  <si>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</si>
  <si>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</si>
  <si>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</si>
  <si>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</si>
  <si>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</si>
  <si>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</si>
  <si>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</si>
  <si>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</si>
  <si>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</si>
  <si>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</si>
  <si>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</si>
  <si>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</si>
  <si>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</si>
  <si>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</si>
  <si>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</si>
  <si>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</si>
  <si>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</si>
  <si>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</si>
  <si>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</si>
  <si>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</si>
  <si>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</si>
  <si>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</si>
  <si>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</si>
  <si>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</si>
  <si>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</si>
  <si>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</si>
  <si>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</si>
  <si>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</si>
  <si>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</si>
  <si>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</si>
  <si>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</si>
  <si>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</si>
  <si>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</si>
  <si>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</si>
  <si>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</si>
  <si>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</si>
  <si>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</si>
  <si>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</si>
  <si>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</si>
  <si>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</si>
  <si>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</si>
  <si>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</si>
  <si>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</si>
  <si>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</si>
  <si>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</si>
  <si>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</si>
  <si>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</si>
  <si>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</si>
  <si>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</si>
  <si>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</si>
  <si>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</si>
  <si>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</si>
  <si>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</si>
  <si>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</si>
  <si>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</si>
  <si>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</si>
  <si>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</si>
  <si>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</si>
  <si>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</si>
  <si>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</si>
  <si>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</si>
  <si>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</si>
  <si>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</si>
  <si>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</si>
  <si>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</si>
  <si>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</si>
  <si>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</si>
  <si>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</si>
  <si>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</si>
  <si>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</si>
  <si>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</si>
  <si>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</si>
  <si>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</si>
  <si>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</si>
  <si>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</si>
  <si>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</si>
  <si>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</si>
  <si>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</si>
  <si>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</si>
  <si>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</si>
  <si>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</si>
  <si>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</si>
  <si>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</si>
  <si>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</si>
  <si>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</si>
  <si>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</si>
  <si>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</si>
  <si>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</si>
  <si>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</si>
  <si>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</si>
  <si>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</si>
  <si>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</si>
  <si>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</si>
  <si>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</si>
  <si>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</si>
  <si>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</si>
  <si>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</si>
  <si>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</si>
  <si>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</si>
  <si>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</si>
  <si>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</si>
  <si>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</si>
  <si>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</si>
  <si>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</si>
  <si>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</si>
  <si>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</si>
  <si>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</si>
  <si>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</si>
  <si>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</si>
  <si>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</si>
  <si>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</si>
  <si>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</si>
  <si>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</si>
  <si>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</si>
  <si>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</si>
  <si>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</si>
  <si>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</si>
  <si>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</si>
  <si>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</si>
  <si>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</si>
  <si>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</si>
  <si>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</si>
  <si>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</si>
  <si>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</si>
  <si>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</si>
  <si>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</si>
  <si>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</si>
  <si>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</si>
  <si>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</si>
  <si>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</si>
  <si>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</si>
  <si>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</si>
  <si>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</si>
  <si>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</si>
  <si>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</si>
  <si>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</si>
  <si>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</si>
  <si>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</si>
  <si>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</si>
  <si>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</si>
  <si>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</si>
  <si>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</si>
  <si>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</si>
  <si>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</si>
  <si>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</si>
  <si>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</si>
  <si>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</si>
  <si>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</si>
  <si>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</si>
  <si>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</si>
  <si>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</si>
  <si>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</si>
  <si>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</si>
  <si>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</si>
  <si>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</si>
  <si>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</si>
  <si>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</si>
  <si>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</si>
  <si>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</si>
  <si>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</si>
  <si>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</si>
  <si>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</si>
  <si>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</si>
  <si>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</si>
  <si>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</si>
  <si>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</si>
  <si>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</si>
  <si>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</si>
  <si>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</si>
  <si>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</si>
  <si>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</si>
  <si>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</si>
  <si>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</si>
  <si>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</si>
  <si>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</si>
  <si>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</si>
  <si>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</si>
  <si>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</si>
  <si>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</si>
  <si>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</si>
  <si>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</si>
  <si>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</si>
  <si>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</si>
  <si>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</si>
  <si>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</si>
  <si>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</si>
  <si>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</si>
  <si>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</si>
  <si>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</si>
  <si>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</si>
  <si>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</si>
  <si>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</si>
  <si>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</si>
  <si>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</si>
  <si>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</si>
  <si>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</si>
  <si>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</si>
  <si>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</si>
  <si>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</si>
  <si>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</si>
  <si>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</si>
  <si>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</si>
  <si>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</si>
  <si>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</si>
  <si>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</si>
  <si>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</si>
  <si>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</si>
  <si>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</si>
  <si>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</si>
  <si>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</si>
  <si>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</si>
  <si>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</si>
  <si>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</si>
  <si>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</si>
  <si>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</si>
  <si>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</si>
  <si>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</si>
  <si>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</si>
  <si>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</si>
  <si>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</si>
  <si>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</si>
  <si>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</si>
  <si>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</si>
  <si>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</si>
  <si>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</si>
  <si>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</si>
  <si>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</si>
  <si>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</si>
  <si>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</si>
  <si>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</si>
  <si>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</si>
  <si>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</si>
  <si>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</si>
  <si>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</si>
  <si>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</si>
  <si>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</si>
  <si>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</si>
  <si>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</si>
  <si>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</si>
  <si>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</si>
  <si>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</si>
  <si>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</si>
  <si>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</si>
  <si>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</si>
  <si>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</si>
  <si>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</si>
  <si>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</si>
  <si>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</si>
  <si>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</si>
  <si>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</si>
  <si>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</si>
  <si>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</si>
  <si>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classe 1/5</t>
  </si>
  <si>
    <t>classe 2/5</t>
  </si>
  <si>
    <t>Equivalent Peuplier Diva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</si>
</sst>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1.4377206581747635</c:v>
                </c:pt>
                <c:pt idx="2">
                  <c:v>1.6869107492739737</c:v>
                </c:pt>
                <c:pt idx="3">
                  <c:v>1.9794540498472124</c:v>
                </c:pt>
                <c:pt idx="4">
                  <c:v>2.32291986509308</c:v>
                </c:pt>
                <c:pt idx="5">
                  <c:v>2.726203488604082</c:v>
                </c:pt>
                <c:pt idx="6">
                  <c:v>3.199759212006402</c:v>
                </c:pt>
                <c:pt idx="7">
                  <c:v>3.7558743983793579</c:v>
                </c:pt>
                <c:pt idx="8">
                  <c:v>4.4089918754319024</c:v>
                </c:pt>
                <c:pt idx="9">
                  <c:v>5.1760891896651691</c:v>
                </c:pt>
                <c:pt idx="10">
                  <c:v>6.0771247761632603</c:v>
                </c:pt>
                <c:pt idx="11">
                  <c:v>7.1355628808147005</c:v>
                </c:pt>
                <c:pt idx="12">
                  <c:v>8.378991170491787</c:v>
                </c:pt>
                <c:pt idx="13">
                  <c:v>9.83984743834616</c:v>
                </c:pt>
                <c:pt idx="14">
                  <c:v>11.556274722302414</c:v>
                </c:pt>
                <c:pt idx="15">
                  <c:v>13.573127583273013</c:v>
                </c:pt>
                <c:pt idx="16">
                  <c:v>15.943156327756114</c:v>
                </c:pt>
                <c:pt idx="17">
                  <c:v>18.728400715938637</c:v>
                </c:pt>
                <c:pt idx="18">
                  <c:v>22.001830299220078</c:v>
                </c:pt>
                <c:pt idx="19">
                  <c:v>25.849275131059283</c:v>
                </c:pt>
                <c:pt idx="20">
                  <c:v>30.371698370020116</c:v>
                </c:pt>
                <c:pt idx="21">
                  <c:v>35.687871453399147</c:v>
                </c:pt>
                <c:pt idx="22">
                  <c:v>41.937523310830301</c:v>
                </c:pt>
                <c:pt idx="23">
                  <c:v>49.285047800875581</c:v>
                </c:pt>
                <c:pt idx="24">
                  <c:v>57.923868532938087</c:v>
                </c:pt>
                <c:pt idx="25">
                  <c:v>68.081577886310939</c:v>
                </c:pt>
                <c:pt idx="26">
                  <c:v>80.025987834536735</c:v>
                </c:pt>
                <c:pt idx="27">
                  <c:v>94.072254688474018</c:v>
                </c:pt>
                <c:pt idx="28">
                  <c:v>110.59126874802261</c:v>
                </c:pt>
                <c:pt idx="29">
                  <c:v>130.01953388132486</c:v>
                </c:pt>
                <c:pt idx="30">
                  <c:v>152.87080215212242</c:v>
                </c:pt>
                <c:pt idx="31">
                  <c:v>169.65915113688018</c:v>
                </c:pt>
                <c:pt idx="32">
                  <c:v>186.40835894763052</c:v>
                </c:pt>
                <c:pt idx="33">
                  <c:v>203.12243907508991</c:v>
                </c:pt>
                <c:pt idx="34">
                  <c:v>219.80468967561649</c:v>
                </c:pt>
                <c:pt idx="35">
                  <c:v>236.45786689034392</c:v>
                </c:pt>
                <c:pt idx="36">
                  <c:v>253.08430665513359</c:v>
                </c:pt>
                <c:pt idx="37">
                  <c:v>269.68601275966461</c:v>
                </c:pt>
                <c:pt idx="38">
                  <c:v>286.26472205280169</c:v>
                </c:pt>
                <c:pt idx="39">
                  <c:v>302.82195373285214</c:v>
                </c:pt>
                <c:pt idx="40">
                  <c:v>319.359047282863</c:v>
                </c:pt>
                <c:pt idx="41">
                  <c:v>335.87719213129731</c:v>
                </c:pt>
                <c:pt idx="42">
                  <c:v>352.37745116940761</c:v>
                </c:pt>
                <c:pt idx="43">
                  <c:v>263.88557086776916</c:v>
                </c:pt>
                <c:pt idx="44">
                  <c:v>281.04264718908837</c:v>
                </c:pt>
                <c:pt idx="45">
                  <c:v>298.17625094301241</c:v>
                </c:pt>
                <c:pt idx="46">
                  <c:v>315.28792051721973</c:v>
                </c:pt>
                <c:pt idx="47">
                  <c:v>332.37901367223782</c:v>
                </c:pt>
                <c:pt idx="48">
                  <c:v>349.45073714165352</c:v>
                </c:pt>
                <c:pt idx="49">
                  <c:v>366.50417014279401</c:v>
                </c:pt>
                <c:pt idx="50">
                  <c:v>383.5402832813997</c:v>
                </c:pt>
                <c:pt idx="51">
                  <c:v>293.4198752951807</c:v>
                </c:pt>
                <c:pt idx="52">
                  <c:v>309.82259987136587</c:v>
                </c:pt>
                <c:pt idx="53">
                  <c:v>326.20605072251124</c:v>
                </c:pt>
                <c:pt idx="54">
                  <c:v>342.5713319791501</c:v>
                </c:pt>
                <c:pt idx="55">
                  <c:v>358.91943367247535</c:v>
                </c:pt>
                <c:pt idx="56">
                  <c:v>375.25124829375051</c:v>
                </c:pt>
                <c:pt idx="57">
                  <c:v>391.56758431956655</c:v>
                </c:pt>
                <c:pt idx="58">
                  <c:v>407.86917736468848</c:v>
                </c:pt>
                <c:pt idx="59">
                  <c:v>336.62747071784582</c:v>
                </c:pt>
                <c:pt idx="60">
                  <c:v>352.54474716882811</c:v>
                </c:pt>
                <c:pt idx="61">
                  <c:v>368.44627640452944</c:v>
                </c:pt>
                <c:pt idx="62">
                  <c:v>384.33283360873367</c:v>
                </c:pt>
                <c:pt idx="63">
                  <c:v>400.20512466008404</c:v>
                </c:pt>
                <c:pt idx="64">
                  <c:v>416.06379488845647</c:v>
                </c:pt>
                <c:pt idx="65">
                  <c:v>431.90943642660909</c:v>
                </c:pt>
                <c:pt idx="66">
                  <c:v>447.74259442675412</c:v>
                </c:pt>
                <c:pt idx="67">
                  <c:v>375.55407197802145</c:v>
                </c:pt>
                <c:pt idx="68">
                  <c:v>390.71902319988516</c:v>
                </c:pt>
                <c:pt idx="69">
                  <c:v>405.87120811496544</c:v>
                </c:pt>
                <c:pt idx="70">
                  <c:v>421.01117034902131</c:v>
                </c:pt>
                <c:pt idx="71">
                  <c:v>436.13941124658749</c:v>
                </c:pt>
                <c:pt idx="72">
                  <c:v>451.25639454253911</c:v>
                </c:pt>
                <c:pt idx="73">
                  <c:v>466.36255037510381</c:v>
                </c:pt>
                <c:pt idx="74">
                  <c:v>481.45827875190781</c:v>
                </c:pt>
                <c:pt idx="75">
                  <c:v>496.54395255876375</c:v>
                </c:pt>
                <c:pt idx="76">
                  <c:v>423.40314483123649</c:v>
                </c:pt>
                <c:pt idx="77">
                  <c:v>437.66237826853438</c:v>
                </c:pt>
                <c:pt idx="78">
                  <c:v>451.91164839468348</c:v>
                </c:pt>
                <c:pt idx="79">
                  <c:v>466.15131355533964</c:v>
                </c:pt>
                <c:pt idx="80">
                  <c:v>480.38170842202425</c:v>
                </c:pt>
                <c:pt idx="81">
                  <c:v>494.6031462257688</c:v>
                </c:pt>
                <c:pt idx="82">
                  <c:v>508.81592072053917</c:v>
                </c:pt>
                <c:pt idx="83">
                  <c:v>523.02030791590926</c:v>
                </c:pt>
                <c:pt idx="84">
                  <c:v>446.63343927814032</c:v>
                </c:pt>
                <c:pt idx="85">
                  <c:v>459.77932579042158</c:v>
                </c:pt>
                <c:pt idx="86">
                  <c:v>472.91719077481588</c:v>
                </c:pt>
                <c:pt idx="87">
                  <c:v>486.04728844130017</c:v>
                </c:pt>
                <c:pt idx="88">
                  <c:v>499.16985814728554</c:v>
                </c:pt>
                <c:pt idx="89">
                  <c:v>512.28512564123855</c:v>
                </c:pt>
                <c:pt idx="90">
                  <c:v>525.39330417234487</c:v>
                </c:pt>
                <c:pt idx="91">
                  <c:v>538.49459548369055</c:v>
                </c:pt>
                <c:pt idx="92">
                  <c:v>287.47041232900375</c:v>
                </c:pt>
                <c:pt idx="93">
                  <c:v>296.03076645817242</c:v>
                </c:pt>
                <c:pt idx="94">
                  <c:v>304.58560084390916</c:v>
                </c:pt>
                <c:pt idx="95">
                  <c:v>313.13509251387984</c:v>
                </c:pt>
                <c:pt idx="96">
                  <c:v>321.67940803184018</c:v>
                </c:pt>
                <c:pt idx="97">
                  <c:v>330.2187043837497</c:v>
                </c:pt>
                <c:pt idx="98">
                  <c:v>338.75312976737865</c:v>
                </c:pt>
                <c:pt idx="99">
                  <c:v>347.28282429814044</c:v>
                </c:pt>
                <c:pt idx="100">
                  <c:v>355.80792064191445</c:v>
                </c:pt>
                <c:pt idx="101">
                  <c:v>364.3285445840225</c:v>
                </c:pt>
                <c:pt idx="102">
                  <c:v>6.0554227957464972</c:v>
                </c:pt>
                <c:pt idx="103">
                  <c:v>6.0554227957464972</c:v>
                </c:pt>
                <c:pt idx="104">
                  <c:v>6.0554227957464972</c:v>
                </c:pt>
                <c:pt idx="105">
                  <c:v>6.0554227957464972</c:v>
                </c:pt>
                <c:pt idx="106">
                  <c:v>6.0554227957464972</c:v>
                </c:pt>
                <c:pt idx="107">
                  <c:v>6.0554227957464972</c:v>
                </c:pt>
                <c:pt idx="108">
                  <c:v>6.0554227957464972</c:v>
                </c:pt>
                <c:pt idx="109">
                  <c:v>6.0554227957464972</c:v>
                </c:pt>
                <c:pt idx="110">
                  <c:v>6.0554227957464972</c:v>
                </c:pt>
                <c:pt idx="111">
                  <c:v>6.0554227957464972</c:v>
                </c:pt>
                <c:pt idx="112">
                  <c:v>6.0554227957464972</c:v>
                </c:pt>
                <c:pt idx="113">
                  <c:v>6.0554227957464972</c:v>
                </c:pt>
                <c:pt idx="114">
                  <c:v>6.0554227957464972</c:v>
                </c:pt>
                <c:pt idx="115">
                  <c:v>6.0554227957464972</c:v>
                </c:pt>
                <c:pt idx="116">
                  <c:v>6.0554227957464972</c:v>
                </c:pt>
                <c:pt idx="117">
                  <c:v>6.0554227957464972</c:v>
                </c:pt>
                <c:pt idx="118">
                  <c:v>6.0554227957464972</c:v>
                </c:pt>
                <c:pt idx="119">
                  <c:v>6.0554227957464972</c:v>
                </c:pt>
                <c:pt idx="120">
                  <c:v>6.0554227957464972</c:v>
                </c:pt>
                <c:pt idx="121">
                  <c:v>6.0554227957464972</c:v>
                </c:pt>
                <c:pt idx="122">
                  <c:v>6.0554227957464972</c:v>
                </c:pt>
                <c:pt idx="123">
                  <c:v>6.0554227957464972</c:v>
                </c:pt>
                <c:pt idx="124">
                  <c:v>6.0554227957464972</c:v>
                </c:pt>
                <c:pt idx="125">
                  <c:v>6.0554227957464972</c:v>
                </c:pt>
                <c:pt idx="126">
                  <c:v>6.0554227957464972</c:v>
                </c:pt>
                <c:pt idx="127">
                  <c:v>6.0554227957464972</c:v>
                </c:pt>
                <c:pt idx="128">
                  <c:v>6.0554227957464972</c:v>
                </c:pt>
                <c:pt idx="129">
                  <c:v>6.0554227957464972</c:v>
                </c:pt>
                <c:pt idx="130">
                  <c:v>6.0554227957464972</c:v>
                </c:pt>
                <c:pt idx="131">
                  <c:v>6.0554227957464972</c:v>
                </c:pt>
                <c:pt idx="132">
                  <c:v>6.0554227957464972</c:v>
                </c:pt>
                <c:pt idx="133">
                  <c:v>6.0554227957464972</c:v>
                </c:pt>
                <c:pt idx="134">
                  <c:v>6.0554227957464972</c:v>
                </c:pt>
                <c:pt idx="135">
                  <c:v>6.0554227957464972</c:v>
                </c:pt>
                <c:pt idx="136">
                  <c:v>6.0554227957464972</c:v>
                </c:pt>
                <c:pt idx="137">
                  <c:v>6.0554227957464972</c:v>
                </c:pt>
                <c:pt idx="138">
                  <c:v>6.0554227957464972</c:v>
                </c:pt>
                <c:pt idx="139">
                  <c:v>6.0554227957464972</c:v>
                </c:pt>
                <c:pt idx="140">
                  <c:v>6.0554227957464972</c:v>
                </c:pt>
                <c:pt idx="141">
                  <c:v>6.0554227957464972</c:v>
                </c:pt>
                <c:pt idx="142">
                  <c:v>6.0554227957464972</c:v>
                </c:pt>
                <c:pt idx="143">
                  <c:v>6.0554227957464972</c:v>
                </c:pt>
                <c:pt idx="144">
                  <c:v>6.0554227957464972</c:v>
                </c:pt>
                <c:pt idx="145">
                  <c:v>6.0554227957464972</c:v>
                </c:pt>
                <c:pt idx="146">
                  <c:v>6.0554227957464972</c:v>
                </c:pt>
                <c:pt idx="147">
                  <c:v>6.0554227957464972</c:v>
                </c:pt>
                <c:pt idx="148">
                  <c:v>6.0554227957464972</c:v>
                </c:pt>
                <c:pt idx="149">
                  <c:v>6.0554227957464972</c:v>
                </c:pt>
                <c:pt idx="150">
                  <c:v>6.0554227957464972</c:v>
                </c:pt>
                <c:pt idx="151">
                  <c:v>6.0554227957464972</c:v>
                </c:pt>
                <c:pt idx="152">
                  <c:v>6.0554227957464972</c:v>
                </c:pt>
                <c:pt idx="153">
                  <c:v>6.0554227957464972</c:v>
                </c:pt>
                <c:pt idx="154">
                  <c:v>6.0554227957464972</c:v>
                </c:pt>
                <c:pt idx="155">
                  <c:v>6.0554227957464972</c:v>
                </c:pt>
                <c:pt idx="156">
                  <c:v>6.0554227957464972</c:v>
                </c:pt>
                <c:pt idx="157">
                  <c:v>6.0554227957464972</c:v>
                </c:pt>
                <c:pt idx="158">
                  <c:v>6.0554227957464972</c:v>
                </c:pt>
                <c:pt idx="159">
                  <c:v>6.0554227957464972</c:v>
                </c:pt>
                <c:pt idx="160">
                  <c:v>6.0554227957464972</c:v>
                </c:pt>
                <c:pt idx="161">
                  <c:v>6.0554227957464972</c:v>
                </c:pt>
                <c:pt idx="162">
                  <c:v>6.0554227957464972</c:v>
                </c:pt>
                <c:pt idx="163">
                  <c:v>6.0554227957464972</c:v>
                </c:pt>
                <c:pt idx="164">
                  <c:v>6.0554227957464972</c:v>
                </c:pt>
                <c:pt idx="165">
                  <c:v>6.0554227957464972</c:v>
                </c:pt>
                <c:pt idx="166">
                  <c:v>6.0554227957464972</c:v>
                </c:pt>
                <c:pt idx="167">
                  <c:v>6.0554227957464972</c:v>
                </c:pt>
                <c:pt idx="168">
                  <c:v>6.0554227957464972</c:v>
                </c:pt>
                <c:pt idx="169">
                  <c:v>6.0554227957464972</c:v>
                </c:pt>
                <c:pt idx="170">
                  <c:v>6.0554227957464972</c:v>
                </c:pt>
                <c:pt idx="171">
                  <c:v>6.0554227957464972</c:v>
                </c:pt>
                <c:pt idx="172">
                  <c:v>6.0554227957464972</c:v>
                </c:pt>
                <c:pt idx="173">
                  <c:v>6.0554227957464972</c:v>
                </c:pt>
                <c:pt idx="174">
                  <c:v>6.0554227957464972</c:v>
                </c:pt>
                <c:pt idx="175">
                  <c:v>6.0554227957464972</c:v>
                </c:pt>
                <c:pt idx="176">
                  <c:v>6.0554227957464972</c:v>
                </c:pt>
                <c:pt idx="177">
                  <c:v>6.0554227957464972</c:v>
                </c:pt>
                <c:pt idx="178">
                  <c:v>6.0554227957464972</c:v>
                </c:pt>
                <c:pt idx="179">
                  <c:v>6.0554227957464972</c:v>
                </c:pt>
                <c:pt idx="180">
                  <c:v>6.0554227957464972</c:v>
                </c:pt>
                <c:pt idx="181">
                  <c:v>6.0554227957464972</c:v>
                </c:pt>
                <c:pt idx="182">
                  <c:v>6.0554227957464972</c:v>
                </c:pt>
                <c:pt idx="183">
                  <c:v>6.0554227957464972</c:v>
                </c:pt>
                <c:pt idx="184">
                  <c:v>6.0554227957464972</c:v>
                </c:pt>
                <c:pt idx="185">
                  <c:v>6.0554227957464972</c:v>
                </c:pt>
                <c:pt idx="186">
                  <c:v>6.0554227957464972</c:v>
                </c:pt>
                <c:pt idx="187">
                  <c:v>6.0554227957464972</c:v>
                </c:pt>
                <c:pt idx="188">
                  <c:v>6.0554227957464972</c:v>
                </c:pt>
                <c:pt idx="189">
                  <c:v>6.0554227957464972</c:v>
                </c:pt>
                <c:pt idx="190">
                  <c:v>6.0554227957464972</c:v>
                </c:pt>
                <c:pt idx="191">
                  <c:v>6.0554227957464972</c:v>
                </c:pt>
                <c:pt idx="192">
                  <c:v>6.0554227957464972</c:v>
                </c:pt>
                <c:pt idx="193">
                  <c:v>6.0554227957464972</c:v>
                </c:pt>
                <c:pt idx="194">
                  <c:v>6.0554227957464972</c:v>
                </c:pt>
                <c:pt idx="195">
                  <c:v>6.0554227957464972</c:v>
                </c:pt>
                <c:pt idx="196">
                  <c:v>6.0554227957464972</c:v>
                </c:pt>
                <c:pt idx="197">
                  <c:v>6.0554227957464972</c:v>
                </c:pt>
                <c:pt idx="198">
                  <c:v>6.0554227957464972</c:v>
                </c:pt>
                <c:pt idx="199">
                  <c:v>6.0554227957464972</c:v>
                </c:pt>
                <c:pt idx="200">
                  <c:v>6.0554227957464972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2.1185138067917109</c:v>
                </c:pt>
                <c:pt idx="2">
                  <c:v>2.894402199061441</c:v>
                </c:pt>
                <c:pt idx="3">
                  <c:v>3.9556609928452722</c:v>
                </c:pt>
                <c:pt idx="4">
                  <c:v>5.4076671097938496</c:v>
                </c:pt>
                <c:pt idx="5">
                  <c:v>7.3948535408528118</c:v>
                </c:pt>
                <c:pt idx="6">
                  <c:v>10.115234305738676</c:v>
                </c:pt>
                <c:pt idx="7">
                  <c:v>13.840348195034421</c:v>
                </c:pt>
                <c:pt idx="8">
                  <c:v>18.94264864317968</c:v>
                </c:pt>
                <c:pt idx="9">
                  <c:v>25.93312754435949</c:v>
                </c:pt>
                <c:pt idx="10">
                  <c:v>35.513007205017594</c:v>
                </c:pt>
                <c:pt idx="11">
                  <c:v>48.644774650638844</c:v>
                </c:pt>
                <c:pt idx="12">
                  <c:v>66.649814557549007</c:v>
                </c:pt>
                <c:pt idx="13">
                  <c:v>91.342625587150238</c:v>
                </c:pt>
                <c:pt idx="14">
                  <c:v>125.21536151834833</c:v>
                </c:pt>
                <c:pt idx="15">
                  <c:v>171.69161142115624</c:v>
                </c:pt>
                <c:pt idx="16">
                  <c:v>175.06369642864436</c:v>
                </c:pt>
                <c:pt idx="17">
                  <c:v>205.60586751976879</c:v>
                </c:pt>
                <c:pt idx="18">
                  <c:v>236.04300605613707</c:v>
                </c:pt>
                <c:pt idx="19">
                  <c:v>266.39056723885022</c:v>
                </c:pt>
                <c:pt idx="20">
                  <c:v>296.66018896478846</c:v>
                </c:pt>
                <c:pt idx="21">
                  <c:v>238.8755995449776</c:v>
                </c:pt>
                <c:pt idx="22">
                  <c:v>271.01275486164383</c:v>
                </c:pt>
                <c:pt idx="23">
                  <c:v>303.06413469570208</c:v>
                </c:pt>
                <c:pt idx="24">
                  <c:v>335.04008037896614</c:v>
                </c:pt>
                <c:pt idx="25">
                  <c:v>366.94879686196288</c:v>
                </c:pt>
                <c:pt idx="26">
                  <c:v>311.51274483481569</c:v>
                </c:pt>
                <c:pt idx="27">
                  <c:v>345.513196505407</c:v>
                </c:pt>
                <c:pt idx="28">
                  <c:v>379.44016191597643</c:v>
                </c:pt>
                <c:pt idx="29">
                  <c:v>413.30112748447715</c:v>
                </c:pt>
                <c:pt idx="30">
                  <c:v>447.10225323882645</c:v>
                </c:pt>
                <c:pt idx="31">
                  <c:v>392.17723375565879</c:v>
                </c:pt>
                <c:pt idx="32">
                  <c:v>426.2692346413703</c:v>
                </c:pt>
                <c:pt idx="33">
                  <c:v>460.30260387098588</c:v>
                </c:pt>
                <c:pt idx="34">
                  <c:v>494.28227935737863</c:v>
                </c:pt>
                <c:pt idx="35">
                  <c:v>528.21246537398599</c:v>
                </c:pt>
                <c:pt idx="36">
                  <c:v>472.22673256387026</c:v>
                </c:pt>
                <c:pt idx="37">
                  <c:v>504.92225767518511</c:v>
                </c:pt>
                <c:pt idx="38">
                  <c:v>537.57302517405549</c:v>
                </c:pt>
                <c:pt idx="39">
                  <c:v>570.18213138839008</c:v>
                </c:pt>
                <c:pt idx="40">
                  <c:v>602.75229006275174</c:v>
                </c:pt>
                <c:pt idx="41">
                  <c:v>544.90728253687382</c:v>
                </c:pt>
                <c:pt idx="42">
                  <c:v>575.48683746818995</c:v>
                </c:pt>
                <c:pt idx="43">
                  <c:v>606.03248943815163</c:v>
                </c:pt>
                <c:pt idx="44">
                  <c:v>636.54618486892696</c:v>
                </c:pt>
                <c:pt idx="45">
                  <c:v>667.02966862520361</c:v>
                </c:pt>
                <c:pt idx="46">
                  <c:v>613.85301973416745</c:v>
                </c:pt>
                <c:pt idx="47">
                  <c:v>641.33480510237007</c:v>
                </c:pt>
                <c:pt idx="48">
                  <c:v>668.792285285802</c:v>
                </c:pt>
                <c:pt idx="49">
                  <c:v>696.22659705561784</c:v>
                </c:pt>
                <c:pt idx="50">
                  <c:v>723.63878041944702</c:v>
                </c:pt>
                <c:pt idx="51">
                  <c:v>678.61083748340923</c:v>
                </c:pt>
                <c:pt idx="52">
                  <c:v>704.02493126473883</c:v>
                </c:pt>
                <c:pt idx="53">
                  <c:v>729.42026669230836</c:v>
                </c:pt>
                <c:pt idx="54">
                  <c:v>754.7975878309262</c:v>
                </c:pt>
                <c:pt idx="55">
                  <c:v>780.15758470453693</c:v>
                </c:pt>
                <c:pt idx="56">
                  <c:v>743.24178865133274</c:v>
                </c:pt>
                <c:pt idx="57">
                  <c:v>766.60088957174946</c:v>
                </c:pt>
                <c:pt idx="58">
                  <c:v>789.94556044741057</c:v>
                </c:pt>
                <c:pt idx="59">
                  <c:v>813.27628716107131</c:v>
                </c:pt>
                <c:pt idx="60">
                  <c:v>836.59352548438801</c:v>
                </c:pt>
                <c:pt idx="61">
                  <c:v>804.99920908631259</c:v>
                </c:pt>
                <c:pt idx="62">
                  <c:v>826.064802065957</c:v>
                </c:pt>
                <c:pt idx="63">
                  <c:v>847.11958558738479</c:v>
                </c:pt>
                <c:pt idx="64">
                  <c:v>868.16386579158745</c:v>
                </c:pt>
                <c:pt idx="65">
                  <c:v>889.19793278788904</c:v>
                </c:pt>
                <c:pt idx="66">
                  <c:v>861.65126462088608</c:v>
                </c:pt>
                <c:pt idx="67">
                  <c:v>880.43496141445894</c:v>
                </c:pt>
                <c:pt idx="68">
                  <c:v>899.21064588597585</c:v>
                </c:pt>
                <c:pt idx="69">
                  <c:v>917.97850868750186</c:v>
                </c:pt>
                <c:pt idx="70">
                  <c:v>936.73873204991912</c:v>
                </c:pt>
                <c:pt idx="71">
                  <c:v>911.22296748512326</c:v>
                </c:pt>
                <c:pt idx="72">
                  <c:v>928.23503275558551</c:v>
                </c:pt>
                <c:pt idx="73">
                  <c:v>945.2408972852412</c:v>
                </c:pt>
                <c:pt idx="74">
                  <c:v>962.24068821132141</c:v>
                </c:pt>
                <c:pt idx="75">
                  <c:v>979.23452781819208</c:v>
                </c:pt>
                <c:pt idx="76">
                  <c:v>953.24154789386921</c:v>
                </c:pt>
                <c:pt idx="77">
                  <c:v>968.48910881658685</c:v>
                </c:pt>
                <c:pt idx="78">
                  <c:v>983.73191592447984</c:v>
                </c:pt>
                <c:pt idx="79">
                  <c:v>998.97005316922184</c:v>
                </c:pt>
                <c:pt idx="80">
                  <c:v>1014.2036017355778</c:v>
                </c:pt>
                <c:pt idx="81">
                  <c:v>974.23695045015677</c:v>
                </c:pt>
                <c:pt idx="82">
                  <c:v>974.23695045015677</c:v>
                </c:pt>
                <c:pt idx="83">
                  <c:v>974.23695045015677</c:v>
                </c:pt>
                <c:pt idx="84">
                  <c:v>974.23695045015677</c:v>
                </c:pt>
                <c:pt idx="85">
                  <c:v>974.23695045015677</c:v>
                </c:pt>
                <c:pt idx="86">
                  <c:v>974.23695045015677</c:v>
                </c:pt>
                <c:pt idx="87">
                  <c:v>974.23695045015677</c:v>
                </c:pt>
                <c:pt idx="88">
                  <c:v>974.23695045015677</c:v>
                </c:pt>
                <c:pt idx="89">
                  <c:v>974.23695045015677</c:v>
                </c:pt>
                <c:pt idx="90">
                  <c:v>974.23695045015677</c:v>
                </c:pt>
                <c:pt idx="91">
                  <c:v>974.23695045015677</c:v>
                </c:pt>
                <c:pt idx="92">
                  <c:v>974.23695045015677</c:v>
                </c:pt>
                <c:pt idx="93">
                  <c:v>974.23695045015677</c:v>
                </c:pt>
                <c:pt idx="94">
                  <c:v>974.23695045015677</c:v>
                </c:pt>
                <c:pt idx="95">
                  <c:v>974.23695045015677</c:v>
                </c:pt>
                <c:pt idx="96">
                  <c:v>974.23695045015677</c:v>
                </c:pt>
                <c:pt idx="97">
                  <c:v>974.23695045015677</c:v>
                </c:pt>
                <c:pt idx="98">
                  <c:v>974.23695045015677</c:v>
                </c:pt>
                <c:pt idx="99">
                  <c:v>974.23695045015677</c:v>
                </c:pt>
                <c:pt idx="100">
                  <c:v>974.23695045015677</c:v>
                </c:pt>
                <c:pt idx="101">
                  <c:v>974.23695045015677</c:v>
                </c:pt>
                <c:pt idx="102">
                  <c:v>974.23695045015677</c:v>
                </c:pt>
                <c:pt idx="103">
                  <c:v>974.23695045015677</c:v>
                </c:pt>
                <c:pt idx="104">
                  <c:v>974.23695045015677</c:v>
                </c:pt>
                <c:pt idx="105">
                  <c:v>974.23695045015677</c:v>
                </c:pt>
                <c:pt idx="106">
                  <c:v>974.23695045015677</c:v>
                </c:pt>
                <c:pt idx="107">
                  <c:v>974.23695045015677</c:v>
                </c:pt>
                <c:pt idx="108">
                  <c:v>974.23695045015677</c:v>
                </c:pt>
                <c:pt idx="109">
                  <c:v>974.23695045015677</c:v>
                </c:pt>
                <c:pt idx="110">
                  <c:v>974.23695045015677</c:v>
                </c:pt>
                <c:pt idx="111">
                  <c:v>974.23695045015677</c:v>
                </c:pt>
                <c:pt idx="112">
                  <c:v>974.23695045015677</c:v>
                </c:pt>
                <c:pt idx="113">
                  <c:v>974.23695045015677</c:v>
                </c:pt>
                <c:pt idx="114">
                  <c:v>974.23695045015677</c:v>
                </c:pt>
                <c:pt idx="115">
                  <c:v>974.23695045015677</c:v>
                </c:pt>
                <c:pt idx="116">
                  <c:v>974.23695045015677</c:v>
                </c:pt>
                <c:pt idx="117">
                  <c:v>974.23695045015677</c:v>
                </c:pt>
                <c:pt idx="118">
                  <c:v>974.23695045015677</c:v>
                </c:pt>
                <c:pt idx="119">
                  <c:v>974.23695045015677</c:v>
                </c:pt>
                <c:pt idx="120">
                  <c:v>974.23695045015677</c:v>
                </c:pt>
                <c:pt idx="121">
                  <c:v>974.23695045015677</c:v>
                </c:pt>
                <c:pt idx="122">
                  <c:v>974.23695045015677</c:v>
                </c:pt>
                <c:pt idx="123">
                  <c:v>974.23695045015677</c:v>
                </c:pt>
                <c:pt idx="124">
                  <c:v>974.23695045015677</c:v>
                </c:pt>
                <c:pt idx="125">
                  <c:v>974.23695045015677</c:v>
                </c:pt>
                <c:pt idx="126">
                  <c:v>974.23695045015677</c:v>
                </c:pt>
                <c:pt idx="127">
                  <c:v>974.23695045015677</c:v>
                </c:pt>
                <c:pt idx="128">
                  <c:v>974.23695045015677</c:v>
                </c:pt>
                <c:pt idx="129">
                  <c:v>974.23695045015677</c:v>
                </c:pt>
                <c:pt idx="130">
                  <c:v>974.23695045015677</c:v>
                </c:pt>
                <c:pt idx="131">
                  <c:v>974.23695045015677</c:v>
                </c:pt>
                <c:pt idx="132">
                  <c:v>974.23695045015677</c:v>
                </c:pt>
                <c:pt idx="133">
                  <c:v>974.23695045015677</c:v>
                </c:pt>
                <c:pt idx="134">
                  <c:v>974.23695045015677</c:v>
                </c:pt>
                <c:pt idx="135">
                  <c:v>974.23695045015677</c:v>
                </c:pt>
                <c:pt idx="136">
                  <c:v>974.23695045015677</c:v>
                </c:pt>
                <c:pt idx="137">
                  <c:v>974.23695045015677</c:v>
                </c:pt>
                <c:pt idx="138">
                  <c:v>974.23695045015677</c:v>
                </c:pt>
                <c:pt idx="139">
                  <c:v>974.23695045015677</c:v>
                </c:pt>
                <c:pt idx="140">
                  <c:v>974.23695045015677</c:v>
                </c:pt>
                <c:pt idx="141">
                  <c:v>974.23695045015677</c:v>
                </c:pt>
                <c:pt idx="142">
                  <c:v>974.23695045015677</c:v>
                </c:pt>
                <c:pt idx="143">
                  <c:v>974.23695045015677</c:v>
                </c:pt>
                <c:pt idx="144">
                  <c:v>974.23695045015677</c:v>
                </c:pt>
                <c:pt idx="145">
                  <c:v>974.23695045015677</c:v>
                </c:pt>
                <c:pt idx="146">
                  <c:v>974.23695045015677</c:v>
                </c:pt>
                <c:pt idx="147">
                  <c:v>974.23695045015677</c:v>
                </c:pt>
                <c:pt idx="148">
                  <c:v>974.23695045015677</c:v>
                </c:pt>
                <c:pt idx="149">
                  <c:v>974.23695045015677</c:v>
                </c:pt>
                <c:pt idx="150">
                  <c:v>974.23695045015677</c:v>
                </c:pt>
                <c:pt idx="151">
                  <c:v>974.23695045015677</c:v>
                </c:pt>
                <c:pt idx="152">
                  <c:v>974.23695045015677</c:v>
                </c:pt>
                <c:pt idx="153">
                  <c:v>974.23695045015677</c:v>
                </c:pt>
                <c:pt idx="154">
                  <c:v>974.23695045015677</c:v>
                </c:pt>
                <c:pt idx="155">
                  <c:v>974.23695045015677</c:v>
                </c:pt>
                <c:pt idx="156">
                  <c:v>974.23695045015677</c:v>
                </c:pt>
                <c:pt idx="157">
                  <c:v>974.23695045015677</c:v>
                </c:pt>
                <c:pt idx="158">
                  <c:v>974.23695045015677</c:v>
                </c:pt>
                <c:pt idx="159">
                  <c:v>974.23695045015677</c:v>
                </c:pt>
                <c:pt idx="160">
                  <c:v>974.23695045015677</c:v>
                </c:pt>
                <c:pt idx="161">
                  <c:v>974.23695045015677</c:v>
                </c:pt>
                <c:pt idx="162">
                  <c:v>974.23695045015677</c:v>
                </c:pt>
                <c:pt idx="163">
                  <c:v>974.23695045015677</c:v>
                </c:pt>
                <c:pt idx="164">
                  <c:v>974.23695045015677</c:v>
                </c:pt>
                <c:pt idx="165">
                  <c:v>974.23695045015677</c:v>
                </c:pt>
                <c:pt idx="166">
                  <c:v>974.23695045015677</c:v>
                </c:pt>
                <c:pt idx="167">
                  <c:v>974.23695045015677</c:v>
                </c:pt>
                <c:pt idx="168">
                  <c:v>974.23695045015677</c:v>
                </c:pt>
                <c:pt idx="169">
                  <c:v>974.23695045015677</c:v>
                </c:pt>
                <c:pt idx="170">
                  <c:v>974.23695045015677</c:v>
                </c:pt>
                <c:pt idx="171">
                  <c:v>974.23695045015677</c:v>
                </c:pt>
                <c:pt idx="172">
                  <c:v>974.23695045015677</c:v>
                </c:pt>
                <c:pt idx="173">
                  <c:v>974.23695045015677</c:v>
                </c:pt>
                <c:pt idx="174">
                  <c:v>974.23695045015677</c:v>
                </c:pt>
                <c:pt idx="175">
                  <c:v>974.23695045015677</c:v>
                </c:pt>
                <c:pt idx="176">
                  <c:v>974.23695045015677</c:v>
                </c:pt>
                <c:pt idx="177">
                  <c:v>974.23695045015677</c:v>
                </c:pt>
                <c:pt idx="178">
                  <c:v>974.23695045015677</c:v>
                </c:pt>
                <c:pt idx="179">
                  <c:v>974.23695045015677</c:v>
                </c:pt>
                <c:pt idx="180">
                  <c:v>974.23695045015677</c:v>
                </c:pt>
                <c:pt idx="181">
                  <c:v>974.23695045015677</c:v>
                </c:pt>
                <c:pt idx="182">
                  <c:v>974.23695045015677</c:v>
                </c:pt>
                <c:pt idx="183">
                  <c:v>974.23695045015677</c:v>
                </c:pt>
                <c:pt idx="184">
                  <c:v>974.23695045015677</c:v>
                </c:pt>
                <c:pt idx="185">
                  <c:v>974.23695045015677</c:v>
                </c:pt>
                <c:pt idx="186">
                  <c:v>974.23695045015677</c:v>
                </c:pt>
                <c:pt idx="187">
                  <c:v>974.23695045015677</c:v>
                </c:pt>
                <c:pt idx="188">
                  <c:v>974.23695045015677</c:v>
                </c:pt>
                <c:pt idx="189">
                  <c:v>974.23695045015677</c:v>
                </c:pt>
                <c:pt idx="190">
                  <c:v>974.23695045015677</c:v>
                </c:pt>
                <c:pt idx="191">
                  <c:v>974.23695045015677</c:v>
                </c:pt>
                <c:pt idx="192">
                  <c:v>974.23695045015677</c:v>
                </c:pt>
                <c:pt idx="193">
                  <c:v>974.23695045015677</c:v>
                </c:pt>
                <c:pt idx="194">
                  <c:v>974.23695045015677</c:v>
                </c:pt>
                <c:pt idx="195">
                  <c:v>974.23695045015677</c:v>
                </c:pt>
                <c:pt idx="196">
                  <c:v>974.23695045015677</c:v>
                </c:pt>
                <c:pt idx="197">
                  <c:v>974.23695045015677</c:v>
                </c:pt>
                <c:pt idx="198">
                  <c:v>974.23695045015677</c:v>
                </c:pt>
                <c:pt idx="199">
                  <c:v>974.23695045015677</c:v>
                </c:pt>
                <c:pt idx="200">
                  <c:v>974.23695045015677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1.8807855723271203</c:v>
                </c:pt>
                <c:pt idx="2">
                  <c:v>3.0657680328814667</c:v>
                </c:pt>
                <c:pt idx="3">
                  <c:v>5.0010774211664097</c:v>
                </c:pt>
                <c:pt idx="4">
                  <c:v>8.1640327643389909</c:v>
                </c:pt>
                <c:pt idx="5">
                  <c:v>13.336905920637804</c:v>
                </c:pt>
                <c:pt idx="6">
                  <c:v>21.802520022526707</c:v>
                </c:pt>
                <c:pt idx="7">
                  <c:v>35.665755227846866</c:v>
                </c:pt>
                <c:pt idx="8">
                  <c:v>58.382270569279349</c:v>
                </c:pt>
                <c:pt idx="9">
                  <c:v>95.628410585718214</c:v>
                </c:pt>
                <c:pt idx="10">
                  <c:v>129.62071281147163</c:v>
                </c:pt>
                <c:pt idx="11">
                  <c:v>163.39566693544896</c:v>
                </c:pt>
                <c:pt idx="12">
                  <c:v>197.00485363092116</c:v>
                </c:pt>
                <c:pt idx="13">
                  <c:v>230.48062342230324</c:v>
                </c:pt>
                <c:pt idx="14">
                  <c:v>263.84510369616982</c:v>
                </c:pt>
                <c:pt idx="15">
                  <c:v>270.50613620263147</c:v>
                </c:pt>
                <c:pt idx="16">
                  <c:v>277.16347822786918</c:v>
                </c:pt>
                <c:pt idx="17">
                  <c:v>283.81723103581874</c:v>
                </c:pt>
                <c:pt idx="18">
                  <c:v>290.46749074881262</c:v>
                </c:pt>
                <c:pt idx="19">
                  <c:v>297.11434872301794</c:v>
                </c:pt>
                <c:pt idx="20">
                  <c:v>299.53056168521022</c:v>
                </c:pt>
                <c:pt idx="21">
                  <c:v>301.94634040686378</c:v>
                </c:pt>
                <c:pt idx="22">
                  <c:v>304.36168885982988</c:v>
                </c:pt>
                <c:pt idx="23">
                  <c:v>306.77661094764784</c:v>
                </c:pt>
                <c:pt idx="24">
                  <c:v>309.1911105072619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274.15159613622387</c:v>
                </c:pt>
                <c:pt idx="32">
                  <c:v>304.95175006239322</c:v>
                </c:pt>
                <c:pt idx="33">
                  <c:v>335.68272446221619</c:v>
                </c:pt>
                <c:pt idx="34">
                  <c:v>366.35173714465219</c:v>
                </c:pt>
                <c:pt idx="35">
                  <c:v>396.96469882146312</c:v>
                </c:pt>
                <c:pt idx="36">
                  <c:v>287.36027167965722</c:v>
                </c:pt>
                <c:pt idx="37">
                  <c:v>312.28499675107349</c:v>
                </c:pt>
                <c:pt idx="38">
                  <c:v>337.16559898912197</c:v>
                </c:pt>
                <c:pt idx="39">
                  <c:v>362.00578971990859</c:v>
                </c:pt>
                <c:pt idx="40">
                  <c:v>386.8087295122084</c:v>
                </c:pt>
                <c:pt idx="41">
                  <c:v>411.57714071757056</c:v>
                </c:pt>
                <c:pt idx="42">
                  <c:v>345.34910174995292</c:v>
                </c:pt>
                <c:pt idx="43">
                  <c:v>370.55926373756284</c:v>
                </c:pt>
                <c:pt idx="44">
                  <c:v>395.73202966467738</c:v>
                </c:pt>
                <c:pt idx="45">
                  <c:v>420.87011059114275</c:v>
                </c:pt>
                <c:pt idx="46">
                  <c:v>445.97586750283381</c:v>
                </c:pt>
                <c:pt idx="47">
                  <c:v>471.05137407996995</c:v>
                </c:pt>
                <c:pt idx="48">
                  <c:v>496.09846540196463</c:v>
                </c:pt>
                <c:pt idx="49">
                  <c:v>402.26313463210448</c:v>
                </c:pt>
                <c:pt idx="50">
                  <c:v>425.87619549343572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496.55301706749265</c:v>
                </c:pt>
                <c:pt idx="54">
                  <c:v>520.06287264987645</c:v>
                </c:pt>
                <c:pt idx="55">
                  <c:v>543.55032717690449</c:v>
                </c:pt>
                <c:pt idx="56">
                  <c:v>454.24481650463161</c:v>
                </c:pt>
                <c:pt idx="57">
                  <c:v>476.59634202129263</c:v>
                </c:pt>
                <c:pt idx="58">
                  <c:v>498.92557909267936</c:v>
                </c:pt>
                <c:pt idx="59">
                  <c:v>521.233664652828</c:v>
                </c:pt>
                <c:pt idx="60">
                  <c:v>543.52163046495309</c:v>
                </c:pt>
                <c:pt idx="61">
                  <c:v>565.79041685083462</c:v>
                </c:pt>
                <c:pt idx="62">
                  <c:v>588.04088414741102</c:v>
                </c:pt>
                <c:pt idx="63">
                  <c:v>610.27382234025083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571.42160804713808</c:v>
                </c:pt>
                <c:pt idx="67">
                  <c:v>592.98726902778128</c:v>
                </c:pt>
                <c:pt idx="68">
                  <c:v>614.53661422900689</c:v>
                </c:pt>
                <c:pt idx="69">
                  <c:v>636.07029571344913</c:v>
                </c:pt>
                <c:pt idx="70">
                  <c:v>657.58891783971956</c:v>
                </c:pt>
                <c:pt idx="71">
                  <c:v>679.09304223054426</c:v>
                </c:pt>
                <c:pt idx="72">
                  <c:v>600.80615581089239</c:v>
                </c:pt>
                <c:pt idx="73">
                  <c:v>621.81796471134885</c:v>
                </c:pt>
                <c:pt idx="74">
                  <c:v>642.81507325128075</c:v>
                </c:pt>
                <c:pt idx="75">
                  <c:v>663.79802870135347</c:v>
                </c:pt>
                <c:pt idx="76">
                  <c:v>684.76734094880157</c:v>
                </c:pt>
                <c:pt idx="77">
                  <c:v>705.7234861406215</c:v>
                </c:pt>
                <c:pt idx="78">
                  <c:v>726.66690987194772</c:v>
                </c:pt>
                <c:pt idx="79">
                  <c:v>747.59802998811347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714.6464205142546</c:v>
                </c:pt>
                <c:pt idx="84">
                  <c:v>734.44382712262222</c:v>
                </c:pt>
                <c:pt idx="85">
                  <c:v>754.23036766119492</c:v>
                </c:pt>
                <c:pt idx="86">
                  <c:v>774.00636701258611</c:v>
                </c:pt>
                <c:pt idx="87">
                  <c:v>793.77213212336176</c:v>
                </c:pt>
                <c:pt idx="88">
                  <c:v>813.52795342520051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748.59390688021494</c:v>
                </c:pt>
                <c:pt idx="92">
                  <c:v>767.49340042346319</c:v>
                </c:pt>
                <c:pt idx="93">
                  <c:v>786.38345937215036</c:v>
                </c:pt>
                <c:pt idx="94">
                  <c:v>805.26434202452185</c:v>
                </c:pt>
                <c:pt idx="95">
                  <c:v>824.13629359258368</c:v>
                </c:pt>
                <c:pt idx="96">
                  <c:v>842.99954715561842</c:v>
                </c:pt>
                <c:pt idx="97">
                  <c:v>861.85432452401585</c:v>
                </c:pt>
                <c:pt idx="98">
                  <c:v>880.70083702367674</c:v>
                </c:pt>
                <c:pt idx="99">
                  <c:v>899.53928620986301</c:v>
                </c:pt>
                <c:pt idx="100">
                  <c:v>798.6332412457042</c:v>
                </c:pt>
                <c:pt idx="101">
                  <c:v>817.06058045885254</c:v>
                </c:pt>
                <c:pt idx="102">
                  <c:v>835.47954754465525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890.6882712536576</c:v>
                </c:pt>
                <c:pt idx="106">
                  <c:v>909.07575862089141</c:v>
                </c:pt>
                <c:pt idx="107">
                  <c:v>927.45583393990819</c:v>
                </c:pt>
                <c:pt idx="108">
                  <c:v>945.82866460402113</c:v>
                </c:pt>
                <c:pt idx="109">
                  <c:v>964.1944109815671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306.39644299197931</c:v>
                </c:pt>
                <c:pt idx="32">
                  <c:v>340.82860269744293</c:v>
                </c:pt>
                <c:pt idx="33">
                  <c:v>375.18425510724865</c:v>
                </c:pt>
                <c:pt idx="34">
                  <c:v>409.47138256925615</c:v>
                </c:pt>
                <c:pt idx="35">
                  <c:v>443.69652188121762</c:v>
                </c:pt>
                <c:pt idx="36">
                  <c:v>321.16259971327435</c:v>
                </c:pt>
                <c:pt idx="37">
                  <c:v>349.02672421811889</c:v>
                </c:pt>
                <c:pt idx="38">
                  <c:v>376.84205222440391</c:v>
                </c:pt>
                <c:pt idx="39">
                  <c:v>404.61268817658896</c:v>
                </c:pt>
                <c:pt idx="40">
                  <c:v>432.34212742340679</c:v>
                </c:pt>
                <c:pt idx="41">
                  <c:v>460.03338067866031</c:v>
                </c:pt>
                <c:pt idx="42">
                  <c:v>385.99092681345513</c:v>
                </c:pt>
                <c:pt idx="43">
                  <c:v>414.17533779557925</c:v>
                </c:pt>
                <c:pt idx="44">
                  <c:v>442.31839157842978</c:v>
                </c:pt>
                <c:pt idx="45">
                  <c:v>470.42308638804479</c:v>
                </c:pt>
                <c:pt idx="46">
                  <c:v>498.49203329527023</c:v>
                </c:pt>
                <c:pt idx="47">
                  <c:v>526.52752563274419</c:v>
                </c:pt>
                <c:pt idx="48">
                  <c:v>554.53159285875631</c:v>
                </c:pt>
                <c:pt idx="49">
                  <c:v>449.6202110727931</c:v>
                </c:pt>
                <c:pt idx="50">
                  <c:v>476.02000064610456</c:v>
                </c:pt>
                <c:pt idx="51">
                  <c:v>502.38865580151622</c:v>
                </c:pt>
                <c:pt idx="52">
                  <c:v>528.72803854644383</c:v>
                </c:pt>
                <c:pt idx="53">
                  <c:v>555.03981043514466</c:v>
                </c:pt>
                <c:pt idx="54">
                  <c:v>581.32546281777411</c:v>
                </c:pt>
                <c:pt idx="55">
                  <c:v>607.58634133657927</c:v>
                </c:pt>
                <c:pt idx="56">
                  <c:v>507.73703373631139</c:v>
                </c:pt>
                <c:pt idx="57">
                  <c:v>532.72708498714167</c:v>
                </c:pt>
                <c:pt idx="58">
                  <c:v>557.69248691233463</c:v>
                </c:pt>
                <c:pt idx="59">
                  <c:v>582.63449687448042</c:v>
                </c:pt>
                <c:pt idx="60">
                  <c:v>607.55425592523818</c:v>
                </c:pt>
                <c:pt idx="61">
                  <c:v>632.45280398899365</c:v>
                </c:pt>
                <c:pt idx="62">
                  <c:v>657.33109253297937</c:v>
                </c:pt>
                <c:pt idx="63">
                  <c:v>682.18999522116349</c:v>
                </c:pt>
                <c:pt idx="64">
                  <c:v>590.46639820384189</c:v>
                </c:pt>
                <c:pt idx="65">
                  <c:v>614.61754893029149</c:v>
                </c:pt>
                <c:pt idx="66">
                  <c:v>638.74902856958317</c:v>
                </c:pt>
                <c:pt idx="67">
                  <c:v>662.86168393782884</c:v>
                </c:pt>
                <c:pt idx="68">
                  <c:v>686.95629529470671</c:v>
                </c:pt>
                <c:pt idx="69">
                  <c:v>711.03358377190716</c:v>
                </c:pt>
                <c:pt idx="70">
                  <c:v>735.0942177440985</c:v>
                </c:pt>
                <c:pt idx="71">
                  <c:v>759.13881832330947</c:v>
                </c:pt>
                <c:pt idx="72">
                  <c:v>671.60406336749145</c:v>
                </c:pt>
                <c:pt idx="73">
                  <c:v>695.09771430876344</c:v>
                </c:pt>
                <c:pt idx="74">
                  <c:v>718.57510776912568</c:v>
                </c:pt>
                <c:pt idx="75">
                  <c:v>742.03684898831932</c:v>
                </c:pt>
                <c:pt idx="76">
                  <c:v>765.4835018628529</c:v>
                </c:pt>
                <c:pt idx="77">
                  <c:v>788.91559297509775</c:v>
                </c:pt>
                <c:pt idx="78">
                  <c:v>812.33361511938926</c:v>
                </c:pt>
                <c:pt idx="79">
                  <c:v>835.73803040089308</c:v>
                </c:pt>
                <c:pt idx="80">
                  <c:v>859.12927296974419</c:v>
                </c:pt>
                <c:pt idx="81">
                  <c:v>754.58190540238036</c:v>
                </c:pt>
                <c:pt idx="82">
                  <c:v>776.74375886328164</c:v>
                </c:pt>
                <c:pt idx="83">
                  <c:v>798.89280994562512</c:v>
                </c:pt>
                <c:pt idx="84">
                  <c:v>821.02946309423305</c:v>
                </c:pt>
                <c:pt idx="85">
                  <c:v>843.15409919591457</c:v>
                </c:pt>
                <c:pt idx="86">
                  <c:v>865.26707754613597</c:v>
                </c:pt>
                <c:pt idx="87">
                  <c:v>887.3687376044586</c:v>
                </c:pt>
                <c:pt idx="88">
                  <c:v>909.45940056623385</c:v>
                </c:pt>
                <c:pt idx="89">
                  <c:v>931.53937077386774</c:v>
                </c:pt>
                <c:pt idx="90">
                  <c:v>815.7079958749506</c:v>
                </c:pt>
                <c:pt idx="91">
                  <c:v>836.85158729914485</c:v>
                </c:pt>
                <c:pt idx="92">
                  <c:v>857.98444348174371</c:v>
                </c:pt>
                <c:pt idx="93">
                  <c:v>879.10686572017437</c:v>
                </c:pt>
                <c:pt idx="94">
                  <c:v>900.21913967265448</c:v>
                </c:pt>
                <c:pt idx="95">
                  <c:v>921.32153652501711</c:v>
                </c:pt>
                <c:pt idx="96">
                  <c:v>942.41431404522439</c:v>
                </c:pt>
                <c:pt idx="97">
                  <c:v>963.49771753870164</c:v>
                </c:pt>
                <c:pt idx="98">
                  <c:v>984.57198071582513</c:v>
                </c:pt>
                <c:pt idx="99">
                  <c:v>1005.6373264813883</c:v>
                </c:pt>
                <c:pt idx="100">
                  <c:v>892.80434571395438</c:v>
                </c:pt>
                <c:pt idx="101">
                  <c:v>913.40954370443831</c:v>
                </c:pt>
                <c:pt idx="102">
                  <c:v>934.0054827587029</c:v>
                </c:pt>
                <c:pt idx="103">
                  <c:v>954.59239551414669</c:v>
                </c:pt>
                <c:pt idx="104">
                  <c:v>975.1705037703191</c:v>
                </c:pt>
                <c:pt idx="105">
                  <c:v>995.74001921643048</c:v>
                </c:pt>
                <c:pt idx="106">
                  <c:v>1016.3011440957075</c:v>
                </c:pt>
                <c:pt idx="107">
                  <c:v>1036.8540718132765</c:v>
                </c:pt>
                <c:pt idx="108">
                  <c:v>1057.3989874934132</c:v>
                </c:pt>
                <c:pt idx="109">
                  <c:v>1077.9360684913026</c:v>
                </c:pt>
                <c:pt idx="110">
                  <c:v>956.09509828757302</c:v>
                </c:pt>
                <c:pt idx="111">
                  <c:v>976.02005722680917</c:v>
                </c:pt>
                <c:pt idx="112">
                  <c:v>995.93696782880636</c:v>
                </c:pt>
                <c:pt idx="113">
                  <c:v>1015.8460134822595</c:v>
                </c:pt>
                <c:pt idx="114">
                  <c:v>1035.7473698121528</c:v>
                </c:pt>
                <c:pt idx="115">
                  <c:v>1055.6412051542693</c:v>
                </c:pt>
                <c:pt idx="116">
                  <c:v>1075.5276809921299</c:v>
                </c:pt>
                <c:pt idx="117">
                  <c:v>1095.4069523599876</c:v>
                </c:pt>
                <c:pt idx="118">
                  <c:v>1115.2791682150898</c:v>
                </c:pt>
                <c:pt idx="119">
                  <c:v>1135.1444717820771</c:v>
                </c:pt>
                <c:pt idx="120">
                  <c:v>717.63183985620242</c:v>
                </c:pt>
                <c:pt idx="121">
                  <c:v>716.83776984268491</c:v>
                </c:pt>
                <c:pt idx="122">
                  <c:v>716.04368186697639</c:v>
                </c:pt>
                <c:pt idx="123">
                  <c:v>715.24957590633358</c:v>
                </c:pt>
                <c:pt idx="124">
                  <c:v>500.46266932712228</c:v>
                </c:pt>
                <c:pt idx="125">
                  <c:v>500.88684467357308</c:v>
                </c:pt>
                <c:pt idx="126">
                  <c:v>501.31101241603716</c:v>
                </c:pt>
                <c:pt idx="127">
                  <c:v>501.73517256186511</c:v>
                </c:pt>
                <c:pt idx="128">
                  <c:v>361.8444413330879</c:v>
                </c:pt>
                <c:pt idx="129">
                  <c:v>362.05531135307177</c:v>
                </c:pt>
                <c:pt idx="130">
                  <c:v>362.26617868751083</c:v>
                </c:pt>
                <c:pt idx="131">
                  <c:v>362.47704333819223</c:v>
                </c:pt>
                <c:pt idx="132">
                  <c:v>46.355945316697152</c:v>
                </c:pt>
                <c:pt idx="133">
                  <c:v>46.355945316697152</c:v>
                </c:pt>
                <c:pt idx="134">
                  <c:v>46.355945316697152</c:v>
                </c:pt>
                <c:pt idx="135">
                  <c:v>46.355945316697152</c:v>
                </c:pt>
                <c:pt idx="136">
                  <c:v>46.355945316697152</c:v>
                </c:pt>
                <c:pt idx="137">
                  <c:v>46.355945316697152</c:v>
                </c:pt>
                <c:pt idx="138">
                  <c:v>46.355945316697152</c:v>
                </c:pt>
                <c:pt idx="139">
                  <c:v>46.355945316697152</c:v>
                </c:pt>
                <c:pt idx="140">
                  <c:v>46.355945316697152</c:v>
                </c:pt>
                <c:pt idx="141">
                  <c:v>46.355945316697152</c:v>
                </c:pt>
                <c:pt idx="142">
                  <c:v>46.355945316697152</c:v>
                </c:pt>
                <c:pt idx="143">
                  <c:v>46.355945316697152</c:v>
                </c:pt>
                <c:pt idx="144">
                  <c:v>46.355945316697152</c:v>
                </c:pt>
                <c:pt idx="145">
                  <c:v>46.355945316697152</c:v>
                </c:pt>
                <c:pt idx="146">
                  <c:v>46.355945316697152</c:v>
                </c:pt>
                <c:pt idx="147">
                  <c:v>46.355945316697152</c:v>
                </c:pt>
                <c:pt idx="148">
                  <c:v>46.355945316697152</c:v>
                </c:pt>
                <c:pt idx="149">
                  <c:v>46.355945316697152</c:v>
                </c:pt>
                <c:pt idx="150">
                  <c:v>46.355945316697152</c:v>
                </c:pt>
                <c:pt idx="151">
                  <c:v>46.355945316697152</c:v>
                </c:pt>
                <c:pt idx="152">
                  <c:v>46.355945316697152</c:v>
                </c:pt>
                <c:pt idx="153">
                  <c:v>46.355945316697152</c:v>
                </c:pt>
                <c:pt idx="154">
                  <c:v>46.355945316697152</c:v>
                </c:pt>
                <c:pt idx="155">
                  <c:v>46.355945316697152</c:v>
                </c:pt>
                <c:pt idx="156">
                  <c:v>46.355945316697152</c:v>
                </c:pt>
                <c:pt idx="157">
                  <c:v>46.355945316697152</c:v>
                </c:pt>
                <c:pt idx="158">
                  <c:v>46.355945316697152</c:v>
                </c:pt>
                <c:pt idx="159">
                  <c:v>46.355945316697152</c:v>
                </c:pt>
                <c:pt idx="160">
                  <c:v>46.355945316697152</c:v>
                </c:pt>
                <c:pt idx="161">
                  <c:v>46.355945316697152</c:v>
                </c:pt>
                <c:pt idx="162">
                  <c:v>46.355945316697152</c:v>
                </c:pt>
                <c:pt idx="163">
                  <c:v>46.355945316697152</c:v>
                </c:pt>
                <c:pt idx="164">
                  <c:v>46.355945316697152</c:v>
                </c:pt>
                <c:pt idx="165">
                  <c:v>46.355945316697152</c:v>
                </c:pt>
                <c:pt idx="166">
                  <c:v>46.355945316697152</c:v>
                </c:pt>
                <c:pt idx="167">
                  <c:v>46.355945316697152</c:v>
                </c:pt>
                <c:pt idx="168">
                  <c:v>46.355945316697152</c:v>
                </c:pt>
                <c:pt idx="169">
                  <c:v>46.355945316697152</c:v>
                </c:pt>
                <c:pt idx="170">
                  <c:v>46.355945316697152</c:v>
                </c:pt>
                <c:pt idx="171">
                  <c:v>46.355945316697152</c:v>
                </c:pt>
                <c:pt idx="172">
                  <c:v>46.355945316697152</c:v>
                </c:pt>
                <c:pt idx="173">
                  <c:v>46.355945316697152</c:v>
                </c:pt>
                <c:pt idx="174">
                  <c:v>46.355945316697152</c:v>
                </c:pt>
                <c:pt idx="175">
                  <c:v>46.355945316697152</c:v>
                </c:pt>
                <c:pt idx="176">
                  <c:v>46.355945316697152</c:v>
                </c:pt>
                <c:pt idx="177">
                  <c:v>46.355945316697152</c:v>
                </c:pt>
                <c:pt idx="178">
                  <c:v>46.355945316697152</c:v>
                </c:pt>
                <c:pt idx="179">
                  <c:v>46.355945316697152</c:v>
                </c:pt>
                <c:pt idx="180">
                  <c:v>46.355945316697152</c:v>
                </c:pt>
                <c:pt idx="181">
                  <c:v>46.355945316697152</c:v>
                </c:pt>
                <c:pt idx="182">
                  <c:v>46.355945316697152</c:v>
                </c:pt>
                <c:pt idx="183">
                  <c:v>46.355945316697152</c:v>
                </c:pt>
                <c:pt idx="184">
                  <c:v>46.355945316697152</c:v>
                </c:pt>
                <c:pt idx="185">
                  <c:v>46.355945316697152</c:v>
                </c:pt>
                <c:pt idx="186">
                  <c:v>46.355945316697152</c:v>
                </c:pt>
                <c:pt idx="187">
                  <c:v>46.355945316697152</c:v>
                </c:pt>
                <c:pt idx="188">
                  <c:v>46.355945316697152</c:v>
                </c:pt>
                <c:pt idx="189">
                  <c:v>46.355945316697152</c:v>
                </c:pt>
                <c:pt idx="190">
                  <c:v>46.355945316697152</c:v>
                </c:pt>
                <c:pt idx="191">
                  <c:v>46.355945316697152</c:v>
                </c:pt>
                <c:pt idx="192">
                  <c:v>46.355945316697152</c:v>
                </c:pt>
                <c:pt idx="193">
                  <c:v>46.355945316697152</c:v>
                </c:pt>
                <c:pt idx="194">
                  <c:v>46.355945316697152</c:v>
                </c:pt>
                <c:pt idx="195">
                  <c:v>46.355945316697152</c:v>
                </c:pt>
                <c:pt idx="196">
                  <c:v>46.355945316697152</c:v>
                </c:pt>
                <c:pt idx="197">
                  <c:v>46.355945316697152</c:v>
                </c:pt>
                <c:pt idx="198">
                  <c:v>46.355945316697152</c:v>
                </c:pt>
                <c:pt idx="199">
                  <c:v>46.355945316697152</c:v>
                </c:pt>
                <c:pt idx="200">
                  <c:v>46.355945316697152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3.1869916933335189</c:v>
                </c:pt>
                <c:pt idx="2">
                  <c:v>3.7189706865056689</c:v>
                </c:pt>
                <c:pt idx="3">
                  <c:v>4.3400685470721152</c:v>
                </c:pt>
                <c:pt idx="4">
                  <c:v>5.0652653229643461</c:v>
                </c:pt>
                <c:pt idx="5">
                  <c:v>5.9120670317881361</c:v>
                </c:pt>
                <c:pt idx="6">
                  <c:v>6.9009328456386783</c:v>
                </c:pt>
                <c:pt idx="7">
                  <c:v>8.0557747158050663</c:v>
                </c:pt>
                <c:pt idx="8">
                  <c:v>9.4045417518806484</c:v>
                </c:pt>
                <c:pt idx="9">
                  <c:v>10.979903767967294</c:v>
                </c:pt>
                <c:pt idx="10">
                  <c:v>12.820050865060374</c:v>
                </c:pt>
                <c:pt idx="11">
                  <c:v>14.969628794603414</c:v>
                </c:pt>
                <c:pt idx="12">
                  <c:v>17.480833215380692</c:v>
                </c:pt>
                <c:pt idx="13">
                  <c:v>20.414689898447865</c:v>
                </c:pt>
                <c:pt idx="14">
                  <c:v>23.842552551171647</c:v>
                </c:pt>
                <c:pt idx="15">
                  <c:v>27.847855337031476</c:v>
                </c:pt>
                <c:pt idx="16">
                  <c:v>32.528163497787233</c:v>
                </c:pt>
                <c:pt idx="17">
                  <c:v>37.997572897276264</c:v>
                </c:pt>
                <c:pt idx="18">
                  <c:v>44.389517986975818</c:v>
                </c:pt>
                <c:pt idx="19">
                  <c:v>51.860057859889174</c:v>
                </c:pt>
                <c:pt idx="20">
                  <c:v>60.591721965921806</c:v>
                </c:pt>
                <c:pt idx="21">
                  <c:v>70.798011007057156</c:v>
                </c:pt>
                <c:pt idx="22">
                  <c:v>82.728664863891794</c:v>
                </c:pt>
                <c:pt idx="23">
                  <c:v>96.67582853605127</c:v>
                </c:pt>
                <c:pt idx="24">
                  <c:v>112.98126948764094</c:v>
                </c:pt>
                <c:pt idx="25">
                  <c:v>132.04482603759354</c:v>
                </c:pt>
                <c:pt idx="26">
                  <c:v>154.33429718261061</c:v>
                </c:pt>
                <c:pt idx="27">
                  <c:v>180.39702025965281</c:v>
                </c:pt>
                <c:pt idx="28">
                  <c:v>210.87342505066601</c:v>
                </c:pt>
                <c:pt idx="29">
                  <c:v>246.51290236507396</c:v>
                </c:pt>
                <c:pt idx="30">
                  <c:v>288.19238304852763</c:v>
                </c:pt>
                <c:pt idx="31">
                  <c:v>324.78763683236224</c:v>
                </c:pt>
                <c:pt idx="32">
                  <c:v>361.29174372497897</c:v>
                </c:pt>
                <c:pt idx="33">
                  <c:v>397.71519777740974</c:v>
                </c:pt>
                <c:pt idx="34">
                  <c:v>434.06641386069003</c:v>
                </c:pt>
                <c:pt idx="35">
                  <c:v>470.35228296867712</c:v>
                </c:pt>
                <c:pt idx="36">
                  <c:v>340.44228397319483</c:v>
                </c:pt>
                <c:pt idx="37">
                  <c:v>369.98325491582222</c:v>
                </c:pt>
                <c:pt idx="38">
                  <c:v>399.47278532371189</c:v>
                </c:pt>
                <c:pt idx="39">
                  <c:v>428.9152020404706</c:v>
                </c:pt>
                <c:pt idx="40">
                  <c:v>458.31418981015162</c:v>
                </c:pt>
                <c:pt idx="41">
                  <c:v>487.67292248195616</c:v>
                </c:pt>
                <c:pt idx="42">
                  <c:v>409.17238978011102</c:v>
                </c:pt>
                <c:pt idx="43">
                  <c:v>439.05357759592624</c:v>
                </c:pt>
                <c:pt idx="44">
                  <c:v>468.89116727440188</c:v>
                </c:pt>
                <c:pt idx="45">
                  <c:v>498.68831950032535</c:v>
                </c:pt>
                <c:pt idx="46">
                  <c:v>528.44778682530432</c:v>
                </c:pt>
                <c:pt idx="47">
                  <c:v>558.17198684610696</c:v>
                </c:pt>
                <c:pt idx="48">
                  <c:v>587.86305898713351</c:v>
                </c:pt>
                <c:pt idx="49">
                  <c:v>476.63267886268164</c:v>
                </c:pt>
                <c:pt idx="50">
                  <c:v>504.62230472895391</c:v>
                </c:pt>
                <c:pt idx="51">
                  <c:v>532.57910916023013</c:v>
                </c:pt>
                <c:pt idx="52">
                  <c:v>560.50505505671811</c:v>
                </c:pt>
                <c:pt idx="53">
                  <c:v>588.40189400392057</c:v>
                </c:pt>
                <c:pt idx="54">
                  <c:v>616.27119816073753</c:v>
                </c:pt>
                <c:pt idx="55">
                  <c:v>644.11438608298317</c:v>
                </c:pt>
                <c:pt idx="56">
                  <c:v>538.24963477481742</c:v>
                </c:pt>
                <c:pt idx="57">
                  <c:v>564.74500049541484</c:v>
                </c:pt>
                <c:pt idx="58">
                  <c:v>591.21438126772421</c:v>
                </c:pt>
                <c:pt idx="59">
                  <c:v>617.65910258447366</c:v>
                </c:pt>
                <c:pt idx="60">
                  <c:v>644.08036732515791</c:v>
                </c:pt>
                <c:pt idx="61">
                  <c:v>670.4792717624199</c:v>
                </c:pt>
                <c:pt idx="62">
                  <c:v>696.85681891870456</c:v>
                </c:pt>
                <c:pt idx="63">
                  <c:v>723.21392979742359</c:v>
                </c:pt>
                <c:pt idx="64">
                  <c:v>625.96289008080839</c:v>
                </c:pt>
                <c:pt idx="65">
                  <c:v>651.56927299173105</c:v>
                </c:pt>
                <c:pt idx="66">
                  <c:v>677.15491893848332</c:v>
                </c:pt>
                <c:pt idx="67">
                  <c:v>702.72072062187135</c:v>
                </c:pt>
                <c:pt idx="68">
                  <c:v>728.26750057991148</c:v>
                </c:pt>
                <c:pt idx="69">
                  <c:v>753.79601901878277</c:v>
                </c:pt>
                <c:pt idx="70">
                  <c:v>779.30698052900698</c:v>
                </c:pt>
                <c:pt idx="71">
                  <c:v>804.80103987754046</c:v>
                </c:pt>
                <c:pt idx="72">
                  <c:v>711.9899858642076</c:v>
                </c:pt>
                <c:pt idx="73">
                  <c:v>736.89962236180736</c:v>
                </c:pt>
                <c:pt idx="74">
                  <c:v>761.79212046759221</c:v>
                </c:pt>
                <c:pt idx="75">
                  <c:v>786.66811821619331</c:v>
                </c:pt>
                <c:pt idx="76">
                  <c:v>811.52821005882743</c:v>
                </c:pt>
                <c:pt idx="77">
                  <c:v>836.37295111070887</c:v>
                </c:pt>
                <c:pt idx="78">
                  <c:v>861.20286086821272</c:v>
                </c:pt>
                <c:pt idx="79">
                  <c:v>886.01842647565343</c:v>
                </c:pt>
                <c:pt idx="80">
                  <c:v>910.82010560757226</c:v>
                </c:pt>
                <c:pt idx="81">
                  <c:v>799.96941938059365</c:v>
                </c:pt>
                <c:pt idx="82">
                  <c:v>823.46730301459195</c:v>
                </c:pt>
                <c:pt idx="83">
                  <c:v>846.95169057370049</c:v>
                </c:pt>
                <c:pt idx="84">
                  <c:v>870.42300841756662</c:v>
                </c:pt>
                <c:pt idx="85">
                  <c:v>893.88165807133498</c:v>
                </c:pt>
                <c:pt idx="86">
                  <c:v>917.32801829888115</c:v>
                </c:pt>
                <c:pt idx="87">
                  <c:v>940.76244695336857</c:v>
                </c:pt>
                <c:pt idx="88">
                  <c:v>964.18528263410451</c:v>
                </c:pt>
                <c:pt idx="89">
                  <c:v>987.59684617427536</c:v>
                </c:pt>
                <c:pt idx="90">
                  <c:v>864.78069212410321</c:v>
                </c:pt>
                <c:pt idx="91">
                  <c:v>887.19912641466624</c:v>
                </c:pt>
                <c:pt idx="92">
                  <c:v>909.60624377502927</c:v>
                </c:pt>
                <c:pt idx="93">
                  <c:v>932.00236182840763</c:v>
                </c:pt>
                <c:pt idx="94">
                  <c:v>954.38778171139745</c:v>
                </c:pt>
                <c:pt idx="95">
                  <c:v>976.76278930402384</c:v>
                </c:pt>
                <c:pt idx="96">
                  <c:v>999.12765634139578</c:v>
                </c:pt>
                <c:pt idx="97">
                  <c:v>1021.482641420802</c:v>
                </c:pt>
                <c:pt idx="98">
                  <c:v>1043.8279909162054</c:v>
                </c:pt>
                <c:pt idx="99">
                  <c:v>1066.163939810486</c:v>
                </c:pt>
                <c:pt idx="100">
                  <c:v>946.52584208236158</c:v>
                </c:pt>
                <c:pt idx="101">
                  <c:v>968.37364526317651</c:v>
                </c:pt>
                <c:pt idx="102">
                  <c:v>990.21168781271115</c:v>
                </c:pt>
                <c:pt idx="103">
                  <c:v>1012.0402149738106</c:v>
                </c:pt>
                <c:pt idx="104">
                  <c:v>1033.8594605642245</c:v>
                </c:pt>
                <c:pt idx="105">
                  <c:v>1055.669647743533</c:v>
                </c:pt>
                <c:pt idx="106">
                  <c:v>1077.470989713504</c:v>
                </c:pt>
                <c:pt idx="107">
                  <c:v>1099.2636903589116</c:v>
                </c:pt>
                <c:pt idx="108">
                  <c:v>1121.0479448349831</c:v>
                </c:pt>
                <c:pt idx="109">
                  <c:v>1142.8239401068863</c:v>
                </c:pt>
                <c:pt idx="110">
                  <c:v>1013.633549172001</c:v>
                </c:pt>
                <c:pt idx="111">
                  <c:v>1034.7602546875614</c:v>
                </c:pt>
                <c:pt idx="112">
                  <c:v>1055.8784757670749</c:v>
                </c:pt>
                <c:pt idx="113">
                  <c:v>1076.9884057361455</c:v>
                </c:pt>
                <c:pt idx="114">
                  <c:v>1098.0902297359896</c:v>
                </c:pt>
                <c:pt idx="115">
                  <c:v>1119.1841252236575</c:v>
                </c:pt>
                <c:pt idx="116">
                  <c:v>1140.2702624326478</c:v>
                </c:pt>
                <c:pt idx="117">
                  <c:v>1161.3488047977371</c:v>
                </c:pt>
                <c:pt idx="118">
                  <c:v>1182.4199093474156</c:v>
                </c:pt>
                <c:pt idx="119">
                  <c:v>1203.4837270669448</c:v>
                </c:pt>
                <c:pt idx="120">
                  <c:v>760.79199502777647</c:v>
                </c:pt>
                <c:pt idx="121">
                  <c:v>759.95006083509963</c:v>
                </c:pt>
                <c:pt idx="122">
                  <c:v>759.10810770695127</c:v>
                </c:pt>
                <c:pt idx="123">
                  <c:v>758.26613561935585</c:v>
                </c:pt>
                <c:pt idx="124">
                  <c:v>530.5371169433306</c:v>
                </c:pt>
                <c:pt idx="125">
                  <c:v>530.98684107738814</c:v>
                </c:pt>
                <c:pt idx="126">
                  <c:v>531.43655719543744</c:v>
                </c:pt>
                <c:pt idx="127">
                  <c:v>531.88626530522708</c:v>
                </c:pt>
                <c:pt idx="128">
                  <c:v>383.5724346002624</c:v>
                </c:pt>
                <c:pt idx="129">
                  <c:v>383.79599680224038</c:v>
                </c:pt>
                <c:pt idx="130">
                  <c:v>384.01955617315735</c:v>
                </c:pt>
                <c:pt idx="131">
                  <c:v>384.24311271489728</c:v>
                </c:pt>
                <c:pt idx="132">
                  <c:v>49.125005889810261</c:v>
                </c:pt>
                <c:pt idx="133">
                  <c:v>49.125005889810261</c:v>
                </c:pt>
                <c:pt idx="134">
                  <c:v>49.125005889810261</c:v>
                </c:pt>
                <c:pt idx="135">
                  <c:v>49.125005889810261</c:v>
                </c:pt>
                <c:pt idx="136">
                  <c:v>49.125005889810261</c:v>
                </c:pt>
                <c:pt idx="137">
                  <c:v>49.125005889810261</c:v>
                </c:pt>
                <c:pt idx="138">
                  <c:v>49.125005889810261</c:v>
                </c:pt>
                <c:pt idx="139">
                  <c:v>49.125005889810261</c:v>
                </c:pt>
                <c:pt idx="140">
                  <c:v>49.125005889810261</c:v>
                </c:pt>
                <c:pt idx="141">
                  <c:v>49.125005889810261</c:v>
                </c:pt>
                <c:pt idx="142">
                  <c:v>49.125005889810261</c:v>
                </c:pt>
                <c:pt idx="143">
                  <c:v>49.125005889810261</c:v>
                </c:pt>
                <c:pt idx="144">
                  <c:v>49.125005889810261</c:v>
                </c:pt>
                <c:pt idx="145">
                  <c:v>49.125005889810261</c:v>
                </c:pt>
                <c:pt idx="146">
                  <c:v>49.125005889810261</c:v>
                </c:pt>
                <c:pt idx="147">
                  <c:v>49.125005889810261</c:v>
                </c:pt>
                <c:pt idx="148">
                  <c:v>49.125005889810261</c:v>
                </c:pt>
                <c:pt idx="149">
                  <c:v>49.125005889810261</c:v>
                </c:pt>
                <c:pt idx="150">
                  <c:v>49.125005889810261</c:v>
                </c:pt>
                <c:pt idx="151">
                  <c:v>49.125005889810261</c:v>
                </c:pt>
                <c:pt idx="152">
                  <c:v>49.125005889810261</c:v>
                </c:pt>
                <c:pt idx="153">
                  <c:v>49.125005889810261</c:v>
                </c:pt>
                <c:pt idx="154">
                  <c:v>49.125005889810261</c:v>
                </c:pt>
                <c:pt idx="155">
                  <c:v>49.125005889810261</c:v>
                </c:pt>
                <c:pt idx="156">
                  <c:v>49.125005889810261</c:v>
                </c:pt>
                <c:pt idx="157">
                  <c:v>49.125005889810261</c:v>
                </c:pt>
                <c:pt idx="158">
                  <c:v>49.125005889810261</c:v>
                </c:pt>
                <c:pt idx="159">
                  <c:v>49.125005889810261</c:v>
                </c:pt>
                <c:pt idx="160">
                  <c:v>49.125005889810261</c:v>
                </c:pt>
                <c:pt idx="161">
                  <c:v>49.125005889810261</c:v>
                </c:pt>
                <c:pt idx="162">
                  <c:v>49.125005889810261</c:v>
                </c:pt>
                <c:pt idx="163">
                  <c:v>49.125005889810261</c:v>
                </c:pt>
                <c:pt idx="164">
                  <c:v>49.125005889810261</c:v>
                </c:pt>
                <c:pt idx="165">
                  <c:v>49.125005889810261</c:v>
                </c:pt>
                <c:pt idx="166">
                  <c:v>49.125005889810261</c:v>
                </c:pt>
                <c:pt idx="167">
                  <c:v>49.125005889810261</c:v>
                </c:pt>
                <c:pt idx="168">
                  <c:v>49.125005889810261</c:v>
                </c:pt>
                <c:pt idx="169">
                  <c:v>49.125005889810261</c:v>
                </c:pt>
                <c:pt idx="170">
                  <c:v>49.125005889810261</c:v>
                </c:pt>
                <c:pt idx="171">
                  <c:v>49.125005889810261</c:v>
                </c:pt>
                <c:pt idx="172">
                  <c:v>49.125005889810261</c:v>
                </c:pt>
                <c:pt idx="173">
                  <c:v>49.125005889810261</c:v>
                </c:pt>
                <c:pt idx="174">
                  <c:v>49.125005889810261</c:v>
                </c:pt>
                <c:pt idx="175">
                  <c:v>49.125005889810261</c:v>
                </c:pt>
                <c:pt idx="176">
                  <c:v>49.125005889810261</c:v>
                </c:pt>
                <c:pt idx="177">
                  <c:v>49.125005889810261</c:v>
                </c:pt>
                <c:pt idx="178">
                  <c:v>49.125005889810261</c:v>
                </c:pt>
                <c:pt idx="179">
                  <c:v>49.125005889810261</c:v>
                </c:pt>
                <c:pt idx="180">
                  <c:v>49.125005889810261</c:v>
                </c:pt>
                <c:pt idx="181">
                  <c:v>49.125005889810261</c:v>
                </c:pt>
                <c:pt idx="182">
                  <c:v>49.125005889810261</c:v>
                </c:pt>
                <c:pt idx="183">
                  <c:v>49.125005889810261</c:v>
                </c:pt>
                <c:pt idx="184">
                  <c:v>49.125005889810261</c:v>
                </c:pt>
                <c:pt idx="185">
                  <c:v>49.125005889810261</c:v>
                </c:pt>
                <c:pt idx="186">
                  <c:v>49.125005889810261</c:v>
                </c:pt>
                <c:pt idx="187">
                  <c:v>49.125005889810261</c:v>
                </c:pt>
                <c:pt idx="188">
                  <c:v>49.125005889810261</c:v>
                </c:pt>
                <c:pt idx="189">
                  <c:v>49.125005889810261</c:v>
                </c:pt>
                <c:pt idx="190">
                  <c:v>49.125005889810261</c:v>
                </c:pt>
                <c:pt idx="191">
                  <c:v>49.125005889810261</c:v>
                </c:pt>
                <c:pt idx="192">
                  <c:v>49.125005889810261</c:v>
                </c:pt>
                <c:pt idx="193">
                  <c:v>49.125005889810261</c:v>
                </c:pt>
                <c:pt idx="194">
                  <c:v>49.125005889810261</c:v>
                </c:pt>
                <c:pt idx="195">
                  <c:v>49.125005889810261</c:v>
                </c:pt>
                <c:pt idx="196">
                  <c:v>49.125005889810261</c:v>
                </c:pt>
                <c:pt idx="197">
                  <c:v>49.125005889810261</c:v>
                </c:pt>
                <c:pt idx="198">
                  <c:v>49.125005889810261</c:v>
                </c:pt>
                <c:pt idx="199">
                  <c:v>49.125005889810261</c:v>
                </c:pt>
                <c:pt idx="200">
                  <c:v>49.125005889810261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506.84927944121517</c:v>
                </c:pt>
                <c:pt idx="82">
                  <c:v>506.84927944121517</c:v>
                </c:pt>
                <c:pt idx="83">
                  <c:v>506.84927944121517</c:v>
                </c:pt>
                <c:pt idx="84">
                  <c:v>506.84927944121517</c:v>
                </c:pt>
                <c:pt idx="85">
                  <c:v>506.84927944121517</c:v>
                </c:pt>
                <c:pt idx="86">
                  <c:v>506.84927944121517</c:v>
                </c:pt>
                <c:pt idx="87">
                  <c:v>506.84927944121517</c:v>
                </c:pt>
                <c:pt idx="88">
                  <c:v>506.84927944121517</c:v>
                </c:pt>
                <c:pt idx="89">
                  <c:v>506.84927944121517</c:v>
                </c:pt>
                <c:pt idx="90">
                  <c:v>506.84927944121517</c:v>
                </c:pt>
                <c:pt idx="91">
                  <c:v>506.84927944121517</c:v>
                </c:pt>
                <c:pt idx="92">
                  <c:v>506.84927944121517</c:v>
                </c:pt>
                <c:pt idx="93">
                  <c:v>506.84927944121517</c:v>
                </c:pt>
                <c:pt idx="94">
                  <c:v>506.84927944121517</c:v>
                </c:pt>
                <c:pt idx="95">
                  <c:v>506.84927944121517</c:v>
                </c:pt>
                <c:pt idx="96">
                  <c:v>506.84927944121517</c:v>
                </c:pt>
                <c:pt idx="97">
                  <c:v>506.84927944121517</c:v>
                </c:pt>
                <c:pt idx="98">
                  <c:v>506.84927944121517</c:v>
                </c:pt>
                <c:pt idx="99">
                  <c:v>506.84927944121517</c:v>
                </c:pt>
                <c:pt idx="100">
                  <c:v>506.84927944121517</c:v>
                </c:pt>
                <c:pt idx="101">
                  <c:v>506.84927944121517</c:v>
                </c:pt>
                <c:pt idx="102">
                  <c:v>506.84927944121517</c:v>
                </c:pt>
                <c:pt idx="103">
                  <c:v>506.84927944121517</c:v>
                </c:pt>
                <c:pt idx="104">
                  <c:v>506.84927944121517</c:v>
                </c:pt>
                <c:pt idx="105">
                  <c:v>506.84927944121517</c:v>
                </c:pt>
                <c:pt idx="106">
                  <c:v>506.84927944121517</c:v>
                </c:pt>
                <c:pt idx="107">
                  <c:v>506.84927944121517</c:v>
                </c:pt>
                <c:pt idx="108">
                  <c:v>506.84927944121517</c:v>
                </c:pt>
                <c:pt idx="109">
                  <c:v>506.84927944121517</c:v>
                </c:pt>
                <c:pt idx="110">
                  <c:v>506.84927944121517</c:v>
                </c:pt>
                <c:pt idx="111">
                  <c:v>506.84927944121517</c:v>
                </c:pt>
                <c:pt idx="112">
                  <c:v>506.84927944121517</c:v>
                </c:pt>
                <c:pt idx="113">
                  <c:v>506.84927944121517</c:v>
                </c:pt>
                <c:pt idx="114">
                  <c:v>506.84927944121517</c:v>
                </c:pt>
                <c:pt idx="115">
                  <c:v>506.84927944121517</c:v>
                </c:pt>
                <c:pt idx="116">
                  <c:v>506.84927944121517</c:v>
                </c:pt>
                <c:pt idx="117">
                  <c:v>506.84927944121517</c:v>
                </c:pt>
                <c:pt idx="118">
                  <c:v>506.84927944121517</c:v>
                </c:pt>
                <c:pt idx="119">
                  <c:v>506.84927944121517</c:v>
                </c:pt>
                <c:pt idx="120">
                  <c:v>506.84927944121517</c:v>
                </c:pt>
                <c:pt idx="121">
                  <c:v>506.84927944121517</c:v>
                </c:pt>
                <c:pt idx="122">
                  <c:v>506.84927944121517</c:v>
                </c:pt>
                <c:pt idx="123">
                  <c:v>506.84927944121517</c:v>
                </c:pt>
                <c:pt idx="124">
                  <c:v>506.84927944121517</c:v>
                </c:pt>
                <c:pt idx="125">
                  <c:v>506.84927944121517</c:v>
                </c:pt>
                <c:pt idx="126">
                  <c:v>506.84927944121517</c:v>
                </c:pt>
                <c:pt idx="127">
                  <c:v>506.84927944121517</c:v>
                </c:pt>
                <c:pt idx="128">
                  <c:v>506.84927944121517</c:v>
                </c:pt>
                <c:pt idx="129">
                  <c:v>506.84927944121517</c:v>
                </c:pt>
                <c:pt idx="130">
                  <c:v>506.84927944121517</c:v>
                </c:pt>
                <c:pt idx="131">
                  <c:v>506.84927944121517</c:v>
                </c:pt>
                <c:pt idx="132">
                  <c:v>506.84927944121517</c:v>
                </c:pt>
                <c:pt idx="133">
                  <c:v>506.84927944121517</c:v>
                </c:pt>
                <c:pt idx="134">
                  <c:v>506.84927944121517</c:v>
                </c:pt>
                <c:pt idx="135">
                  <c:v>506.84927944121517</c:v>
                </c:pt>
                <c:pt idx="136">
                  <c:v>506.84927944121517</c:v>
                </c:pt>
                <c:pt idx="137">
                  <c:v>506.84927944121517</c:v>
                </c:pt>
                <c:pt idx="138">
                  <c:v>506.84927944121517</c:v>
                </c:pt>
                <c:pt idx="139">
                  <c:v>506.84927944121517</c:v>
                </c:pt>
                <c:pt idx="140">
                  <c:v>506.84927944121517</c:v>
                </c:pt>
                <c:pt idx="141">
                  <c:v>506.84927944121517</c:v>
                </c:pt>
                <c:pt idx="142">
                  <c:v>506.84927944121517</c:v>
                </c:pt>
                <c:pt idx="143">
                  <c:v>506.84927944121517</c:v>
                </c:pt>
                <c:pt idx="144">
                  <c:v>506.84927944121517</c:v>
                </c:pt>
                <c:pt idx="145">
                  <c:v>506.84927944121517</c:v>
                </c:pt>
                <c:pt idx="146">
                  <c:v>506.84927944121517</c:v>
                </c:pt>
                <c:pt idx="147">
                  <c:v>506.84927944121517</c:v>
                </c:pt>
                <c:pt idx="148">
                  <c:v>506.84927944121517</c:v>
                </c:pt>
                <c:pt idx="149">
                  <c:v>506.84927944121517</c:v>
                </c:pt>
                <c:pt idx="150">
                  <c:v>506.84927944121517</c:v>
                </c:pt>
                <c:pt idx="151">
                  <c:v>506.84927944121517</c:v>
                </c:pt>
                <c:pt idx="152">
                  <c:v>506.84927944121517</c:v>
                </c:pt>
                <c:pt idx="153">
                  <c:v>506.84927944121517</c:v>
                </c:pt>
                <c:pt idx="154">
                  <c:v>506.84927944121517</c:v>
                </c:pt>
                <c:pt idx="155">
                  <c:v>506.84927944121517</c:v>
                </c:pt>
                <c:pt idx="156">
                  <c:v>506.84927944121517</c:v>
                </c:pt>
                <c:pt idx="157">
                  <c:v>506.84927944121517</c:v>
                </c:pt>
                <c:pt idx="158">
                  <c:v>506.84927944121517</c:v>
                </c:pt>
                <c:pt idx="159">
                  <c:v>506.84927944121517</c:v>
                </c:pt>
                <c:pt idx="160">
                  <c:v>506.84927944121517</c:v>
                </c:pt>
                <c:pt idx="161">
                  <c:v>506.84927944121517</c:v>
                </c:pt>
                <c:pt idx="162">
                  <c:v>506.84927944121517</c:v>
                </c:pt>
                <c:pt idx="163">
                  <c:v>506.84927944121517</c:v>
                </c:pt>
                <c:pt idx="164">
                  <c:v>506.84927944121517</c:v>
                </c:pt>
                <c:pt idx="165">
                  <c:v>506.84927944121517</c:v>
                </c:pt>
                <c:pt idx="166">
                  <c:v>506.84927944121517</c:v>
                </c:pt>
                <c:pt idx="167">
                  <c:v>506.84927944121517</c:v>
                </c:pt>
                <c:pt idx="168">
                  <c:v>506.84927944121517</c:v>
                </c:pt>
                <c:pt idx="169">
                  <c:v>506.84927944121517</c:v>
                </c:pt>
                <c:pt idx="170">
                  <c:v>506.84927944121517</c:v>
                </c:pt>
                <c:pt idx="171">
                  <c:v>506.84927944121517</c:v>
                </c:pt>
                <c:pt idx="172">
                  <c:v>506.84927944121517</c:v>
                </c:pt>
                <c:pt idx="173">
                  <c:v>506.84927944121517</c:v>
                </c:pt>
                <c:pt idx="174">
                  <c:v>506.84927944121517</c:v>
                </c:pt>
                <c:pt idx="175">
                  <c:v>506.84927944121517</c:v>
                </c:pt>
                <c:pt idx="176">
                  <c:v>506.84927944121517</c:v>
                </c:pt>
                <c:pt idx="177">
                  <c:v>506.84927944121517</c:v>
                </c:pt>
                <c:pt idx="178">
                  <c:v>506.84927944121517</c:v>
                </c:pt>
                <c:pt idx="179">
                  <c:v>506.84927944121517</c:v>
                </c:pt>
                <c:pt idx="180">
                  <c:v>506.84927944121517</c:v>
                </c:pt>
                <c:pt idx="181">
                  <c:v>506.84927944121517</c:v>
                </c:pt>
                <c:pt idx="182">
                  <c:v>506.84927944121517</c:v>
                </c:pt>
                <c:pt idx="183">
                  <c:v>506.84927944121517</c:v>
                </c:pt>
                <c:pt idx="184">
                  <c:v>506.84927944121517</c:v>
                </c:pt>
                <c:pt idx="185">
                  <c:v>506.84927944121517</c:v>
                </c:pt>
                <c:pt idx="186">
                  <c:v>506.84927944121517</c:v>
                </c:pt>
                <c:pt idx="187">
                  <c:v>506.84927944121517</c:v>
                </c:pt>
                <c:pt idx="188">
                  <c:v>506.84927944121517</c:v>
                </c:pt>
                <c:pt idx="189">
                  <c:v>506.84927944121517</c:v>
                </c:pt>
                <c:pt idx="190">
                  <c:v>506.84927944121517</c:v>
                </c:pt>
                <c:pt idx="191">
                  <c:v>506.84927944121517</c:v>
                </c:pt>
                <c:pt idx="192">
                  <c:v>506.84927944121517</c:v>
                </c:pt>
                <c:pt idx="193">
                  <c:v>506.84927944121517</c:v>
                </c:pt>
                <c:pt idx="194">
                  <c:v>506.84927944121517</c:v>
                </c:pt>
                <c:pt idx="195">
                  <c:v>506.84927944121517</c:v>
                </c:pt>
                <c:pt idx="196">
                  <c:v>506.84927944121517</c:v>
                </c:pt>
                <c:pt idx="197">
                  <c:v>506.84927944121517</c:v>
                </c:pt>
                <c:pt idx="198">
                  <c:v>506.84927944121517</c:v>
                </c:pt>
                <c:pt idx="199">
                  <c:v>506.84927944121517</c:v>
                </c:pt>
                <c:pt idx="200">
                  <c:v>506.84927944121517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C9" sqref="C9:C1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8.0500000000000007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164</v>
      </c>
      <c r="C9" s="264">
        <v>0.1479</v>
      </c>
      <c r="D9" s="33">
        <f t="shared" ref="D9:D18" si="0">C9*$C$5</f>
        <v>1.1905950000000001</v>
      </c>
      <c r="E9" s="265">
        <v>101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35</v>
      </c>
      <c r="C10" s="264">
        <v>0.14779999999999999</v>
      </c>
      <c r="D10" s="33">
        <f t="shared" si="0"/>
        <v>1.1897899999999999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111</v>
      </c>
      <c r="C11" s="264">
        <v>8.6999999999999994E-2</v>
      </c>
      <c r="D11" s="33">
        <f t="shared" si="0"/>
        <v>0.70035000000000003</v>
      </c>
      <c r="E11" s="265">
        <v>24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326</v>
      </c>
      <c r="H11" s="23" t="s">
        <v>327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14</v>
      </c>
      <c r="C12" s="264">
        <v>0.24690000000000001</v>
      </c>
      <c r="D12" s="33">
        <f t="shared" si="0"/>
        <v>1.9875450000000003</v>
      </c>
      <c r="E12" s="265">
        <v>131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12</v>
      </c>
      <c r="C13" s="32">
        <v>0.18529999999999999</v>
      </c>
      <c r="D13" s="33">
        <f t="shared" si="0"/>
        <v>1.491665</v>
      </c>
      <c r="E13" s="34">
        <v>131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52</v>
      </c>
      <c r="C14" s="32">
        <v>6.1699999999999998E-2</v>
      </c>
      <c r="D14" s="33">
        <f t="shared" si="0"/>
        <v>0.49668500000000004</v>
      </c>
      <c r="E14" s="34">
        <v>131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325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8</v>
      </c>
      <c r="C15" s="32">
        <v>6.1699999999999998E-2</v>
      </c>
      <c r="D15" s="33">
        <f t="shared" si="0"/>
        <v>0.49668500000000004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326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23</v>
      </c>
      <c r="C16" s="32">
        <v>6.1699999999999998E-2</v>
      </c>
      <c r="D16" s="33">
        <f t="shared" si="0"/>
        <v>0.49668500000000004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326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0.99999999999999989</v>
      </c>
      <c r="D19" s="38">
        <f>SUM(D9:D18)</f>
        <v>8.0500000000000007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146.32</v>
      </c>
      <c r="C36" s="259"/>
      <c r="D36" s="259"/>
      <c r="E36" s="260"/>
      <c r="F36" s="260"/>
      <c r="G36" s="260"/>
      <c r="H36" s="260"/>
      <c r="I36" s="49">
        <f>IFERROR(B36/A36,"")</f>
        <v>4.8773333333333335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42</v>
      </c>
      <c r="B37" s="259">
        <v>344.46</v>
      </c>
      <c r="C37" s="259">
        <v>1</v>
      </c>
      <c r="D37" s="259">
        <v>105.41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16.511666666666667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50</v>
      </c>
      <c r="B38" s="259">
        <v>375.69</v>
      </c>
      <c r="C38" s="259">
        <v>2</v>
      </c>
      <c r="D38" s="259">
        <v>106.51</v>
      </c>
      <c r="E38" s="260">
        <v>1</v>
      </c>
      <c r="F38" s="260"/>
      <c r="G38" s="260"/>
      <c r="H38" s="260"/>
      <c r="I38" s="53">
        <f t="shared" si="1"/>
        <v>17.080000000000002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58</v>
      </c>
      <c r="B39" s="259">
        <v>400.11</v>
      </c>
      <c r="C39" s="259">
        <v>3</v>
      </c>
      <c r="D39" s="259">
        <v>87.34</v>
      </c>
      <c r="E39" s="260">
        <v>1</v>
      </c>
      <c r="F39" s="260"/>
      <c r="G39" s="260"/>
      <c r="H39" s="260"/>
      <c r="I39" s="49">
        <f t="shared" si="1"/>
        <v>16.366250000000001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66</v>
      </c>
      <c r="B40" s="259">
        <v>440.2</v>
      </c>
      <c r="C40" s="259">
        <v>4</v>
      </c>
      <c r="D40" s="259">
        <v>87.73</v>
      </c>
      <c r="E40" s="260">
        <v>1</v>
      </c>
      <c r="F40" s="260"/>
      <c r="G40" s="260"/>
      <c r="H40" s="260"/>
      <c r="I40" s="49">
        <f t="shared" si="1"/>
        <v>15.928750000000001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75</v>
      </c>
      <c r="B41" s="259">
        <v>489.37</v>
      </c>
      <c r="C41" s="259">
        <v>5</v>
      </c>
      <c r="D41" s="259">
        <v>87.99</v>
      </c>
      <c r="E41" s="260">
        <v>1</v>
      </c>
      <c r="F41" s="260"/>
      <c r="G41" s="260"/>
      <c r="H41" s="260"/>
      <c r="I41" s="53">
        <f t="shared" si="1"/>
        <v>15.211111111111116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83</v>
      </c>
      <c r="B42" s="259">
        <v>516.09</v>
      </c>
      <c r="C42" s="259">
        <v>6</v>
      </c>
      <c r="D42" s="259">
        <v>90.24</v>
      </c>
      <c r="E42" s="260">
        <v>1</v>
      </c>
      <c r="F42" s="260"/>
      <c r="G42" s="260"/>
      <c r="H42" s="260"/>
      <c r="I42" s="53">
        <f t="shared" si="1"/>
        <v>14.338750000000005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91</v>
      </c>
      <c r="B43" s="259">
        <v>531.72</v>
      </c>
      <c r="C43" s="259">
        <v>7</v>
      </c>
      <c r="D43" s="259">
        <v>260.64</v>
      </c>
      <c r="E43" s="260">
        <v>1</v>
      </c>
      <c r="F43" s="260"/>
      <c r="G43" s="260"/>
      <c r="H43" s="260"/>
      <c r="I43" s="49">
        <f t="shared" si="1"/>
        <v>13.233750000000001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101</v>
      </c>
      <c r="B44" s="259">
        <v>356.43</v>
      </c>
      <c r="C44" s="259">
        <v>8</v>
      </c>
      <c r="D44" s="259">
        <v>351.18</v>
      </c>
      <c r="E44" s="260">
        <v>1</v>
      </c>
      <c r="F44" s="260"/>
      <c r="G44" s="260"/>
      <c r="H44" s="260"/>
      <c r="I44" s="49">
        <f t="shared" si="1"/>
        <v>8.5349999999999966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15</v>
      </c>
      <c r="B62" s="261">
        <v>129</v>
      </c>
      <c r="C62" s="261">
        <v>1</v>
      </c>
      <c r="D62" s="261">
        <v>21</v>
      </c>
      <c r="E62" s="260"/>
      <c r="F62" s="260"/>
      <c r="G62" s="260">
        <v>1</v>
      </c>
      <c r="H62" s="260"/>
      <c r="I62" s="53">
        <f>IFERROR(B62/A62,"")</f>
        <v>8.6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20</v>
      </c>
      <c r="B63" s="261">
        <v>226</v>
      </c>
      <c r="C63" s="261">
        <v>2</v>
      </c>
      <c r="D63" s="261">
        <v>70</v>
      </c>
      <c r="E63" s="260"/>
      <c r="F63" s="260">
        <v>1</v>
      </c>
      <c r="G63" s="260"/>
      <c r="H63" s="260"/>
      <c r="I63" s="49">
        <f>IF(A63&lt;&gt;0,(B63-(B62-D62))/(A63-A62),"")</f>
        <v>23.6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25</v>
      </c>
      <c r="B64" s="261">
        <v>281</v>
      </c>
      <c r="C64" s="261">
        <v>3</v>
      </c>
      <c r="D64" s="261">
        <v>70</v>
      </c>
      <c r="E64" s="260"/>
      <c r="F64" s="260">
        <v>1</v>
      </c>
      <c r="G64" s="260"/>
      <c r="H64" s="260"/>
      <c r="I64" s="49">
        <f>IF(A64&lt;&gt;0,(B64-(B63-D63))/(A64-A63),"")</f>
        <v>25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344</v>
      </c>
      <c r="C65" s="261">
        <v>4</v>
      </c>
      <c r="D65" s="261">
        <v>70</v>
      </c>
      <c r="E65" s="260"/>
      <c r="F65" s="260">
        <v>1</v>
      </c>
      <c r="G65" s="260"/>
      <c r="H65" s="260"/>
      <c r="I65" s="49">
        <f>IF(A65&lt;&gt;0,(B65-(B64-D64))/(A65-A64),"")</f>
        <v>26.6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35</v>
      </c>
      <c r="B66" s="261">
        <v>408</v>
      </c>
      <c r="C66" s="261">
        <v>5</v>
      </c>
      <c r="D66" s="261">
        <v>70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26.8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40</v>
      </c>
      <c r="B67" s="261">
        <v>467</v>
      </c>
      <c r="C67" s="261">
        <v>6</v>
      </c>
      <c r="D67" s="261">
        <v>70</v>
      </c>
      <c r="E67" s="260">
        <v>1</v>
      </c>
      <c r="F67" s="260"/>
      <c r="G67" s="260"/>
      <c r="H67" s="260"/>
      <c r="I67" s="49">
        <f t="shared" si="2"/>
        <v>25.8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45</v>
      </c>
      <c r="B68" s="261">
        <v>518</v>
      </c>
      <c r="C68" s="261">
        <v>7</v>
      </c>
      <c r="D68" s="261">
        <v>64</v>
      </c>
      <c r="E68" s="260">
        <v>1</v>
      </c>
      <c r="F68" s="260"/>
      <c r="G68" s="260"/>
      <c r="H68" s="260"/>
      <c r="I68" s="49">
        <f t="shared" si="2"/>
        <v>24.2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50</v>
      </c>
      <c r="B69" s="261">
        <v>563</v>
      </c>
      <c r="C69" s="261">
        <v>8</v>
      </c>
      <c r="D69" s="261">
        <v>56</v>
      </c>
      <c r="E69" s="260">
        <v>1</v>
      </c>
      <c r="F69" s="260"/>
      <c r="G69" s="260"/>
      <c r="H69" s="260"/>
      <c r="I69" s="49">
        <f t="shared" si="2"/>
        <v>21.8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55</v>
      </c>
      <c r="B70" s="261">
        <v>608</v>
      </c>
      <c r="C70" s="261">
        <v>9</v>
      </c>
      <c r="D70" s="261">
        <v>48</v>
      </c>
      <c r="E70" s="260">
        <v>1</v>
      </c>
      <c r="F70" s="260"/>
      <c r="G70" s="260"/>
      <c r="H70" s="260"/>
      <c r="I70" s="49">
        <f t="shared" si="2"/>
        <v>20.2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60</v>
      </c>
      <c r="B71" s="261">
        <v>653</v>
      </c>
      <c r="C71" s="261">
        <v>10</v>
      </c>
      <c r="D71" s="261">
        <v>42</v>
      </c>
      <c r="E71" s="260">
        <v>1</v>
      </c>
      <c r="F71" s="260"/>
      <c r="G71" s="260"/>
      <c r="H71" s="260"/>
      <c r="I71" s="49">
        <f t="shared" si="2"/>
        <v>18.600000000000001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65</v>
      </c>
      <c r="B72" s="261">
        <v>695</v>
      </c>
      <c r="C72" s="261">
        <v>11</v>
      </c>
      <c r="D72" s="261">
        <v>37</v>
      </c>
      <c r="E72" s="260">
        <v>1</v>
      </c>
      <c r="F72" s="260"/>
      <c r="G72" s="260"/>
      <c r="H72" s="260"/>
      <c r="I72" s="49">
        <f t="shared" si="2"/>
        <v>16.8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70</v>
      </c>
      <c r="B73" s="261">
        <v>733</v>
      </c>
      <c r="C73" s="261">
        <v>12</v>
      </c>
      <c r="D73" s="261">
        <v>34</v>
      </c>
      <c r="E73" s="260">
        <v>1</v>
      </c>
      <c r="F73" s="260"/>
      <c r="G73" s="260"/>
      <c r="H73" s="260"/>
      <c r="I73" s="49">
        <f t="shared" si="2"/>
        <v>15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75</v>
      </c>
      <c r="B74" s="261">
        <v>767</v>
      </c>
      <c r="C74" s="261">
        <v>13</v>
      </c>
      <c r="D74" s="261">
        <v>33</v>
      </c>
      <c r="E74" s="260">
        <v>1</v>
      </c>
      <c r="F74" s="260"/>
      <c r="G74" s="260"/>
      <c r="H74" s="260"/>
      <c r="I74" s="49">
        <f t="shared" si="2"/>
        <v>13.6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80</v>
      </c>
      <c r="B75" s="261">
        <v>795</v>
      </c>
      <c r="C75" s="261">
        <v>14</v>
      </c>
      <c r="D75" s="261">
        <v>32</v>
      </c>
      <c r="E75" s="260">
        <v>1</v>
      </c>
      <c r="F75" s="260"/>
      <c r="G75" s="260"/>
      <c r="H75" s="260"/>
      <c r="I75" s="49">
        <f t="shared" si="2"/>
        <v>12.2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Peuplier I-214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9</v>
      </c>
      <c r="B88" s="261">
        <v>96.153846150000007</v>
      </c>
      <c r="C88" s="261"/>
      <c r="D88" s="261"/>
      <c r="E88" s="260"/>
      <c r="F88" s="260"/>
      <c r="G88" s="260"/>
      <c r="H88" s="260"/>
      <c r="I88" s="53">
        <f>IFERROR(B88/A88,"")</f>
        <v>10.683760683333334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14</v>
      </c>
      <c r="B89" s="261">
        <v>272.43589739999999</v>
      </c>
      <c r="C89" s="261"/>
      <c r="D89" s="261"/>
      <c r="E89" s="260"/>
      <c r="F89" s="260"/>
      <c r="G89" s="260"/>
      <c r="H89" s="260"/>
      <c r="I89" s="53">
        <f t="shared" ref="I89:I107" si="3">IF(A89&lt;&gt;0,(B89-(B88-D88))/(A89-A88),"")</f>
        <v>35.256410250000002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19</v>
      </c>
      <c r="B90" s="261">
        <v>307.69230770000001</v>
      </c>
      <c r="C90" s="261"/>
      <c r="D90" s="261"/>
      <c r="E90" s="260"/>
      <c r="F90" s="260"/>
      <c r="G90" s="260"/>
      <c r="H90" s="260"/>
      <c r="I90" s="53">
        <f t="shared" si="3"/>
        <v>7.0512820600000055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24</v>
      </c>
      <c r="B91" s="261">
        <v>320.51282049999998</v>
      </c>
      <c r="C91" s="261" t="s">
        <v>324</v>
      </c>
      <c r="D91" s="261">
        <v>320.51282049999998</v>
      </c>
      <c r="E91" s="260">
        <v>0.77</v>
      </c>
      <c r="F91" s="260">
        <v>0.21</v>
      </c>
      <c r="G91" s="260">
        <v>0</v>
      </c>
      <c r="H91" s="260">
        <v>0</v>
      </c>
      <c r="I91" s="53">
        <f t="shared" si="3"/>
        <v>2.5641025599999923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sessile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30</v>
      </c>
      <c r="B114" s="261">
        <v>121.88461538461537</v>
      </c>
      <c r="C114" s="261"/>
      <c r="D114" s="261"/>
      <c r="E114" s="260"/>
      <c r="F114" s="260"/>
      <c r="G114" s="260"/>
      <c r="H114" s="260"/>
      <c r="I114" s="53">
        <f>IFERROR(B114/A114,"")</f>
        <v>4.0628205128205126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35</v>
      </c>
      <c r="B115" s="261">
        <v>201.29</v>
      </c>
      <c r="C115" s="261">
        <v>1</v>
      </c>
      <c r="D115" s="261">
        <v>69.58</v>
      </c>
      <c r="E115" s="260">
        <v>1</v>
      </c>
      <c r="F115" s="260"/>
      <c r="G115" s="260"/>
      <c r="H115" s="260"/>
      <c r="I115" s="53">
        <f t="shared" ref="I115:I133" si="4">IF(A115&lt;&gt;0,(B115-(B114-D114))/(A115-A114),"")</f>
        <v>15.881076923076924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41</v>
      </c>
      <c r="B116" s="261">
        <v>208.88</v>
      </c>
      <c r="C116" s="261">
        <v>2</v>
      </c>
      <c r="D116" s="261">
        <v>47.41</v>
      </c>
      <c r="E116" s="260">
        <v>1</v>
      </c>
      <c r="F116" s="260"/>
      <c r="G116" s="260"/>
      <c r="H116" s="260"/>
      <c r="I116" s="53">
        <f t="shared" si="4"/>
        <v>12.86166666666667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48</v>
      </c>
      <c r="B117" s="261">
        <v>252.89</v>
      </c>
      <c r="C117" s="261">
        <v>3</v>
      </c>
      <c r="D117" s="261">
        <v>61.12</v>
      </c>
      <c r="E117" s="260">
        <v>1</v>
      </c>
      <c r="F117" s="260"/>
      <c r="G117" s="260"/>
      <c r="H117" s="260"/>
      <c r="I117" s="53">
        <f t="shared" si="4"/>
        <v>13.059999999999999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55</v>
      </c>
      <c r="B118" s="261">
        <v>277.67</v>
      </c>
      <c r="C118" s="261">
        <v>4</v>
      </c>
      <c r="D118" s="261">
        <v>58.24</v>
      </c>
      <c r="E118" s="260">
        <v>1</v>
      </c>
      <c r="F118" s="260"/>
      <c r="G118" s="260"/>
      <c r="H118" s="260"/>
      <c r="I118" s="53">
        <f t="shared" si="4"/>
        <v>12.271428571428576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63</v>
      </c>
      <c r="B119" s="261">
        <v>312.58999999999997</v>
      </c>
      <c r="C119" s="261">
        <v>5</v>
      </c>
      <c r="D119" s="261">
        <v>54.21</v>
      </c>
      <c r="E119" s="260">
        <v>1</v>
      </c>
      <c r="F119" s="260"/>
      <c r="G119" s="260"/>
      <c r="H119" s="260"/>
      <c r="I119" s="53">
        <f t="shared" si="4"/>
        <v>11.644999999999996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71</v>
      </c>
      <c r="B120" s="261">
        <v>348.69</v>
      </c>
      <c r="C120" s="261">
        <v>6</v>
      </c>
      <c r="D120" s="261">
        <v>52.07</v>
      </c>
      <c r="E120" s="260">
        <v>1</v>
      </c>
      <c r="F120" s="260"/>
      <c r="G120" s="260"/>
      <c r="H120" s="260"/>
      <c r="I120" s="53">
        <f t="shared" si="4"/>
        <v>11.28875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80</v>
      </c>
      <c r="B121" s="261">
        <v>395.71</v>
      </c>
      <c r="C121" s="261">
        <v>7</v>
      </c>
      <c r="D121" s="261">
        <v>59.57</v>
      </c>
      <c r="E121" s="260">
        <v>1</v>
      </c>
      <c r="F121" s="260"/>
      <c r="G121" s="260"/>
      <c r="H121" s="260"/>
      <c r="I121" s="53">
        <f t="shared" si="4"/>
        <v>11.009999999999998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89</v>
      </c>
      <c r="B122" s="261">
        <v>429.83</v>
      </c>
      <c r="C122" s="261">
        <v>8</v>
      </c>
      <c r="D122" s="261">
        <v>64.5</v>
      </c>
      <c r="E122" s="260">
        <v>1</v>
      </c>
      <c r="F122" s="260"/>
      <c r="G122" s="260"/>
      <c r="H122" s="260"/>
      <c r="I122" s="53">
        <f t="shared" si="4"/>
        <v>10.41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99</v>
      </c>
      <c r="B123" s="261">
        <v>464.8</v>
      </c>
      <c r="C123" s="261">
        <v>9</v>
      </c>
      <c r="D123" s="261">
        <v>62.94</v>
      </c>
      <c r="E123" s="260">
        <v>1</v>
      </c>
      <c r="F123" s="260"/>
      <c r="G123" s="260"/>
      <c r="H123" s="260"/>
      <c r="I123" s="53">
        <f t="shared" si="4"/>
        <v>9.9470000000000027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109</v>
      </c>
      <c r="B124" s="261">
        <v>498.97</v>
      </c>
      <c r="C124" s="261">
        <v>10</v>
      </c>
      <c r="D124" s="261">
        <v>66.959999999999994</v>
      </c>
      <c r="E124" s="260">
        <v>1</v>
      </c>
      <c r="F124" s="260"/>
      <c r="G124" s="260"/>
      <c r="H124" s="260"/>
      <c r="I124" s="53">
        <f t="shared" si="4"/>
        <v>9.7110000000000021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119</v>
      </c>
      <c r="B125" s="261">
        <v>526.04</v>
      </c>
      <c r="C125" s="261">
        <v>11</v>
      </c>
      <c r="D125" s="261">
        <v>196.46</v>
      </c>
      <c r="E125" s="260">
        <v>1</v>
      </c>
      <c r="F125" s="260"/>
      <c r="G125" s="260"/>
      <c r="H125" s="260"/>
      <c r="I125" s="53">
        <f t="shared" si="4"/>
        <v>9.4029999999999916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123</v>
      </c>
      <c r="B126" s="261">
        <v>328.09</v>
      </c>
      <c r="C126" s="261">
        <v>12</v>
      </c>
      <c r="D126" s="261">
        <v>100.6</v>
      </c>
      <c r="E126" s="260">
        <v>1</v>
      </c>
      <c r="F126" s="260"/>
      <c r="G126" s="260"/>
      <c r="H126" s="260"/>
      <c r="I126" s="53">
        <f t="shared" si="4"/>
        <v>-0.37249999999998806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127</v>
      </c>
      <c r="B127" s="261">
        <v>228.28</v>
      </c>
      <c r="C127" s="261">
        <v>13</v>
      </c>
      <c r="D127" s="261">
        <v>65.02</v>
      </c>
      <c r="E127" s="260">
        <v>1</v>
      </c>
      <c r="F127" s="260"/>
      <c r="G127" s="260"/>
      <c r="H127" s="260"/>
      <c r="I127" s="53">
        <f t="shared" si="4"/>
        <v>0.19750000000000512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131</v>
      </c>
      <c r="B128" s="261">
        <v>163.65</v>
      </c>
      <c r="C128" s="261">
        <v>14</v>
      </c>
      <c r="D128" s="261">
        <v>143.84</v>
      </c>
      <c r="E128" s="260">
        <v>1</v>
      </c>
      <c r="F128" s="260"/>
      <c r="G128" s="260"/>
      <c r="H128" s="260"/>
      <c r="I128" s="53">
        <f t="shared" si="4"/>
        <v>9.7500000000003695E-2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pubescent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121.88461538461537</v>
      </c>
      <c r="C140" s="50"/>
      <c r="D140" s="60"/>
      <c r="E140" s="51"/>
      <c r="F140" s="51"/>
      <c r="G140" s="51"/>
      <c r="H140" s="51"/>
      <c r="I140" s="57">
        <f>IFERROR(B140/A140,"")</f>
        <v>4.0628205128205126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35</v>
      </c>
      <c r="B141" s="60">
        <v>201.29</v>
      </c>
      <c r="C141" s="50">
        <v>1</v>
      </c>
      <c r="D141" s="60">
        <v>69.58</v>
      </c>
      <c r="E141" s="51">
        <v>1</v>
      </c>
      <c r="F141" s="51"/>
      <c r="G141" s="51"/>
      <c r="H141" s="51"/>
      <c r="I141" s="57">
        <f t="shared" ref="I141:I159" si="5">IF(A141&lt;&gt;0,(B141-(B140-D140))/(A141-A140),"")</f>
        <v>15.881076923076924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41</v>
      </c>
      <c r="B142" s="60">
        <v>208.88</v>
      </c>
      <c r="C142" s="50">
        <v>2</v>
      </c>
      <c r="D142" s="60">
        <v>47.41</v>
      </c>
      <c r="E142" s="51">
        <v>1</v>
      </c>
      <c r="F142" s="51"/>
      <c r="G142" s="51"/>
      <c r="H142" s="51"/>
      <c r="I142" s="57">
        <f t="shared" si="5"/>
        <v>12.86166666666667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48</v>
      </c>
      <c r="B143" s="60">
        <v>252.89</v>
      </c>
      <c r="C143" s="50">
        <v>3</v>
      </c>
      <c r="D143" s="60">
        <v>61.12</v>
      </c>
      <c r="E143" s="51">
        <v>1</v>
      </c>
      <c r="F143" s="51"/>
      <c r="G143" s="51"/>
      <c r="H143" s="51"/>
      <c r="I143" s="57">
        <f t="shared" si="5"/>
        <v>13.059999999999999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55</v>
      </c>
      <c r="B144" s="60">
        <v>277.67</v>
      </c>
      <c r="C144" s="50">
        <v>4</v>
      </c>
      <c r="D144" s="60">
        <v>58.24</v>
      </c>
      <c r="E144" s="51">
        <v>1</v>
      </c>
      <c r="F144" s="51"/>
      <c r="G144" s="51"/>
      <c r="H144" s="51"/>
      <c r="I144" s="57">
        <f t="shared" si="5"/>
        <v>12.271428571428576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63</v>
      </c>
      <c r="B145" s="60">
        <v>312.58999999999997</v>
      </c>
      <c r="C145" s="50">
        <v>5</v>
      </c>
      <c r="D145" s="60">
        <v>54.21</v>
      </c>
      <c r="E145" s="51">
        <v>1</v>
      </c>
      <c r="F145" s="51"/>
      <c r="G145" s="51"/>
      <c r="H145" s="51"/>
      <c r="I145" s="57">
        <f t="shared" si="5"/>
        <v>11.644999999999996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71</v>
      </c>
      <c r="B146" s="60">
        <v>348.69</v>
      </c>
      <c r="C146" s="50">
        <v>6</v>
      </c>
      <c r="D146" s="60">
        <v>52.07</v>
      </c>
      <c r="E146" s="51">
        <v>1</v>
      </c>
      <c r="F146" s="51"/>
      <c r="G146" s="51"/>
      <c r="H146" s="51"/>
      <c r="I146" s="57">
        <f t="shared" si="5"/>
        <v>11.28875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80</v>
      </c>
      <c r="B147" s="60">
        <v>395.71</v>
      </c>
      <c r="C147" s="50">
        <v>7</v>
      </c>
      <c r="D147" s="60">
        <v>59.57</v>
      </c>
      <c r="E147" s="51">
        <v>1</v>
      </c>
      <c r="F147" s="51"/>
      <c r="G147" s="51"/>
      <c r="H147" s="51"/>
      <c r="I147" s="57">
        <f>IF(A147&lt;&gt;0,(B147-(B146-D146))/(A147-A146),"")</f>
        <v>11.009999999999998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89</v>
      </c>
      <c r="B148" s="60">
        <v>429.83</v>
      </c>
      <c r="C148" s="50">
        <v>8</v>
      </c>
      <c r="D148" s="60">
        <v>64.5</v>
      </c>
      <c r="E148" s="51">
        <v>1</v>
      </c>
      <c r="F148" s="51"/>
      <c r="G148" s="51"/>
      <c r="H148" s="51"/>
      <c r="I148" s="57">
        <f t="shared" si="5"/>
        <v>10.41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99</v>
      </c>
      <c r="B149" s="60">
        <v>464.8</v>
      </c>
      <c r="C149" s="50">
        <v>9</v>
      </c>
      <c r="D149" s="60">
        <v>62.94</v>
      </c>
      <c r="E149" s="51">
        <v>1</v>
      </c>
      <c r="F149" s="51"/>
      <c r="G149" s="51"/>
      <c r="H149" s="51"/>
      <c r="I149" s="57">
        <f t="shared" si="5"/>
        <v>9.9470000000000027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109</v>
      </c>
      <c r="B150" s="60">
        <v>498.97</v>
      </c>
      <c r="C150" s="50">
        <v>10</v>
      </c>
      <c r="D150" s="60">
        <v>66.959999999999994</v>
      </c>
      <c r="E150" s="51">
        <v>1</v>
      </c>
      <c r="F150" s="51"/>
      <c r="G150" s="51"/>
      <c r="H150" s="51"/>
      <c r="I150" s="57">
        <f t="shared" si="5"/>
        <v>9.7110000000000021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119</v>
      </c>
      <c r="B151" s="60">
        <v>526.04</v>
      </c>
      <c r="C151" s="50">
        <v>11</v>
      </c>
      <c r="D151" s="60">
        <v>196.46</v>
      </c>
      <c r="E151" s="51">
        <v>1</v>
      </c>
      <c r="F151" s="51"/>
      <c r="G151" s="51"/>
      <c r="H151" s="51"/>
      <c r="I151" s="57">
        <f t="shared" si="5"/>
        <v>9.4029999999999916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123</v>
      </c>
      <c r="B152" s="60">
        <v>328.09</v>
      </c>
      <c r="C152" s="50">
        <v>12</v>
      </c>
      <c r="D152" s="60">
        <v>100.6</v>
      </c>
      <c r="E152" s="54">
        <v>1</v>
      </c>
      <c r="F152" s="54"/>
      <c r="G152" s="54"/>
      <c r="H152" s="54"/>
      <c r="I152" s="57">
        <f t="shared" si="5"/>
        <v>-0.37249999999998806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127</v>
      </c>
      <c r="B153" s="60">
        <v>228.28</v>
      </c>
      <c r="C153" s="50">
        <v>13</v>
      </c>
      <c r="D153" s="60">
        <v>65.02</v>
      </c>
      <c r="E153" s="54">
        <v>1</v>
      </c>
      <c r="F153" s="54"/>
      <c r="G153" s="54"/>
      <c r="H153" s="54"/>
      <c r="I153" s="57">
        <f t="shared" si="5"/>
        <v>0.19750000000000512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131</v>
      </c>
      <c r="B154" s="56">
        <v>163.65</v>
      </c>
      <c r="C154" s="50">
        <v>14</v>
      </c>
      <c r="D154" s="50">
        <v>143.84</v>
      </c>
      <c r="E154" s="54">
        <v>1</v>
      </c>
      <c r="F154" s="54"/>
      <c r="G154" s="54"/>
      <c r="H154" s="54"/>
      <c r="I154" s="57">
        <f t="shared" si="5"/>
        <v>9.7500000000003695E-2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Cormier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30</v>
      </c>
      <c r="B166" s="60">
        <v>121.88461538461537</v>
      </c>
      <c r="C166" s="60"/>
      <c r="D166" s="60"/>
      <c r="E166" s="51"/>
      <c r="F166" s="51"/>
      <c r="G166" s="51"/>
      <c r="H166" s="51"/>
      <c r="I166" s="49">
        <f>IFERROR(B166/A166,"")</f>
        <v>4.0628205128205126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35</v>
      </c>
      <c r="B167" s="60">
        <v>201.29</v>
      </c>
      <c r="C167" s="60">
        <v>1</v>
      </c>
      <c r="D167" s="60">
        <v>69.58</v>
      </c>
      <c r="E167" s="51">
        <v>1</v>
      </c>
      <c r="F167" s="51"/>
      <c r="G167" s="51"/>
      <c r="H167" s="51"/>
      <c r="I167" s="49">
        <f t="shared" ref="I167:I185" si="6">IF(A167&lt;&gt;0,(B167-(B166-D166))/(A167-A166),"")</f>
        <v>15.881076923076924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41</v>
      </c>
      <c r="B168" s="60">
        <v>208.88</v>
      </c>
      <c r="C168" s="60">
        <v>2</v>
      </c>
      <c r="D168" s="60">
        <v>47.41</v>
      </c>
      <c r="E168" s="51">
        <v>1</v>
      </c>
      <c r="F168" s="51"/>
      <c r="G168" s="51"/>
      <c r="H168" s="51"/>
      <c r="I168" s="49">
        <f t="shared" si="6"/>
        <v>12.86166666666667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48</v>
      </c>
      <c r="B169" s="60">
        <v>252.89</v>
      </c>
      <c r="C169" s="60">
        <v>3</v>
      </c>
      <c r="D169" s="60">
        <v>61.12</v>
      </c>
      <c r="E169" s="51">
        <v>1</v>
      </c>
      <c r="F169" s="51"/>
      <c r="G169" s="51"/>
      <c r="H169" s="51"/>
      <c r="I169" s="49">
        <f t="shared" si="6"/>
        <v>13.059999999999999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55</v>
      </c>
      <c r="B170" s="60">
        <v>277.67</v>
      </c>
      <c r="C170" s="60">
        <v>4</v>
      </c>
      <c r="D170" s="60">
        <v>58.24</v>
      </c>
      <c r="E170" s="51">
        <v>1</v>
      </c>
      <c r="F170" s="51"/>
      <c r="G170" s="51"/>
      <c r="H170" s="51"/>
      <c r="I170" s="49">
        <f t="shared" si="6"/>
        <v>12.271428571428576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63</v>
      </c>
      <c r="B171" s="60">
        <v>312.58999999999997</v>
      </c>
      <c r="C171" s="60">
        <v>5</v>
      </c>
      <c r="D171" s="60">
        <v>54.21</v>
      </c>
      <c r="E171" s="51">
        <v>1</v>
      </c>
      <c r="F171" s="51"/>
      <c r="G171" s="51"/>
      <c r="H171" s="51"/>
      <c r="I171" s="49">
        <f t="shared" si="6"/>
        <v>11.644999999999996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71</v>
      </c>
      <c r="B172" s="60">
        <v>348.69</v>
      </c>
      <c r="C172" s="60">
        <v>6</v>
      </c>
      <c r="D172" s="60">
        <v>52.07</v>
      </c>
      <c r="E172" s="51">
        <v>1</v>
      </c>
      <c r="F172" s="51"/>
      <c r="G172" s="51"/>
      <c r="H172" s="51"/>
      <c r="I172" s="49">
        <f t="shared" si="6"/>
        <v>11.28875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80</v>
      </c>
      <c r="B173" s="50">
        <v>395.71</v>
      </c>
      <c r="C173" s="50">
        <v>7</v>
      </c>
      <c r="D173" s="50">
        <v>59.57</v>
      </c>
      <c r="E173" s="51">
        <v>1</v>
      </c>
      <c r="F173" s="51"/>
      <c r="G173" s="51"/>
      <c r="H173" s="51"/>
      <c r="I173" s="49">
        <f t="shared" si="6"/>
        <v>11.009999999999998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89</v>
      </c>
      <c r="B174" s="50">
        <v>429.83</v>
      </c>
      <c r="C174" s="50">
        <v>8</v>
      </c>
      <c r="D174" s="50">
        <v>64.5</v>
      </c>
      <c r="E174" s="51">
        <v>1</v>
      </c>
      <c r="F174" s="51"/>
      <c r="G174" s="51"/>
      <c r="H174" s="51"/>
      <c r="I174" s="49">
        <f t="shared" si="6"/>
        <v>10.41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99</v>
      </c>
      <c r="B175" s="50">
        <v>464.8</v>
      </c>
      <c r="C175" s="50">
        <v>9</v>
      </c>
      <c r="D175" s="50">
        <v>62.94</v>
      </c>
      <c r="E175" s="51">
        <v>1</v>
      </c>
      <c r="F175" s="51"/>
      <c r="G175" s="51"/>
      <c r="H175" s="51"/>
      <c r="I175" s="49">
        <f t="shared" si="6"/>
        <v>9.9470000000000027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109</v>
      </c>
      <c r="B176" s="50">
        <v>498.97</v>
      </c>
      <c r="C176" s="50">
        <v>10</v>
      </c>
      <c r="D176" s="50">
        <v>66.959999999999994</v>
      </c>
      <c r="E176" s="51">
        <v>1</v>
      </c>
      <c r="F176" s="51"/>
      <c r="G176" s="51"/>
      <c r="H176" s="51"/>
      <c r="I176" s="49">
        <f t="shared" si="6"/>
        <v>9.7110000000000021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119</v>
      </c>
      <c r="B177" s="50">
        <v>526.04</v>
      </c>
      <c r="C177" s="50">
        <v>11</v>
      </c>
      <c r="D177" s="50">
        <v>196.46</v>
      </c>
      <c r="E177" s="51">
        <v>1</v>
      </c>
      <c r="F177" s="51"/>
      <c r="G177" s="51"/>
      <c r="H177" s="51"/>
      <c r="I177" s="49">
        <f t="shared" si="6"/>
        <v>9.4029999999999916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123</v>
      </c>
      <c r="B178" s="50">
        <v>328.09</v>
      </c>
      <c r="C178" s="50">
        <v>12</v>
      </c>
      <c r="D178" s="50">
        <v>100.6</v>
      </c>
      <c r="E178" s="51">
        <v>1</v>
      </c>
      <c r="F178" s="51"/>
      <c r="G178" s="51"/>
      <c r="H178" s="51"/>
      <c r="I178" s="49">
        <f t="shared" si="6"/>
        <v>-0.37249999999998806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127</v>
      </c>
      <c r="B179" s="50">
        <v>228.28</v>
      </c>
      <c r="C179" s="50">
        <v>13</v>
      </c>
      <c r="D179" s="50">
        <v>65.02</v>
      </c>
      <c r="E179" s="51">
        <v>1</v>
      </c>
      <c r="F179" s="51"/>
      <c r="G179" s="51"/>
      <c r="H179" s="51"/>
      <c r="I179" s="49">
        <f t="shared" si="6"/>
        <v>0.19750000000000512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131</v>
      </c>
      <c r="B180" s="50">
        <v>163.65</v>
      </c>
      <c r="C180" s="50">
        <v>14</v>
      </c>
      <c r="D180" s="50">
        <v>143.84</v>
      </c>
      <c r="E180" s="51">
        <v>1</v>
      </c>
      <c r="F180" s="51"/>
      <c r="G180" s="51"/>
      <c r="H180" s="51"/>
      <c r="I180" s="49">
        <f t="shared" si="6"/>
        <v>9.7500000000003695E-2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Châtaignier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11</v>
      </c>
      <c r="C192" s="60"/>
      <c r="D192" s="60">
        <v>0</v>
      </c>
      <c r="E192" s="51"/>
      <c r="F192" s="51"/>
      <c r="G192" s="51"/>
      <c r="H192" s="51"/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15</v>
      </c>
      <c r="B193" s="60">
        <v>65</v>
      </c>
      <c r="C193" s="60">
        <v>1</v>
      </c>
      <c r="D193" s="60">
        <v>32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10.8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60">
        <v>102</v>
      </c>
      <c r="C194" s="60">
        <v>2</v>
      </c>
      <c r="D194" s="60">
        <v>35</v>
      </c>
      <c r="E194" s="51"/>
      <c r="F194" s="51"/>
      <c r="G194" s="51"/>
      <c r="H194" s="51">
        <v>1</v>
      </c>
      <c r="I194" s="49">
        <f t="shared" si="7"/>
        <v>13.8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25</v>
      </c>
      <c r="B195" s="60">
        <v>141</v>
      </c>
      <c r="C195" s="60">
        <v>3</v>
      </c>
      <c r="D195" s="60">
        <v>35</v>
      </c>
      <c r="E195" s="51"/>
      <c r="F195" s="51"/>
      <c r="G195" s="51"/>
      <c r="H195" s="51">
        <v>1</v>
      </c>
      <c r="I195" s="49">
        <f t="shared" si="7"/>
        <v>14.8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30</v>
      </c>
      <c r="B196" s="60">
        <v>177</v>
      </c>
      <c r="C196" s="60">
        <v>4</v>
      </c>
      <c r="D196" s="60">
        <v>35</v>
      </c>
      <c r="E196" s="51"/>
      <c r="F196" s="51"/>
      <c r="G196" s="51"/>
      <c r="H196" s="51">
        <v>1</v>
      </c>
      <c r="I196" s="49">
        <f t="shared" si="7"/>
        <v>14.2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35</v>
      </c>
      <c r="B197" s="60">
        <v>206</v>
      </c>
      <c r="C197" s="60">
        <v>5</v>
      </c>
      <c r="D197" s="60">
        <v>35</v>
      </c>
      <c r="E197" s="51">
        <v>1</v>
      </c>
      <c r="F197" s="51"/>
      <c r="G197" s="51"/>
      <c r="H197" s="51"/>
      <c r="I197" s="49">
        <f t="shared" si="7"/>
        <v>12.8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60">
        <v>228</v>
      </c>
      <c r="C198" s="60">
        <v>6</v>
      </c>
      <c r="D198" s="60">
        <v>35</v>
      </c>
      <c r="E198" s="51">
        <v>1</v>
      </c>
      <c r="F198" s="51"/>
      <c r="G198" s="51"/>
      <c r="H198" s="51"/>
      <c r="I198" s="49">
        <f t="shared" si="7"/>
        <v>11.4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45</v>
      </c>
      <c r="B199" s="50">
        <v>242</v>
      </c>
      <c r="C199" s="50">
        <v>7</v>
      </c>
      <c r="D199" s="50">
        <v>24</v>
      </c>
      <c r="E199" s="51">
        <v>1</v>
      </c>
      <c r="F199" s="51"/>
      <c r="G199" s="51"/>
      <c r="H199" s="51"/>
      <c r="I199" s="49">
        <f t="shared" si="7"/>
        <v>9.8000000000000007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50</v>
      </c>
      <c r="B200" s="50">
        <v>261</v>
      </c>
      <c r="C200" s="50">
        <v>8</v>
      </c>
      <c r="D200" s="50">
        <v>19</v>
      </c>
      <c r="E200" s="51">
        <v>1</v>
      </c>
      <c r="F200" s="51"/>
      <c r="G200" s="51"/>
      <c r="H200" s="51"/>
      <c r="I200" s="49">
        <f t="shared" si="7"/>
        <v>8.6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55</v>
      </c>
      <c r="B201" s="50">
        <v>279</v>
      </c>
      <c r="C201" s="50">
        <v>9</v>
      </c>
      <c r="D201" s="50">
        <v>16</v>
      </c>
      <c r="E201" s="51">
        <v>1</v>
      </c>
      <c r="F201" s="51"/>
      <c r="G201" s="51"/>
      <c r="H201" s="51"/>
      <c r="I201" s="49">
        <f t="shared" si="7"/>
        <v>7.4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60</v>
      </c>
      <c r="B202" s="50">
        <v>294</v>
      </c>
      <c r="C202" s="50">
        <v>10</v>
      </c>
      <c r="D202" s="50">
        <v>14</v>
      </c>
      <c r="E202" s="51">
        <v>1</v>
      </c>
      <c r="F202" s="51"/>
      <c r="G202" s="51"/>
      <c r="H202" s="51"/>
      <c r="I202" s="49">
        <f t="shared" si="7"/>
        <v>6.2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65</v>
      </c>
      <c r="B203" s="50">
        <v>306</v>
      </c>
      <c r="C203" s="50">
        <v>11</v>
      </c>
      <c r="D203" s="50">
        <v>13</v>
      </c>
      <c r="E203" s="51">
        <v>1</v>
      </c>
      <c r="F203" s="51"/>
      <c r="G203" s="51"/>
      <c r="H203" s="51"/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70</v>
      </c>
      <c r="B204" s="50">
        <v>316</v>
      </c>
      <c r="C204" s="50">
        <v>12</v>
      </c>
      <c r="D204" s="50">
        <v>13</v>
      </c>
      <c r="E204" s="51">
        <v>1</v>
      </c>
      <c r="F204" s="51"/>
      <c r="G204" s="51"/>
      <c r="H204" s="51"/>
      <c r="I204" s="49">
        <f t="shared" si="7"/>
        <v>4.5999999999999996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75</v>
      </c>
      <c r="B205" s="50">
        <v>324</v>
      </c>
      <c r="C205" s="50">
        <v>13</v>
      </c>
      <c r="D205" s="50">
        <v>12</v>
      </c>
      <c r="E205" s="51">
        <v>1</v>
      </c>
      <c r="F205" s="51"/>
      <c r="G205" s="51"/>
      <c r="H205" s="51"/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80</v>
      </c>
      <c r="B206" s="50">
        <v>330</v>
      </c>
      <c r="C206" s="50">
        <v>14</v>
      </c>
      <c r="D206" s="50">
        <v>11</v>
      </c>
      <c r="E206" s="51">
        <v>1</v>
      </c>
      <c r="F206" s="51"/>
      <c r="G206" s="51"/>
      <c r="H206" s="51"/>
      <c r="I206" s="49">
        <f t="shared" si="7"/>
        <v>3.6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Erable sycomore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10</v>
      </c>
      <c r="B218" s="60">
        <v>11</v>
      </c>
      <c r="C218" s="50"/>
      <c r="D218" s="60">
        <v>0</v>
      </c>
      <c r="E218" s="63"/>
      <c r="F218" s="63"/>
      <c r="G218" s="63"/>
      <c r="H218" s="63"/>
      <c r="I218" s="53">
        <f>IFERROR(B218/A218,"")</f>
        <v>1.1000000000000001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15</v>
      </c>
      <c r="B219" s="60">
        <v>65</v>
      </c>
      <c r="C219" s="50">
        <v>1</v>
      </c>
      <c r="D219" s="60">
        <v>32</v>
      </c>
      <c r="E219" s="63"/>
      <c r="F219" s="63"/>
      <c r="G219" s="63"/>
      <c r="H219" s="63">
        <v>1</v>
      </c>
      <c r="I219" s="53">
        <f t="shared" ref="I219:I237" si="8">IF(A219&lt;&gt;0,(B219-(B218-D218))/(A219-A218),"")</f>
        <v>10.8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20</v>
      </c>
      <c r="B220" s="60">
        <v>102</v>
      </c>
      <c r="C220" s="50">
        <v>2</v>
      </c>
      <c r="D220" s="60">
        <v>35</v>
      </c>
      <c r="E220" s="63"/>
      <c r="F220" s="63"/>
      <c r="G220" s="63"/>
      <c r="H220" s="63">
        <v>1</v>
      </c>
      <c r="I220" s="53">
        <f t="shared" si="8"/>
        <v>13.8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25</v>
      </c>
      <c r="B221" s="55">
        <v>141</v>
      </c>
      <c r="C221" s="55">
        <v>3</v>
      </c>
      <c r="D221" s="55">
        <v>35</v>
      </c>
      <c r="E221" s="63"/>
      <c r="F221" s="63"/>
      <c r="G221" s="63"/>
      <c r="H221" s="63">
        <v>1</v>
      </c>
      <c r="I221" s="53">
        <f t="shared" si="8"/>
        <v>14.8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30</v>
      </c>
      <c r="B222" s="55">
        <v>177</v>
      </c>
      <c r="C222" s="55">
        <v>4</v>
      </c>
      <c r="D222" s="55">
        <v>35</v>
      </c>
      <c r="E222" s="63"/>
      <c r="F222" s="63"/>
      <c r="G222" s="63"/>
      <c r="H222" s="63">
        <v>1</v>
      </c>
      <c r="I222" s="53">
        <f t="shared" si="8"/>
        <v>14.2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35</v>
      </c>
      <c r="B223" s="55">
        <v>206</v>
      </c>
      <c r="C223" s="55">
        <v>5</v>
      </c>
      <c r="D223" s="55">
        <v>35</v>
      </c>
      <c r="E223" s="63">
        <v>1</v>
      </c>
      <c r="F223" s="63"/>
      <c r="G223" s="63"/>
      <c r="H223" s="63"/>
      <c r="I223" s="53">
        <f t="shared" si="8"/>
        <v>12.8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40</v>
      </c>
      <c r="B224" s="55">
        <v>228</v>
      </c>
      <c r="C224" s="55">
        <v>6</v>
      </c>
      <c r="D224" s="55">
        <v>35</v>
      </c>
      <c r="E224" s="63">
        <v>1</v>
      </c>
      <c r="F224" s="63"/>
      <c r="G224" s="63"/>
      <c r="H224" s="63"/>
      <c r="I224" s="53">
        <f t="shared" si="8"/>
        <v>11.4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45</v>
      </c>
      <c r="B225" s="55">
        <v>242</v>
      </c>
      <c r="C225" s="55">
        <v>7</v>
      </c>
      <c r="D225" s="55">
        <v>24</v>
      </c>
      <c r="E225" s="63">
        <v>1</v>
      </c>
      <c r="F225" s="63"/>
      <c r="G225" s="63"/>
      <c r="H225" s="63"/>
      <c r="I225" s="53">
        <f t="shared" si="8"/>
        <v>9.8000000000000007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50</v>
      </c>
      <c r="B226" s="55">
        <v>261</v>
      </c>
      <c r="C226" s="55">
        <v>8</v>
      </c>
      <c r="D226" s="55">
        <v>19</v>
      </c>
      <c r="E226" s="63">
        <v>1</v>
      </c>
      <c r="F226" s="63"/>
      <c r="G226" s="63"/>
      <c r="H226" s="63"/>
      <c r="I226" s="53">
        <f t="shared" si="8"/>
        <v>8.6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55</v>
      </c>
      <c r="B227" s="55">
        <v>279</v>
      </c>
      <c r="C227" s="55">
        <v>9</v>
      </c>
      <c r="D227" s="55">
        <v>16</v>
      </c>
      <c r="E227" s="63">
        <v>1</v>
      </c>
      <c r="F227" s="63"/>
      <c r="G227" s="63"/>
      <c r="H227" s="63"/>
      <c r="I227" s="53">
        <f t="shared" si="8"/>
        <v>7.4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60</v>
      </c>
      <c r="B228" s="55">
        <v>294</v>
      </c>
      <c r="C228" s="55">
        <v>10</v>
      </c>
      <c r="D228" s="55">
        <v>14</v>
      </c>
      <c r="E228" s="63">
        <v>1</v>
      </c>
      <c r="F228" s="63"/>
      <c r="G228" s="63"/>
      <c r="H228" s="63"/>
      <c r="I228" s="53">
        <f t="shared" si="8"/>
        <v>6.2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65</v>
      </c>
      <c r="B229" s="55">
        <v>306</v>
      </c>
      <c r="C229" s="55">
        <v>11</v>
      </c>
      <c r="D229" s="55">
        <v>13</v>
      </c>
      <c r="E229" s="63">
        <v>1</v>
      </c>
      <c r="F229" s="63"/>
      <c r="G229" s="63"/>
      <c r="H229" s="63"/>
      <c r="I229" s="53">
        <f t="shared" si="8"/>
        <v>5.2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70</v>
      </c>
      <c r="B230" s="55">
        <v>316</v>
      </c>
      <c r="C230" s="55">
        <v>12</v>
      </c>
      <c r="D230" s="55">
        <v>13</v>
      </c>
      <c r="E230" s="64">
        <v>1</v>
      </c>
      <c r="F230" s="64"/>
      <c r="G230" s="64"/>
      <c r="H230" s="64"/>
      <c r="I230" s="53">
        <f t="shared" si="8"/>
        <v>4.5999999999999996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>
        <v>75</v>
      </c>
      <c r="B231" s="60">
        <v>324</v>
      </c>
      <c r="C231" s="86">
        <v>13</v>
      </c>
      <c r="D231" s="60">
        <v>12</v>
      </c>
      <c r="E231" s="54">
        <v>1</v>
      </c>
      <c r="F231" s="54"/>
      <c r="G231" s="54"/>
      <c r="H231" s="54"/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80</v>
      </c>
      <c r="B232" s="50">
        <v>330</v>
      </c>
      <c r="C232" s="50">
        <v>14</v>
      </c>
      <c r="D232" s="50">
        <v>11</v>
      </c>
      <c r="E232" s="54">
        <v>1</v>
      </c>
      <c r="F232" s="54"/>
      <c r="G232" s="54"/>
      <c r="H232" s="54"/>
      <c r="I232" s="53">
        <f t="shared" si="8"/>
        <v>3.6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phoneticPr fontId="35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topLeftCell="B6" zoomScale="115" zoomScaleNormal="115" workbookViewId="0">
      <selection activeCell="C23" sqref="C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0.61739130434782596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0.38260869565217387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0.99999999999999978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Cèdre de l'Atlas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Pin laricio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Peuplier I-214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 sessile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Chêne pubescent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Cormier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Châtaignier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Erable sycomore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3.0869565217391299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11.318840579710143</v>
      </c>
      <c r="H3" s="66">
        <f>(B3+E3+F3)*44/12+(C3+D3)*0.475*44/12</f>
        <v>211.39130434782609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54.565217391304344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200.07246376811591</v>
      </c>
      <c r="S3" s="59">
        <f ca="1">AVERAGE(OFFSET($R$3,0,0,'Données projet'!$E$9+1,1))-AVERAGE(OFFSET($H$3,0,0,'Données projet'!$E$9+1,1))</f>
        <v>320.30433416149219</v>
      </c>
      <c r="T3" s="59">
        <f>IF('Données projet'!E9&gt;30,$R$33-$H$33,LOOKUP('Données projet'!$E$9,$A$3:$A$203,R3:R203)-LOOKUP('Données projet'!$E$9,$A$3:$A$203,$H$3:$H$203))</f>
        <v>201.33422682092797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54.565217391304344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200.07246376811591</v>
      </c>
      <c r="AN3" s="59">
        <f ca="1">AVERAGE(OFFSET($AM$3,0,0,'Données projet'!$E$10+1,1))-AVERAGE(OFFSET($H$3,0,0,'Données projet'!$E$10+1,1))</f>
        <v>569.80473816957431</v>
      </c>
      <c r="AO3" s="59">
        <f>IF('Données projet'!E10&gt;30,$AM$33-$H$33,LOOKUP('Données projet'!$E$10,$A$3:$A$203,AM3:AM203)-LOOKUP('Données projet'!$E$10,$A$3:$A$203,$H$3:$H$203))</f>
        <v>495.56567790763199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54.565217391304344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200.07246376811591</v>
      </c>
      <c r="BI3" s="59">
        <f ca="1">AVERAGE(OFFSET($BH$3,0,0,'Données projet'!$E$11+1,1))-AVERAGE(OFFSET($H$3,0,0,'Données projet'!$E$11+1,1))</f>
        <v>180.42749272334603</v>
      </c>
      <c r="BJ3" s="59">
        <f>IF('Données projet'!E11&gt;30,$BH$33-$H$33,LOOKUP('Données projet'!$E$11,$A$3:$A$203,BH3:BH203)-LOOKUP('Données projet'!$E$11,$A$3:$A$203,$H$3:$H$203))</f>
        <v>346.61476512497495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54.565217391304344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200.07246376811591</v>
      </c>
      <c r="CD3" s="59">
        <f ca="1">AVERAGE(OFFSET($CC$3,0,0,'Données projet'!$E$12+1,1))-AVERAGE(OFFSET($H$3,0,0,'Données projet'!$E$12+1,1))</f>
        <v>553.16421218123958</v>
      </c>
      <c r="CE3" s="59">
        <f>IF('Données projet'!E12&gt;30,$CC$33-$H$33,LOOKUP('Données projet'!$E$12,$A$3:$A$203,CC3:CC203)-LOOKUP('Données projet'!$E$12,$A$3:$A$203,$H$3:$H$203))</f>
        <v>291.73668613844416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54.565217391304344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200.07246376811591</v>
      </c>
      <c r="CY3" s="59">
        <f ca="1">AVERAGE(OFFSET($CX$3,0,0,'Données projet'!$E$13+1,1))-AVERAGE(OFFSET($H$3,0,0,'Données projet'!$E$13+1,1))</f>
        <v>611.82989382187804</v>
      </c>
      <c r="CZ3" s="59">
        <f>IF('Données projet'!E13&gt;30,$CX$33-$H$33,LOOKUP('Données projet'!$E$13,$A$3:$A$203,CX3:CX203)-LOOKUP('Données projet'!$E$13,$A$3:$A$203,$H$3:$H$203))</f>
        <v>320.34124600136363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54.565217391304344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200.07246376811591</v>
      </c>
      <c r="DT3" s="59">
        <f ca="1">AVERAGE(OFFSET($DS$3,0,0,'Données projet'!$E$14+1,1))-AVERAGE(OFFSET($H$3,0,0,'Données projet'!$E$14+1,1))</f>
        <v>645.29541304800614</v>
      </c>
      <c r="DU3" s="59">
        <f>IF('Données projet'!E14&gt;30,$DS$33-$H$33,LOOKUP('Données projet'!$E$14,$A$3:$A$203,DS3:DS203)-LOOKUP('Données projet'!$E$14,$A$3:$A$203,$H$3:$H$203))</f>
        <v>336.65580771733323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54.565217391304344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200.07246376811591</v>
      </c>
      <c r="EO3" s="59">
        <f ca="1">AVERAGE(OFFSET($EN$3,0,0,'Données projet'!$E$15+1,1))-AVERAGE(OFFSET($H$3,0,0,'Données projet'!$E$15+1,1))</f>
        <v>343.31122043016137</v>
      </c>
      <c r="EP3" s="59">
        <f>IF('Données projet'!E15&gt;30,$EN$33-$H$33,LOOKUP('Données projet'!$E$15,$A$3:$A$203,EN3:EN203)-LOOKUP('Données projet'!$E$15,$A$3:$A$203,$H$3:$H$203))</f>
        <v>333.61098411258877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54.565217391304344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200.07246376811591</v>
      </c>
      <c r="FJ3" s="59">
        <f ca="1">AVERAGE(OFFSET($FI$3,0,0,'Données projet'!$E$16+1,1))-AVERAGE(OFFSET($H$3,0,0,'Données projet'!$E$16+1,1))</f>
        <v>368.12945163484585</v>
      </c>
      <c r="FK3" s="59">
        <f>IF('Données projet'!E16&gt;30,$FI$33-$H$33,LOOKUP('Données projet'!$E$16,$A$3:$A$203,FI3:FI203)-LOOKUP('Données projet'!$E$16,$A$3:$A$203,$H$3:$H$203))</f>
        <v>357.27183934545121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54.565217391304344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54.565217391304344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3.0869565217391299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11.318840579710143</v>
      </c>
      <c r="H4" s="66">
        <f t="shared" ref="H4:H67" si="1">(B4+E4+F4)*44/12+(C4+D4)*0.475*44/12</f>
        <v>211.39130434782609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54.832976362560814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4.8773333333333335</v>
      </c>
      <c r="N4" s="13">
        <f>IF('Données projet'!$A$36&gt;35,N3+M4-V3,IF(A4&lt;'Données projet'!$A$36,$K$205^A4,IF(A4='Données projet'!$A$36,'Données projet'!$B$36,N3+M4-V3)))</f>
        <v>1.1808012106418171</v>
      </c>
      <c r="O4" s="13">
        <f>N4*VLOOKUP('Données projet'!$B$9,Paramètres!$A$1:$I$89,3,0)*VLOOKUP('Données projet'!$B$9,Paramètres!$A$1:$I$89,5,0)</f>
        <v>0.55261496658037046</v>
      </c>
      <c r="P4" s="13">
        <f>EXP(-1.0587+0.8836*LN(O4)+0.284)</f>
        <v>0.27287057878313026</v>
      </c>
      <c r="Q4" s="20">
        <f t="shared" ref="Q4:Q34" si="2">(O4+P4)*0.475*44/12</f>
        <v>1.4377206581747635</v>
      </c>
      <c r="R4" s="59">
        <f t="shared" si="0"/>
        <v>203.71418954311997</v>
      </c>
      <c r="S4" s="59">
        <f ca="1">AVERAGE(OFFSET($R$3,0,0,'Données projet'!$E$9+1,1))-AVERAGE(OFFSET($H$3,0,0,'Données projet'!$E$9+1,1))</f>
        <v>320.30433416149219</v>
      </c>
      <c r="T4" s="59">
        <f>$T$3</f>
        <v>201.33422682092797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54.832976362560814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8.6</v>
      </c>
      <c r="AI4" s="13">
        <f>IF('Données projet'!$A$62&gt;35,AI3+AH4-AQ3,IF(A4&lt;'Données projet'!$A$62,$AF$205^A4,IF(A4='Données projet'!$A$62,'Données projet'!$B$62,AI3+AH4-AQ3)))</f>
        <v>1.3826300153206645</v>
      </c>
      <c r="AJ4" s="13">
        <f>AI4*VLOOKUP('Données projet'!$B$10,Paramètres!$A$1:$I$89,3,0)*VLOOKUP('Données projet'!$B$10,Paramètres!$A$1:$I$89,5,0)</f>
        <v>0.82681274916175751</v>
      </c>
      <c r="AK4" s="13">
        <f>EXP(-1.0587+0.8836*LN(AJ4)+0.284)</f>
        <v>0.38955881454640179</v>
      </c>
      <c r="AL4" s="20">
        <f t="shared" ref="AL4:AL67" si="4">(AJ4+AK4)*0.475*44/12</f>
        <v>2.1185138067917109</v>
      </c>
      <c r="AM4" s="59">
        <f t="shared" ref="AM4:AM67" si="5">AL4+(AD4+AE4)*44/12</f>
        <v>204.39498269173691</v>
      </c>
      <c r="AN4" s="59">
        <f ca="1">AVERAGE(OFFSET($AM$3,0,0,'Données projet'!$E$10+1,1))-AVERAGE(OFFSET($H$3,0,0,'Données projet'!$E$10+1,1))</f>
        <v>569.80473816957431</v>
      </c>
      <c r="AO4" s="59">
        <f>$AO$3</f>
        <v>495.56567790763199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54.832976362560814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10.683760683333334</v>
      </c>
      <c r="BD4" s="12">
        <f>IF('Données projet'!$A$88&gt;35,BD3+BC4-BL3,IF(A4&lt;'Données projet'!$A$88,$BA$205^A4,IF(A4='Données projet'!$A$88,'Données projet'!$B$88,BD3+BC4-BL3)))</f>
        <v>1.660847009958063</v>
      </c>
      <c r="BE4" s="13">
        <f>BD4*VLOOKUP('Données projet'!$B$11,Paramètres!$A$1:$I$89,3,0)*VLOOKUP('Données projet'!$B$11,Paramètres!$A$1:$I$89,5,0)</f>
        <v>0.73063981662075106</v>
      </c>
      <c r="BF4" s="13">
        <f>EXP(-1.0587+0.8836*LN(BE4)+0.284)</f>
        <v>0.34923706701204527</v>
      </c>
      <c r="BG4" s="20">
        <f t="shared" ref="BG4:BG67" si="7">(BE4+BF4)*0.475*44/12</f>
        <v>1.8807855723271203</v>
      </c>
      <c r="BH4" s="59">
        <f t="shared" ref="BH4:BH67" si="8">BG4+(AY4+AZ4)*44/12</f>
        <v>204.15725445727233</v>
      </c>
      <c r="BI4" s="59">
        <f ca="1">AVERAGE(OFFSET($BH$3,0,0,'Données projet'!$E$11+1,1))-AVERAGE(OFFSET($H$3,0,0,'Données projet'!$E$11+1,1))</f>
        <v>180.42749272334603</v>
      </c>
      <c r="BJ4" s="59">
        <f>$BJ$3</f>
        <v>346.61476512497495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54.832976362560814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4.0628205128205126</v>
      </c>
      <c r="BY4" s="12">
        <f>IF('Données projet'!$A$114&gt;35,BY3+BX4-CG3,IF(A4&lt;'Données projet'!$A$114,$BV$205^A4,IF(A4='Données projet'!$A$114,'Données projet'!$B$114,BY3+BX4-CG3)))</f>
        <v>1.1736311550444201</v>
      </c>
      <c r="BZ4" s="13">
        <f>BY4*VLOOKUP('Données projet'!$B$12,Paramètres!$A$1:$I$89,3,0)*VLOOKUP('Données projet'!$B$12,Paramètres!$A$1:$I$89,5,0)</f>
        <v>1.0619014690841913</v>
      </c>
      <c r="CA4" s="13">
        <f>EXP(-1.0587+0.8836*LN(BZ4)+0.284)</f>
        <v>0.48595950732890802</v>
      </c>
      <c r="CB4" s="20">
        <f t="shared" ref="CB4:CB67" si="10">(BZ4+CA4)*0.475*44/12</f>
        <v>2.6958578672528142</v>
      </c>
      <c r="CC4" s="59">
        <f t="shared" ref="CC4:CC67" si="11">CB4+(BT4+BU4)*44/12</f>
        <v>204.97232675219803</v>
      </c>
      <c r="CD4" s="59">
        <f ca="1">AVERAGE(OFFSET($CC$3,0,0,'Données projet'!$E$12+1,1))-AVERAGE(OFFSET($H$3,0,0,'Données projet'!$E$12+1,1))</f>
        <v>553.16421218123958</v>
      </c>
      <c r="CE4" s="59">
        <f>$CE$3</f>
        <v>291.73668613844416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54.832976362560814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4.0628205128205126</v>
      </c>
      <c r="CT4" s="12">
        <f>IF('Données projet'!$A$140&gt;35,CT3+CS4-DB3,IF(A4&lt;'Données projet'!$A$140,$CQ$205^A4,IF(A4='Données projet'!$A$140,'Données projet'!$B$140,CT3+CS4-DB3)))</f>
        <v>1.1736311550444201</v>
      </c>
      <c r="CU4" s="17">
        <f>CT4*VLOOKUP('Données projet'!$B$13,Paramètres!$A$1:$I$89,3,0)*VLOOKUP('Données projet'!$B$13,Paramètres!$A$1:$I$89,5,0)</f>
        <v>1.1900619912150421</v>
      </c>
      <c r="CV4" s="13">
        <f>EXP(-1.0587+0.8836*LN(CU4)+0.284)</f>
        <v>0.53743426225295832</v>
      </c>
      <c r="CW4" s="20">
        <f t="shared" ref="CW4:CW67" si="13">(CU4+CV4)*0.475*44/12</f>
        <v>3.0087226414567669</v>
      </c>
      <c r="CX4" s="59">
        <f t="shared" ref="CX4:CX67" si="14">CW4+(CO4+CP4)*44/12</f>
        <v>205.28519152640197</v>
      </c>
      <c r="CY4" s="59">
        <f ca="1">AVERAGE(OFFSET($CX$3,0,0,'Données projet'!$E$13+1,1))-AVERAGE(OFFSET($H$3,0,0,'Données projet'!$E$13+1,1))</f>
        <v>611.82989382187804</v>
      </c>
      <c r="CZ4" s="59">
        <f>$CZ$3</f>
        <v>320.34124600136363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54.832976362560814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4.0628205128205126</v>
      </c>
      <c r="DO4" s="12">
        <f>IF('Données projet'!$A$166&gt;35,DO3+DN4-DW3,IF(A4&lt;'Données projet'!$A$166,$DL$205^A4,IF(A4='Données projet'!$A$166,'Données projet'!$B$166,DO3+DN4-DW3)))</f>
        <v>1.1736311550444201</v>
      </c>
      <c r="DP4" s="17">
        <f>DO4*VLOOKUP('Données projet'!$B$14,Paramètres!$A$1:$I$89,3,0)*VLOOKUP('Données projet'!$B$14,Paramètres!$A$1:$I$89,5,0)</f>
        <v>1.2632965752898135</v>
      </c>
      <c r="DQ4" s="13">
        <f>EXP(-1.0587+0.8836*LN(DP4)+0.284)</f>
        <v>0.56655511466244612</v>
      </c>
      <c r="DR4" s="20">
        <f t="shared" ref="DR4:DR67" si="16">(DP4+DQ4)*0.475*44/12</f>
        <v>3.1869916933335189</v>
      </c>
      <c r="DS4" s="59">
        <f t="shared" ref="DS4:DS67" si="17">DR4+(DJ4+DK4)*44/12</f>
        <v>205.46346057827873</v>
      </c>
      <c r="DT4" s="59">
        <f ca="1">AVERAGE(OFFSET($DS$3,0,0,'Données projet'!$E$14+1,1))-AVERAGE(OFFSET($H$3,0,0,'Données projet'!$E$14+1,1))</f>
        <v>645.29541304800614</v>
      </c>
      <c r="DU4" s="59">
        <f>$DU$3</f>
        <v>336.65580771733323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54.832976362560814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0.93188372027207511</v>
      </c>
      <c r="EL4" s="13">
        <f>EXP(-1.0587+0.8836*LN(EK4)+0.284)</f>
        <v>0.43299221190803017</v>
      </c>
      <c r="EM4" s="20">
        <f t="shared" ref="EM4:EM67" si="19">(EK4+EL4)*0.475*44/12</f>
        <v>2.3771589152136832</v>
      </c>
      <c r="EN4" s="59">
        <f t="shared" ref="EN4:EN67" si="20">EM4+(EE4+EF4)*44/12</f>
        <v>204.65362780015889</v>
      </c>
      <c r="EO4" s="59">
        <f ca="1">AVERAGE(OFFSET($EN$3,0,0,'Données projet'!$E$15+1,1))-AVERAGE(OFFSET($H$3,0,0,'Données projet'!$E$15+1,1))</f>
        <v>343.31122043016137</v>
      </c>
      <c r="EP4" s="59">
        <f>$EP$3</f>
        <v>333.61098411258877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54.832976362560814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1.1000000000000001</v>
      </c>
      <c r="FE4" s="12">
        <f>IF('Données projet'!$A$218&gt;35,FE3+FD4-FM3,IF(A4&lt;'Données projet'!$A$218,$FB$205^A4,IF(A4='Données projet'!$A$218,'Données projet'!$B$218,FE3+FD4-FM3)))</f>
        <v>1.2709816152101407</v>
      </c>
      <c r="FF4" s="17">
        <f>FE4*VLOOKUP('Données projet'!$B$16,Paramètres!$A$1:$I$89,3,0)*VLOOKUP('Données projet'!$B$16,Paramètres!$A$1:$I$89,5,0)</f>
        <v>1.0111929730611879</v>
      </c>
      <c r="FG4" s="13">
        <f>EXP(-1.0587+0.8836*LN(FF4)+0.284)</f>
        <v>0.46539683474213156</v>
      </c>
      <c r="FH4" s="20">
        <f t="shared" ref="FH4:FH67" si="22">(FF4+FG4)*0.475*44/12</f>
        <v>2.5717272485907814</v>
      </c>
      <c r="FI4" s="59">
        <f t="shared" ref="FI4:FI67" si="23">FH4+(EZ4+FA4)*44/12</f>
        <v>204.84819613353599</v>
      </c>
      <c r="FJ4" s="59">
        <f ca="1">AVERAGE(OFFSET($FI$3,0,0,'Données projet'!$E$16+1,1))-AVERAGE(OFFSET($H$3,0,0,'Données projet'!$E$16+1,1))</f>
        <v>368.12945163484585</v>
      </c>
      <c r="FK4" s="59">
        <f>$FK$3</f>
        <v>357.27183934545121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54.832976362560814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54.832976362560814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3.0869565217391299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11.318840579710143</v>
      </c>
      <c r="H5" s="66">
        <f t="shared" si="1"/>
        <v>211.39130434782609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55.096090314285377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4.8773333333333335</v>
      </c>
      <c r="N5" s="13">
        <f>IF('Données projet'!$A$36&gt;35,N4+M5-V4,IF(A5&lt;'Données projet'!$A$36,$K$205^A5,IF(A5='Données projet'!$A$36,'Données projet'!$B$36,N4+M5-V4)))</f>
        <v>1.3942914990531809</v>
      </c>
      <c r="O5" s="13">
        <f>N5*VLOOKUP('Données projet'!$B$9,Paramètres!$A$1:$I$89,3,0)*VLOOKUP('Données projet'!$B$9,Paramètres!$A$1:$I$89,5,0)</f>
        <v>0.65252842155688862</v>
      </c>
      <c r="P5" s="13">
        <f t="shared" ref="P5:P68" si="33">EXP(-1.0587+0.8836*LN(O5)+0.284)</f>
        <v>0.31603277419850306</v>
      </c>
      <c r="Q5" s="20">
        <f t="shared" si="2"/>
        <v>1.6869107492739737</v>
      </c>
      <c r="R5" s="59">
        <f t="shared" si="0"/>
        <v>206.15035301276481</v>
      </c>
      <c r="S5" s="59">
        <f ca="1">AVERAGE(OFFSET($R$3,0,0,'Données projet'!$E$9+1,1))-AVERAGE(OFFSET($H$3,0,0,'Données projet'!$E$9+1,1))</f>
        <v>320.30433416149219</v>
      </c>
      <c r="T5" s="59">
        <f t="shared" ref="T5:T68" si="34">$T$3</f>
        <v>201.33422682092797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55.096090314285377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8.6</v>
      </c>
      <c r="AI5" s="13">
        <f>IF('Données projet'!$A$62&gt;35,AI4+AH5-AQ4,IF(A5&lt;'Données projet'!$A$62,$AF$205^A5,IF(A5='Données projet'!$A$62,'Données projet'!$B$62,AI4+AH5-AQ4)))</f>
        <v>1.911665759265621</v>
      </c>
      <c r="AJ5" s="13">
        <f>AI5*VLOOKUP('Données projet'!$B$10,Paramètres!$A$1:$I$89,3,0)*VLOOKUP('Données projet'!$B$10,Paramètres!$A$1:$I$89,5,0)</f>
        <v>1.1431761240408413</v>
      </c>
      <c r="AK5" s="13">
        <f t="shared" ref="AK5:AK68" si="35">EXP(-1.0587+0.8836*LN(AJ5)+0.284)</f>
        <v>0.51868159790831159</v>
      </c>
      <c r="AL5" s="20">
        <f t="shared" si="4"/>
        <v>2.894402199061441</v>
      </c>
      <c r="AM5" s="59">
        <f t="shared" si="5"/>
        <v>207.35784446255226</v>
      </c>
      <c r="AN5" s="59">
        <f ca="1">AVERAGE(OFFSET($AM$3,0,0,'Données projet'!$E$10+1,1))-AVERAGE(OFFSET($H$3,0,0,'Données projet'!$E$10+1,1))</f>
        <v>569.80473816957431</v>
      </c>
      <c r="AO5" s="59">
        <f t="shared" ref="AO5:AO68" si="36">$AO$3</f>
        <v>495.56567790763199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55.096090314285377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10.683760683333334</v>
      </c>
      <c r="BD5" s="12">
        <f>IF('Données projet'!$A$88&gt;35,BD4+BC5-BL4,IF(A5&lt;'Données projet'!$A$88,$BA$205^A5,IF(A5='Données projet'!$A$88,'Données projet'!$B$88,BD4+BC5-BL4)))</f>
        <v>2.7584127904866382</v>
      </c>
      <c r="BE5" s="13">
        <f>BD5*VLOOKUP('Données projet'!$B$11,Paramètres!$A$1:$I$89,3,0)*VLOOKUP('Données projet'!$B$11,Paramètres!$A$1:$I$89,5,0)</f>
        <v>1.2134809547908818</v>
      </c>
      <c r="BF5" s="13">
        <f t="shared" ref="BF5:BF68" si="37">EXP(-1.0587+0.8836*LN(BE5)+0.284)</f>
        <v>0.54676863346641957</v>
      </c>
      <c r="BG5" s="20">
        <f t="shared" si="7"/>
        <v>3.0657680328814667</v>
      </c>
      <c r="BH5" s="59">
        <f t="shared" si="8"/>
        <v>207.5292102963723</v>
      </c>
      <c r="BI5" s="59">
        <f ca="1">AVERAGE(OFFSET($BH$3,0,0,'Données projet'!$E$11+1,1))-AVERAGE(OFFSET($H$3,0,0,'Données projet'!$E$11+1,1))</f>
        <v>180.42749272334603</v>
      </c>
      <c r="BJ5" s="59">
        <f t="shared" ref="BJ5:BJ68" si="38">$BJ$3</f>
        <v>346.61476512497495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55.096090314285377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4.0628205128205126</v>
      </c>
      <c r="BY5" s="12">
        <f>IF('Données projet'!$A$114&gt;35,BY4+BX5-CG4,IF(A5&lt;'Données projet'!$A$114,$BV$205^A5,IF(A5='Données projet'!$A$114,'Données projet'!$B$114,BY4+BX5-CG4)))</f>
        <v>1.3774100880908995</v>
      </c>
      <c r="BZ5" s="13">
        <f>BY5*VLOOKUP('Données projet'!$B$12,Paramètres!$A$1:$I$89,3,0)*VLOOKUP('Données projet'!$B$12,Paramètres!$A$1:$I$89,5,0)</f>
        <v>1.2462806477046457</v>
      </c>
      <c r="CA5" s="13">
        <f t="shared" ref="CA5:CA68" si="39">EXP(-1.0587+0.8836*LN(BZ5)+0.284)</f>
        <v>0.55980687933617612</v>
      </c>
      <c r="CB5" s="20">
        <f t="shared" si="10"/>
        <v>3.1456024429294316</v>
      </c>
      <c r="CC5" s="59">
        <f t="shared" si="11"/>
        <v>207.60904470642026</v>
      </c>
      <c r="CD5" s="59">
        <f ca="1">AVERAGE(OFFSET($CC$3,0,0,'Données projet'!$E$12+1,1))-AVERAGE(OFFSET($H$3,0,0,'Données projet'!$E$12+1,1))</f>
        <v>553.16421218123958</v>
      </c>
      <c r="CE5" s="59">
        <f t="shared" ref="CE5:CE68" si="40">$CE$3</f>
        <v>291.73668613844416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55.096090314285377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4.0628205128205126</v>
      </c>
      <c r="CT5" s="12">
        <f>IF('Données projet'!$A$140&gt;35,CT4+CS5-DB4,IF(A5&lt;'Données projet'!$A$140,$CQ$205^A5,IF(A5='Données projet'!$A$140,'Données projet'!$B$140,CT4+CS5-DB4)))</f>
        <v>1.3774100880908995</v>
      </c>
      <c r="CU5" s="17">
        <f>CT5*VLOOKUP('Données projet'!$B$13,Paramètres!$A$1:$I$89,3,0)*VLOOKUP('Données projet'!$B$13,Paramètres!$A$1:$I$89,5,0)</f>
        <v>1.3966938293241722</v>
      </c>
      <c r="CV5" s="13">
        <f t="shared" ref="CV5:CV68" si="41">EXP(-1.0587+0.8836*LN(CU5)+0.284)</f>
        <v>0.61910384026408283</v>
      </c>
      <c r="CW5" s="20">
        <f t="shared" si="13"/>
        <v>3.5108476078662108</v>
      </c>
      <c r="CX5" s="59">
        <f t="shared" si="14"/>
        <v>207.97428987135703</v>
      </c>
      <c r="CY5" s="59">
        <f ca="1">AVERAGE(OFFSET($CX$3,0,0,'Données projet'!$E$13+1,1))-AVERAGE(OFFSET($H$3,0,0,'Données projet'!$E$13+1,1))</f>
        <v>611.82989382187804</v>
      </c>
      <c r="CZ5" s="59">
        <f t="shared" ref="CZ5:CZ68" si="42">$CZ$3</f>
        <v>320.34124600136363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55.096090314285377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4.0628205128205126</v>
      </c>
      <c r="DO5" s="12">
        <f>IF('Données projet'!$A$166&gt;35,DO4+DN5-DW4,IF(A5&lt;'Données projet'!$A$166,$DL$205^A5,IF(A5='Données projet'!$A$166,'Données projet'!$B$166,DO4+DN5-DW4)))</f>
        <v>1.3774100880908995</v>
      </c>
      <c r="DP5" s="17">
        <f>DO5*VLOOKUP('Données projet'!$B$14,Paramètres!$A$1:$I$89,3,0)*VLOOKUP('Données projet'!$B$14,Paramètres!$A$1:$I$89,5,0)</f>
        <v>1.482644218821044</v>
      </c>
      <c r="DQ5" s="13">
        <f t="shared" ref="DQ5:DQ68" si="43">EXP(-1.0587+0.8836*LN(DP5)+0.284)</f>
        <v>0.65264995524919645</v>
      </c>
      <c r="DR5" s="20">
        <f t="shared" si="16"/>
        <v>3.7189706865056689</v>
      </c>
      <c r="DS5" s="59">
        <f t="shared" si="17"/>
        <v>208.18241294999649</v>
      </c>
      <c r="DT5" s="59">
        <f ca="1">AVERAGE(OFFSET($DS$3,0,0,'Données projet'!$E$14+1,1))-AVERAGE(OFFSET($H$3,0,0,'Données projet'!$E$14+1,1))</f>
        <v>645.29541304800614</v>
      </c>
      <c r="DU5" s="59">
        <f t="shared" ref="DU5:DU68" si="44">$DU$3</f>
        <v>336.65580771733323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55.096090314285377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1.1844070759794372</v>
      </c>
      <c r="EL5" s="13">
        <f t="shared" ref="EL5:EL68" si="45">EXP(-1.0587+0.8836*LN(EK5)+0.284)</f>
        <v>0.53517712549257934</v>
      </c>
      <c r="EM5" s="20">
        <f t="shared" si="19"/>
        <v>2.9949424842304286</v>
      </c>
      <c r="EN5" s="59">
        <f t="shared" si="20"/>
        <v>207.45838474772125</v>
      </c>
      <c r="EO5" s="59">
        <f ca="1">AVERAGE(OFFSET($EN$3,0,0,'Données projet'!$E$15+1,1))-AVERAGE(OFFSET($H$3,0,0,'Données projet'!$E$15+1,1))</f>
        <v>343.31122043016137</v>
      </c>
      <c r="EP5" s="59">
        <f t="shared" ref="EP5:EP68" si="46">$EP$3</f>
        <v>333.61098411258877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55.096090314285377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1.1000000000000001</v>
      </c>
      <c r="FE5" s="12">
        <f>IF('Données projet'!$A$218&gt;35,FE4+FD5-FM4,IF(A5&lt;'Données projet'!$A$218,$FB$205^A5,IF(A5='Données projet'!$A$218,'Données projet'!$B$218,FE4+FD5-FM4)))</f>
        <v>1.6153942662021783</v>
      </c>
      <c r="FF5" s="17">
        <f>FE5*VLOOKUP('Données projet'!$B$16,Paramètres!$A$1:$I$89,3,0)*VLOOKUP('Données projet'!$B$16,Paramètres!$A$1:$I$89,5,0)</f>
        <v>1.2852076781904531</v>
      </c>
      <c r="FG5" s="13">
        <f t="shared" ref="FG5:FG68" si="47">EXP(-1.0587+0.8836*LN(FF5)+0.284)</f>
        <v>0.57522914588482876</v>
      </c>
      <c r="FH5" s="20">
        <f t="shared" si="22"/>
        <v>3.2402608019311159</v>
      </c>
      <c r="FI5" s="59">
        <f t="shared" si="23"/>
        <v>207.70370306542196</v>
      </c>
      <c r="FJ5" s="59">
        <f ca="1">AVERAGE(OFFSET($FI$3,0,0,'Données projet'!$E$16+1,1))-AVERAGE(OFFSET($H$3,0,0,'Données projet'!$E$16+1,1))</f>
        <v>368.12945163484585</v>
      </c>
      <c r="FK5" s="59">
        <f t="shared" ref="FK5:FK68" si="48">$FK$3</f>
        <v>357.27183934545121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55.096090314285377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55.096090314285377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3.0869565217391299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11.318840579710143</v>
      </c>
      <c r="H6" s="66">
        <f t="shared" si="1"/>
        <v>211.39130434782609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55.35463982718219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0.99999999999999978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4.8773333333333335</v>
      </c>
      <c r="N6" s="13">
        <f>IF('Données projet'!$A$36&gt;35,N5+M6-V5,IF(A6&lt;'Données projet'!$A$36,$K$205^A6,IF(A6='Données projet'!$A$36,'Données projet'!$B$36,N5+M6-V5)))</f>
        <v>1.6463810900695901</v>
      </c>
      <c r="O6" s="13">
        <f>N6*VLOOKUP('Données projet'!$B$9,Paramètres!$A$1:$I$89,3,0)*VLOOKUP('Données projet'!$B$9,Paramètres!$A$1:$I$89,5,0)</f>
        <v>0.77050635015256808</v>
      </c>
      <c r="P6" s="13">
        <f t="shared" si="33"/>
        <v>0.36602229090803245</v>
      </c>
      <c r="Q6" s="20">
        <f t="shared" si="2"/>
        <v>1.9794540498472124</v>
      </c>
      <c r="R6" s="59">
        <f t="shared" si="0"/>
        <v>208.61313341618191</v>
      </c>
      <c r="S6" s="59">
        <f ca="1">AVERAGE(OFFSET($R$3,0,0,'Données projet'!$E$9+1,1))-AVERAGE(OFFSET($H$3,0,0,'Données projet'!$E$9+1,1))</f>
        <v>320.30433416149219</v>
      </c>
      <c r="T6" s="59">
        <f t="shared" si="34"/>
        <v>201.33422682092797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55.35463982718219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0.99999999999999978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8.6</v>
      </c>
      <c r="AI6" s="13">
        <f>IF('Données projet'!$A$62&gt;35,AI5+AH6-AQ5,IF(A6&lt;'Données projet'!$A$62,$AF$205^A6,IF(A6='Données projet'!$A$62,'Données projet'!$B$62,AI5+AH6-AQ5)))</f>
        <v>2.6431264580214155</v>
      </c>
      <c r="AJ6" s="13">
        <f>AI6*VLOOKUP('Données projet'!$B$10,Paramètres!$A$1:$I$89,3,0)*VLOOKUP('Données projet'!$B$10,Paramètres!$A$1:$I$89,5,0)</f>
        <v>1.5805896218968065</v>
      </c>
      <c r="AK6" s="13">
        <f t="shared" si="35"/>
        <v>0.69060329265550291</v>
      </c>
      <c r="AL6" s="20">
        <f t="shared" si="4"/>
        <v>3.9556609928452722</v>
      </c>
      <c r="AM6" s="59">
        <f t="shared" si="5"/>
        <v>210.58934035917997</v>
      </c>
      <c r="AN6" s="59">
        <f ca="1">AVERAGE(OFFSET($AM$3,0,0,'Données projet'!$E$10+1,1))-AVERAGE(OFFSET($H$3,0,0,'Données projet'!$E$10+1,1))</f>
        <v>569.80473816957431</v>
      </c>
      <c r="AO6" s="59">
        <f t="shared" si="36"/>
        <v>495.56567790763199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55.35463982718219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0.99999999999999978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10.683760683333334</v>
      </c>
      <c r="BD6" s="12">
        <f>IF('Données projet'!$A$88&gt;35,BD5+BC6-BL5,IF(A6&lt;'Données projet'!$A$88,$BA$205^A6,IF(A6='Données projet'!$A$88,'Données projet'!$B$88,BD5+BC6-BL5)))</f>
        <v>4.5813016353098099</v>
      </c>
      <c r="BE6" s="13">
        <f>BD6*VLOOKUP('Données projet'!$B$11,Paramètres!$A$1:$I$89,3,0)*VLOOKUP('Données projet'!$B$11,Paramètres!$A$1:$I$89,5,0)</f>
        <v>2.0154062154054917</v>
      </c>
      <c r="BF6" s="13">
        <f t="shared" si="37"/>
        <v>0.85602579674747081</v>
      </c>
      <c r="BG6" s="20">
        <f t="shared" si="7"/>
        <v>5.0010774211664097</v>
      </c>
      <c r="BH6" s="59">
        <f t="shared" si="8"/>
        <v>211.63475678750109</v>
      </c>
      <c r="BI6" s="59">
        <f ca="1">AVERAGE(OFFSET($BH$3,0,0,'Données projet'!$E$11+1,1))-AVERAGE(OFFSET($H$3,0,0,'Données projet'!$E$11+1,1))</f>
        <v>180.42749272334603</v>
      </c>
      <c r="BJ6" s="59">
        <f t="shared" si="38"/>
        <v>346.61476512497495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55.35463982718219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0.99999999999999978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4.0628205128205126</v>
      </c>
      <c r="BY6" s="12">
        <f>IF('Données projet'!$A$114&gt;35,BY5+BX6-CG5,IF(A6&lt;'Données projet'!$A$114,$BV$205^A6,IF(A6='Données projet'!$A$114,'Données projet'!$B$114,BY5+BX6-CG5)))</f>
        <v>1.6165713926559588</v>
      </c>
      <c r="BZ6" s="13">
        <f>BY6*VLOOKUP('Données projet'!$B$12,Paramètres!$A$1:$I$89,3,0)*VLOOKUP('Données projet'!$B$12,Paramètres!$A$1:$I$89,5,0)</f>
        <v>1.4626737960751115</v>
      </c>
      <c r="CA6" s="13">
        <f t="shared" si="39"/>
        <v>0.64487624467855742</v>
      </c>
      <c r="CB6" s="20">
        <f t="shared" si="10"/>
        <v>3.6706496543126392</v>
      </c>
      <c r="CC6" s="59">
        <f t="shared" si="11"/>
        <v>210.30432902064732</v>
      </c>
      <c r="CD6" s="59">
        <f ca="1">AVERAGE(OFFSET($CC$3,0,0,'Données projet'!$E$12+1,1))-AVERAGE(OFFSET($H$3,0,0,'Données projet'!$E$12+1,1))</f>
        <v>553.16421218123958</v>
      </c>
      <c r="CE6" s="59">
        <f t="shared" si="40"/>
        <v>291.73668613844416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55.35463982718219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0.99999999999999978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4.0628205128205126</v>
      </c>
      <c r="CT6" s="12">
        <f>IF('Données projet'!$A$140&gt;35,CT5+CS6-DB5,IF(A6&lt;'Données projet'!$A$140,$CQ$205^A6,IF(A6='Données projet'!$A$140,'Données projet'!$B$140,CT5+CS6-DB5)))</f>
        <v>1.6165713926559588</v>
      </c>
      <c r="CU6" s="17">
        <f>CT6*VLOOKUP('Données projet'!$B$13,Paramètres!$A$1:$I$89,3,0)*VLOOKUP('Données projet'!$B$13,Paramètres!$A$1:$I$89,5,0)</f>
        <v>1.6392033921531424</v>
      </c>
      <c r="CV6" s="13">
        <f t="shared" si="41"/>
        <v>0.71318408957211055</v>
      </c>
      <c r="CW6" s="20">
        <f t="shared" si="13"/>
        <v>4.0970748640048145</v>
      </c>
      <c r="CX6" s="59">
        <f t="shared" si="14"/>
        <v>210.7307542303395</v>
      </c>
      <c r="CY6" s="59">
        <f ca="1">AVERAGE(OFFSET($CX$3,0,0,'Données projet'!$E$13+1,1))-AVERAGE(OFFSET($H$3,0,0,'Données projet'!$E$13+1,1))</f>
        <v>611.82989382187804</v>
      </c>
      <c r="CZ6" s="59">
        <f t="shared" si="42"/>
        <v>320.34124600136363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55.35463982718219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0.99999999999999978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4.0628205128205126</v>
      </c>
      <c r="DO6" s="12">
        <f>IF('Données projet'!$A$166&gt;35,DO5+DN6-DW5,IF(A6&lt;'Données projet'!$A$166,$DL$205^A6,IF(A6='Données projet'!$A$166,'Données projet'!$B$166,DO5+DN6-DW5)))</f>
        <v>1.6165713926559588</v>
      </c>
      <c r="DP6" s="17">
        <f>DO6*VLOOKUP('Données projet'!$B$14,Paramètres!$A$1:$I$89,3,0)*VLOOKUP('Données projet'!$B$14,Paramètres!$A$1:$I$89,5,0)</f>
        <v>1.7400774470548741</v>
      </c>
      <c r="DQ6" s="13">
        <f t="shared" si="43"/>
        <v>0.75182793882385246</v>
      </c>
      <c r="DR6" s="20">
        <f t="shared" si="16"/>
        <v>4.3400685470721152</v>
      </c>
      <c r="DS6" s="59">
        <f t="shared" si="17"/>
        <v>210.97374791340681</v>
      </c>
      <c r="DT6" s="59">
        <f ca="1">AVERAGE(OFFSET($DS$3,0,0,'Données projet'!$E$14+1,1))-AVERAGE(OFFSET($H$3,0,0,'Données projet'!$E$14+1,1))</f>
        <v>645.29541304800614</v>
      </c>
      <c r="DU6" s="59">
        <f t="shared" si="44"/>
        <v>336.65580771733323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55.35463982718219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0.99999999999999978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1.5053596184946649</v>
      </c>
      <c r="EL6" s="13">
        <f t="shared" si="45"/>
        <v>0.66147738405820555</v>
      </c>
      <c r="EM6" s="20">
        <f t="shared" si="19"/>
        <v>3.7739077794462492</v>
      </c>
      <c r="EN6" s="59">
        <f t="shared" si="20"/>
        <v>210.40758714578095</v>
      </c>
      <c r="EO6" s="59">
        <f ca="1">AVERAGE(OFFSET($EN$3,0,0,'Données projet'!$E$15+1,1))-AVERAGE(OFFSET($H$3,0,0,'Données projet'!$E$15+1,1))</f>
        <v>343.31122043016137</v>
      </c>
      <c r="EP6" s="59">
        <f t="shared" si="46"/>
        <v>333.61098411258877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55.35463982718219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0.99999999999999978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1.1000000000000001</v>
      </c>
      <c r="FE6" s="12">
        <f>IF('Données projet'!$A$218&gt;35,FE5+FD6-FM5,IF(A6&lt;'Données projet'!$A$218,$FB$205^A6,IF(A6='Données projet'!$A$218,'Données projet'!$B$218,FE5+FD6-FM5)))</f>
        <v>2.0531364136588448</v>
      </c>
      <c r="FF6" s="17">
        <f>FE6*VLOOKUP('Données projet'!$B$16,Paramètres!$A$1:$I$89,3,0)*VLOOKUP('Données projet'!$B$16,Paramètres!$A$1:$I$89,5,0)</f>
        <v>1.6334753307069771</v>
      </c>
      <c r="FG6" s="13">
        <f t="shared" si="47"/>
        <v>0.71098156578295024</v>
      </c>
      <c r="FH6" s="20">
        <f t="shared" si="22"/>
        <v>4.0832624280532892</v>
      </c>
      <c r="FI6" s="59">
        <f t="shared" si="23"/>
        <v>210.71694179438799</v>
      </c>
      <c r="FJ6" s="59">
        <f ca="1">AVERAGE(OFFSET($FI$3,0,0,'Données projet'!$E$16+1,1))-AVERAGE(OFFSET($H$3,0,0,'Données projet'!$E$16+1,1))</f>
        <v>368.12945163484585</v>
      </c>
      <c r="FK6" s="59">
        <f t="shared" si="48"/>
        <v>357.27183934545121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55.35463982718219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0.99999999999999978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55.35463982718219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0.99999999999999978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3.0869565217391299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11.318840579710143</v>
      </c>
      <c r="H7" s="66">
        <f t="shared" si="1"/>
        <v>211.39130434782609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55.608704084060356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4.8773333333333335</v>
      </c>
      <c r="N7" s="13">
        <f>IF('Données projet'!$A$36&gt;35,N6+M7-V6,IF(A7&lt;'Données projet'!$A$36,$K$205^A7,IF(A7='Données projet'!$A$36,'Données projet'!$B$36,N6+M7-V6)))</f>
        <v>1.9440487843319665</v>
      </c>
      <c r="O7" s="13">
        <f>N7*VLOOKUP('Données projet'!$B$9,Paramètres!$A$1:$I$89,3,0)*VLOOKUP('Données projet'!$B$9,Paramètres!$A$1:$I$89,5,0)</f>
        <v>0.90981483106736027</v>
      </c>
      <c r="P7" s="13">
        <f t="shared" si="33"/>
        <v>0.42391906276598723</v>
      </c>
      <c r="Q7" s="20">
        <f t="shared" si="2"/>
        <v>2.32291986509308</v>
      </c>
      <c r="R7" s="59">
        <f t="shared" si="0"/>
        <v>211.1103903955366</v>
      </c>
      <c r="S7" s="59">
        <f ca="1">AVERAGE(OFFSET($R$3,0,0,'Données projet'!$E$9+1,1))-AVERAGE(OFFSET($H$3,0,0,'Données projet'!$E$9+1,1))</f>
        <v>320.30433416149219</v>
      </c>
      <c r="T7" s="59">
        <f t="shared" si="34"/>
        <v>201.33422682092797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55.608704084060356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8.6</v>
      </c>
      <c r="AI7" s="13">
        <f>IF('Données projet'!$A$62&gt;35,AI6+AH7-AQ6,IF(A7&lt;'Données projet'!$A$62,$AF$205^A7,IF(A7='Données projet'!$A$62,'Données projet'!$B$62,AI6+AH7-AQ6)))</f>
        <v>3.6544659751486033</v>
      </c>
      <c r="AJ7" s="13">
        <f>AI7*VLOOKUP('Données projet'!$B$10,Paramètres!$A$1:$I$89,3,0)*VLOOKUP('Données projet'!$B$10,Paramètres!$A$1:$I$89,5,0)</f>
        <v>2.185370653138865</v>
      </c>
      <c r="AK7" s="13">
        <f t="shared" si="35"/>
        <v>0.9195099840633455</v>
      </c>
      <c r="AL7" s="20">
        <f t="shared" si="4"/>
        <v>5.4076671097938496</v>
      </c>
      <c r="AM7" s="59">
        <f t="shared" si="5"/>
        <v>214.19513764023739</v>
      </c>
      <c r="AN7" s="59">
        <f ca="1">AVERAGE(OFFSET($AM$3,0,0,'Données projet'!$E$10+1,1))-AVERAGE(OFFSET($H$3,0,0,'Données projet'!$E$10+1,1))</f>
        <v>569.80473816957431</v>
      </c>
      <c r="AO7" s="59">
        <f t="shared" si="36"/>
        <v>495.56567790763199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55.608704084060356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10.683760683333334</v>
      </c>
      <c r="BD7" s="12">
        <f>IF('Données projet'!$A$88&gt;35,BD6+BC7-BL6,IF(A7&lt;'Données projet'!$A$88,$BA$205^A7,IF(A7='Données projet'!$A$88,'Données projet'!$B$88,BD6+BC7-BL6)))</f>
        <v>7.6088411227202828</v>
      </c>
      <c r="BE7" s="13">
        <f>BD7*VLOOKUP('Données projet'!$B$11,Paramètres!$A$1:$I$89,3,0)*VLOOKUP('Données projet'!$B$11,Paramètres!$A$1:$I$89,5,0)</f>
        <v>3.3472813867071065</v>
      </c>
      <c r="BF7" s="13">
        <f t="shared" si="37"/>
        <v>1.3402015401860954</v>
      </c>
      <c r="BG7" s="20">
        <f t="shared" si="7"/>
        <v>8.1640327643389909</v>
      </c>
      <c r="BH7" s="59">
        <f t="shared" si="8"/>
        <v>216.95150329478253</v>
      </c>
      <c r="BI7" s="59">
        <f ca="1">AVERAGE(OFFSET($BH$3,0,0,'Données projet'!$E$11+1,1))-AVERAGE(OFFSET($H$3,0,0,'Données projet'!$E$11+1,1))</f>
        <v>180.42749272334603</v>
      </c>
      <c r="BJ7" s="59">
        <f t="shared" si="38"/>
        <v>346.61476512497495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55.608704084060356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4.0628205128205126</v>
      </c>
      <c r="BY7" s="12">
        <f>IF('Données projet'!$A$114&gt;35,BY6+BX7-CG6,IF(A7&lt;'Données projet'!$A$114,$BV$205^A7,IF(A7='Données projet'!$A$114,'Données projet'!$B$114,BY6+BX7-CG6)))</f>
        <v>1.8972585507745794</v>
      </c>
      <c r="BZ7" s="13">
        <f>BY7*VLOOKUP('Données projet'!$B$12,Paramètres!$A$1:$I$89,3,0)*VLOOKUP('Données projet'!$B$12,Paramètres!$A$1:$I$89,5,0)</f>
        <v>1.7166395367408394</v>
      </c>
      <c r="CA7" s="13">
        <f t="shared" si="39"/>
        <v>0.74287291975378222</v>
      </c>
      <c r="CB7" s="20">
        <f t="shared" si="10"/>
        <v>4.283650861728133</v>
      </c>
      <c r="CC7" s="59">
        <f t="shared" si="11"/>
        <v>213.07112139217165</v>
      </c>
      <c r="CD7" s="59">
        <f ca="1">AVERAGE(OFFSET($CC$3,0,0,'Données projet'!$E$12+1,1))-AVERAGE(OFFSET($H$3,0,0,'Données projet'!$E$12+1,1))</f>
        <v>553.16421218123958</v>
      </c>
      <c r="CE7" s="59">
        <f t="shared" si="40"/>
        <v>291.73668613844416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55.608704084060356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4.0628205128205126</v>
      </c>
      <c r="CT7" s="12">
        <f>IF('Données projet'!$A$140&gt;35,CT6+CS7-DB6,IF(A7&lt;'Données projet'!$A$140,$CQ$205^A7,IF(A7='Données projet'!$A$140,'Données projet'!$B$140,CT6+CS7-DB6)))</f>
        <v>1.8972585507745794</v>
      </c>
      <c r="CU7" s="17">
        <f>CT7*VLOOKUP('Données projet'!$B$13,Paramètres!$A$1:$I$89,3,0)*VLOOKUP('Données projet'!$B$13,Paramètres!$A$1:$I$89,5,0)</f>
        <v>1.9238201704854236</v>
      </c>
      <c r="CV7" s="13">
        <f t="shared" si="41"/>
        <v>0.82156096043894689</v>
      </c>
      <c r="CW7" s="20">
        <f t="shared" si="13"/>
        <v>4.7815388030266117</v>
      </c>
      <c r="CX7" s="59">
        <f t="shared" si="14"/>
        <v>213.56900933347015</v>
      </c>
      <c r="CY7" s="59">
        <f ca="1">AVERAGE(OFFSET($CX$3,0,0,'Données projet'!$E$13+1,1))-AVERAGE(OFFSET($H$3,0,0,'Données projet'!$E$13+1,1))</f>
        <v>611.82989382187804</v>
      </c>
      <c r="CZ7" s="59">
        <f t="shared" si="42"/>
        <v>320.34124600136363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55.608704084060356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4.0628205128205126</v>
      </c>
      <c r="DO7" s="12">
        <f>IF('Données projet'!$A$166&gt;35,DO6+DN7-DW6,IF(A7&lt;'Données projet'!$A$166,$DL$205^A7,IF(A7='Données projet'!$A$166,'Données projet'!$B$166,DO6+DN7-DW6)))</f>
        <v>1.8972585507745794</v>
      </c>
      <c r="DP7" s="17">
        <f>DO7*VLOOKUP('Données projet'!$B$14,Paramètres!$A$1:$I$89,3,0)*VLOOKUP('Données projet'!$B$14,Paramètres!$A$1:$I$89,5,0)</f>
        <v>2.0422091040537573</v>
      </c>
      <c r="DQ7" s="13">
        <f t="shared" si="43"/>
        <v>0.86607720578223124</v>
      </c>
      <c r="DR7" s="20">
        <f t="shared" si="16"/>
        <v>5.0652653229643461</v>
      </c>
      <c r="DS7" s="59">
        <f t="shared" si="17"/>
        <v>213.85273585340786</v>
      </c>
      <c r="DT7" s="59">
        <f ca="1">AVERAGE(OFFSET($DS$3,0,0,'Données projet'!$E$14+1,1))-AVERAGE(OFFSET($H$3,0,0,'Données projet'!$E$14+1,1))</f>
        <v>645.29541304800614</v>
      </c>
      <c r="DU7" s="59">
        <f t="shared" si="44"/>
        <v>336.65580771733323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55.608704084060356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1.9132843993864705</v>
      </c>
      <c r="EL7" s="13">
        <f t="shared" si="45"/>
        <v>0.81758413948982178</v>
      </c>
      <c r="EM7" s="20">
        <f t="shared" si="19"/>
        <v>4.7562627052095419</v>
      </c>
      <c r="EN7" s="59">
        <f t="shared" si="20"/>
        <v>213.54373323565306</v>
      </c>
      <c r="EO7" s="59">
        <f ca="1">AVERAGE(OFFSET($EN$3,0,0,'Données projet'!$E$15+1,1))-AVERAGE(OFFSET($H$3,0,0,'Données projet'!$E$15+1,1))</f>
        <v>343.31122043016137</v>
      </c>
      <c r="EP7" s="59">
        <f t="shared" si="46"/>
        <v>333.61098411258877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55.608704084060356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1.1000000000000001</v>
      </c>
      <c r="FE7" s="12">
        <f>IF('Données projet'!$A$218&gt;35,FE6+FD7-FM6,IF(A7&lt;'Données projet'!$A$218,$FB$205^A7,IF(A7='Données projet'!$A$218,'Données projet'!$B$218,FE6+FD7-FM6)))</f>
        <v>2.6094986352788743</v>
      </c>
      <c r="FF7" s="17">
        <f>FE7*VLOOKUP('Données projet'!$B$16,Paramètres!$A$1:$I$89,3,0)*VLOOKUP('Données projet'!$B$16,Paramètres!$A$1:$I$89,5,0)</f>
        <v>2.0761171142278725</v>
      </c>
      <c r="FG7" s="13">
        <f t="shared" si="47"/>
        <v>0.87877116536856548</v>
      </c>
      <c r="FH7" s="20">
        <f t="shared" si="22"/>
        <v>5.14643042029713</v>
      </c>
      <c r="FI7" s="59">
        <f t="shared" si="23"/>
        <v>213.93390095074065</v>
      </c>
      <c r="FJ7" s="59">
        <f ca="1">AVERAGE(OFFSET($FI$3,0,0,'Données projet'!$E$16+1,1))-AVERAGE(OFFSET($H$3,0,0,'Données projet'!$E$16+1,1))</f>
        <v>368.12945163484585</v>
      </c>
      <c r="FK7" s="59">
        <f t="shared" si="48"/>
        <v>357.27183934545121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55.608704084060356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55.608704084060356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3.0869565217391299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11.318840579710143</v>
      </c>
      <c r="H8" s="66">
        <f t="shared" si="1"/>
        <v>211.39130434782609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55.858360894084271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4.8773333333333335</v>
      </c>
      <c r="N8" s="13">
        <f>IF('Données projet'!$A$36&gt;35,N7+M8-V7,IF(A8&lt;'Données projet'!$A$36,$K$205^A8,IF(A8='Données projet'!$A$36,'Données projet'!$B$36,N7+M8-V7)))</f>
        <v>2.2955351580859387</v>
      </c>
      <c r="O8" s="13">
        <f>N8*VLOOKUP('Données projet'!$B$9,Paramètres!$A$1:$I$89,3,0)*VLOOKUP('Données projet'!$B$9,Paramètres!$A$1:$I$89,5,0)</f>
        <v>1.0743104539842192</v>
      </c>
      <c r="P8" s="13">
        <f t="shared" si="33"/>
        <v>0.49097384569276598</v>
      </c>
      <c r="Q8" s="20">
        <f t="shared" si="2"/>
        <v>2.726203488604082</v>
      </c>
      <c r="R8" s="59">
        <f t="shared" si="0"/>
        <v>213.65130454469084</v>
      </c>
      <c r="S8" s="59">
        <f ca="1">AVERAGE(OFFSET($R$3,0,0,'Données projet'!$E$9+1,1))-AVERAGE(OFFSET($H$3,0,0,'Données projet'!$E$9+1,1))</f>
        <v>320.30433416149219</v>
      </c>
      <c r="T8" s="59">
        <f t="shared" si="34"/>
        <v>201.33422682092797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55.858360894084271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8.6</v>
      </c>
      <c r="AI8" s="13">
        <f>IF('Données projet'!$A$62&gt;35,AI7+AH8-AQ7,IF(A8&lt;'Données projet'!$A$62,$AF$205^A8,IF(A8='Données projet'!$A$62,'Données projet'!$B$62,AI7+AH8-AQ7)))</f>
        <v>5.0527743472085609</v>
      </c>
      <c r="AJ8" s="13">
        <f>AI8*VLOOKUP('Données projet'!$B$10,Paramètres!$A$1:$I$89,3,0)*VLOOKUP('Données projet'!$B$10,Paramètres!$A$1:$I$89,5,0)</f>
        <v>3.0215590596307198</v>
      </c>
      <c r="AK8" s="13">
        <f t="shared" si="35"/>
        <v>1.2242898633469712</v>
      </c>
      <c r="AL8" s="20">
        <f t="shared" si="4"/>
        <v>7.3948535408528118</v>
      </c>
      <c r="AM8" s="59">
        <f t="shared" si="5"/>
        <v>218.31995459693957</v>
      </c>
      <c r="AN8" s="59">
        <f ca="1">AVERAGE(OFFSET($AM$3,0,0,'Données projet'!$E$10+1,1))-AVERAGE(OFFSET($H$3,0,0,'Données projet'!$E$10+1,1))</f>
        <v>569.80473816957431</v>
      </c>
      <c r="AO8" s="59">
        <f t="shared" si="36"/>
        <v>495.56567790763199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55.858360894084271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10.683760683333334</v>
      </c>
      <c r="BD8" s="12">
        <f>IF('Données projet'!$A$88&gt;35,BD7+BC8-BL7,IF(A8&lt;'Données projet'!$A$88,$BA$205^A8,IF(A8='Données projet'!$A$88,'Données projet'!$B$88,BD7+BC8-BL7)))</f>
        <v>12.637121027915933</v>
      </c>
      <c r="BE8" s="13">
        <f>BD8*VLOOKUP('Données projet'!$B$11,Paramètres!$A$1:$I$89,3,0)*VLOOKUP('Données projet'!$B$11,Paramètres!$A$1:$I$89,5,0)</f>
        <v>5.5593222826007773</v>
      </c>
      <c r="BF8" s="13">
        <f t="shared" si="37"/>
        <v>2.0982313560429389</v>
      </c>
      <c r="BG8" s="20">
        <f t="shared" si="7"/>
        <v>13.336905920637804</v>
      </c>
      <c r="BH8" s="59">
        <f t="shared" si="8"/>
        <v>224.26200697672456</v>
      </c>
      <c r="BI8" s="59">
        <f ca="1">AVERAGE(OFFSET($BH$3,0,0,'Données projet'!$E$11+1,1))-AVERAGE(OFFSET($H$3,0,0,'Données projet'!$E$11+1,1))</f>
        <v>180.42749272334603</v>
      </c>
      <c r="BJ8" s="59">
        <f t="shared" si="38"/>
        <v>346.61476512497495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55.858360894084271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4.0628205128205126</v>
      </c>
      <c r="BY8" s="12">
        <f>IF('Données projet'!$A$114&gt;35,BY7+BX8-CG7,IF(A8&lt;'Données projet'!$A$114,$BV$205^A8,IF(A8='Données projet'!$A$114,'Données projet'!$B$114,BY7+BX8-CG7)))</f>
        <v>2.2266817443634719</v>
      </c>
      <c r="BZ8" s="13">
        <f>BY8*VLOOKUP('Données projet'!$B$12,Paramètres!$A$1:$I$89,3,0)*VLOOKUP('Données projet'!$B$12,Paramètres!$A$1:$I$89,5,0)</f>
        <v>2.0147016423000692</v>
      </c>
      <c r="CA8" s="13">
        <f t="shared" si="39"/>
        <v>0.85576136422669402</v>
      </c>
      <c r="CB8" s="20">
        <f t="shared" si="10"/>
        <v>4.999389736367446</v>
      </c>
      <c r="CC8" s="59">
        <f t="shared" si="11"/>
        <v>215.92449079245421</v>
      </c>
      <c r="CD8" s="59">
        <f ca="1">AVERAGE(OFFSET($CC$3,0,0,'Données projet'!$E$12+1,1))-AVERAGE(OFFSET($H$3,0,0,'Données projet'!$E$12+1,1))</f>
        <v>553.16421218123958</v>
      </c>
      <c r="CE8" s="59">
        <f t="shared" si="40"/>
        <v>291.73668613844416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55.858360894084271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4.0628205128205126</v>
      </c>
      <c r="CT8" s="12">
        <f>IF('Données projet'!$A$140&gt;35,CT7+CS8-DB7,IF(A8&lt;'Données projet'!$A$140,$CQ$205^A8,IF(A8='Données projet'!$A$140,'Données projet'!$B$140,CT7+CS8-DB7)))</f>
        <v>2.2266817443634719</v>
      </c>
      <c r="CU8" s="17">
        <f>CT8*VLOOKUP('Données projet'!$B$13,Paramètres!$A$1:$I$89,3,0)*VLOOKUP('Données projet'!$B$13,Paramètres!$A$1:$I$89,5,0)</f>
        <v>2.2578552887845609</v>
      </c>
      <c r="CV8" s="13">
        <f t="shared" si="41"/>
        <v>0.94640699587440658</v>
      </c>
      <c r="CW8" s="20">
        <f t="shared" si="13"/>
        <v>5.5807568124477021</v>
      </c>
      <c r="CX8" s="59">
        <f t="shared" si="14"/>
        <v>216.50585786853446</v>
      </c>
      <c r="CY8" s="59">
        <f ca="1">AVERAGE(OFFSET($CX$3,0,0,'Données projet'!$E$13+1,1))-AVERAGE(OFFSET($H$3,0,0,'Données projet'!$E$13+1,1))</f>
        <v>611.82989382187804</v>
      </c>
      <c r="CZ8" s="59">
        <f t="shared" si="42"/>
        <v>320.34124600136363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55.858360894084271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4.0628205128205126</v>
      </c>
      <c r="DO8" s="12">
        <f>IF('Données projet'!$A$166&gt;35,DO7+DN8-DW7,IF(A8&lt;'Données projet'!$A$166,$DL$205^A8,IF(A8='Données projet'!$A$166,'Données projet'!$B$166,DO7+DN8-DW7)))</f>
        <v>2.2266817443634719</v>
      </c>
      <c r="DP8" s="17">
        <f>DO8*VLOOKUP('Données projet'!$B$14,Paramètres!$A$1:$I$89,3,0)*VLOOKUP('Données projet'!$B$14,Paramètres!$A$1:$I$89,5,0)</f>
        <v>2.396800229632841</v>
      </c>
      <c r="DQ8" s="13">
        <f t="shared" si="43"/>
        <v>0.99768801828379172</v>
      </c>
      <c r="DR8" s="20">
        <f t="shared" si="16"/>
        <v>5.9120670317881361</v>
      </c>
      <c r="DS8" s="59">
        <f t="shared" si="17"/>
        <v>216.83716808787489</v>
      </c>
      <c r="DT8" s="59">
        <f ca="1">AVERAGE(OFFSET($DS$3,0,0,'Données projet'!$E$14+1,1))-AVERAGE(OFFSET($H$3,0,0,'Données projet'!$E$14+1,1))</f>
        <v>645.29541304800614</v>
      </c>
      <c r="DU8" s="59">
        <f t="shared" si="44"/>
        <v>336.65580771733323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55.858360894084271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2.4317492962885807</v>
      </c>
      <c r="EL8" s="13">
        <f t="shared" si="45"/>
        <v>1.010531639108154</v>
      </c>
      <c r="EM8" s="20">
        <f t="shared" si="19"/>
        <v>5.9953059624826457</v>
      </c>
      <c r="EN8" s="59">
        <f t="shared" si="20"/>
        <v>216.92040701856939</v>
      </c>
      <c r="EO8" s="59">
        <f ca="1">AVERAGE(OFFSET($EN$3,0,0,'Données projet'!$E$15+1,1))-AVERAGE(OFFSET($H$3,0,0,'Données projet'!$E$15+1,1))</f>
        <v>343.31122043016137</v>
      </c>
      <c r="EP8" s="59">
        <f t="shared" si="46"/>
        <v>333.61098411258877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55.858360894084271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1.1000000000000001</v>
      </c>
      <c r="FE8" s="12">
        <f>IF('Données projet'!$A$218&gt;35,FE7+FD8-FM7,IF(A8&lt;'Données projet'!$A$218,$FB$205^A8,IF(A8='Données projet'!$A$218,'Données projet'!$B$218,FE7+FD8-FM7)))</f>
        <v>3.3166247903554016</v>
      </c>
      <c r="FF8" s="17">
        <f>FE8*VLOOKUP('Données projet'!$B$16,Paramètres!$A$1:$I$89,3,0)*VLOOKUP('Données projet'!$B$16,Paramètres!$A$1:$I$89,5,0)</f>
        <v>2.6387066832067574</v>
      </c>
      <c r="FG8" s="13">
        <f t="shared" si="47"/>
        <v>1.0861586266766543</v>
      </c>
      <c r="FH8" s="20">
        <f t="shared" si="22"/>
        <v>6.4874737480469413</v>
      </c>
      <c r="FI8" s="59">
        <f t="shared" si="23"/>
        <v>217.4125748041337</v>
      </c>
      <c r="FJ8" s="59">
        <f ca="1">AVERAGE(OFFSET($FI$3,0,0,'Données projet'!$E$16+1,1))-AVERAGE(OFFSET($H$3,0,0,'Données projet'!$E$16+1,1))</f>
        <v>368.12945163484585</v>
      </c>
      <c r="FK8" s="59">
        <f t="shared" si="48"/>
        <v>357.27183934545121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55.858360894084271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55.858360894084271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3.0869565217391299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11.318840579710143</v>
      </c>
      <c r="H9" s="66">
        <f t="shared" si="1"/>
        <v>211.39130434782609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56.103686716603285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1.9999999999999996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4.8773333333333335</v>
      </c>
      <c r="N9" s="13">
        <f>IF('Données projet'!$A$36&gt;35,N8+M9-V8,IF(A9&lt;'Données projet'!$A$36,$K$205^A9,IF(A9='Données projet'!$A$36,'Données projet'!$B$36,N8+M9-V8)))</f>
        <v>2.7105706937387315</v>
      </c>
      <c r="O9" s="13">
        <f>N9*VLOOKUP('Données projet'!$B$9,Paramètres!$A$1:$I$89,3,0)*VLOOKUP('Données projet'!$B$9,Paramètres!$A$1:$I$89,5,0)</f>
        <v>1.2685470846697264</v>
      </c>
      <c r="P9" s="13">
        <f t="shared" si="33"/>
        <v>0.56863523801337523</v>
      </c>
      <c r="Q9" s="20">
        <f t="shared" si="2"/>
        <v>3.199759212006402</v>
      </c>
      <c r="R9" s="59">
        <f t="shared" si="0"/>
        <v>216.24661050621845</v>
      </c>
      <c r="S9" s="59">
        <f ca="1">AVERAGE(OFFSET($R$3,0,0,'Données projet'!$E$9+1,1))-AVERAGE(OFFSET($H$3,0,0,'Données projet'!$E$9+1,1))</f>
        <v>320.30433416149219</v>
      </c>
      <c r="T9" s="59">
        <f t="shared" si="34"/>
        <v>201.33422682092797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56.103686716603285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1.9999999999999996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8.6</v>
      </c>
      <c r="AI9" s="13">
        <f>IF('Données projet'!$A$62&gt;35,AI8+AH9-AQ8,IF(A9&lt;'Données projet'!$A$62,$AF$205^A9,IF(A9='Données projet'!$A$62,'Données projet'!$B$62,AI8+AH9-AQ8)))</f>
        <v>6.9861174730928326</v>
      </c>
      <c r="AJ9" s="13">
        <f>AI9*VLOOKUP('Données projet'!$B$10,Paramètres!$A$1:$I$89,3,0)*VLOOKUP('Données projet'!$B$10,Paramètres!$A$1:$I$89,5,0)</f>
        <v>4.1776982489095138</v>
      </c>
      <c r="AK9" s="13">
        <f t="shared" si="35"/>
        <v>1.6300917830935544</v>
      </c>
      <c r="AL9" s="20">
        <f t="shared" si="4"/>
        <v>10.115234305738676</v>
      </c>
      <c r="AM9" s="59">
        <f t="shared" si="5"/>
        <v>223.16208559995073</v>
      </c>
      <c r="AN9" s="59">
        <f ca="1">AVERAGE(OFFSET($AM$3,0,0,'Données projet'!$E$10+1,1))-AVERAGE(OFFSET($H$3,0,0,'Données projet'!$E$10+1,1))</f>
        <v>569.80473816957431</v>
      </c>
      <c r="AO9" s="59">
        <f t="shared" si="36"/>
        <v>495.56567790763199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56.103686716603285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1.9999999999999996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10.683760683333334</v>
      </c>
      <c r="BD9" s="12">
        <f>IF('Données projet'!$A$88&gt;35,BD8+BC9-BL8,IF(A9&lt;'Données projet'!$A$88,$BA$205^A9,IF(A9='Données projet'!$A$88,'Données projet'!$B$88,BD8+BC9-BL8)))</f>
        <v>20.98832467369234</v>
      </c>
      <c r="BE9" s="13">
        <f>BD9*VLOOKUP('Données projet'!$B$11,Paramètres!$A$1:$I$89,3,0)*VLOOKUP('Données projet'!$B$11,Paramètres!$A$1:$I$89,5,0)</f>
        <v>9.2331837904507346</v>
      </c>
      <c r="BF9" s="13">
        <f t="shared" si="37"/>
        <v>3.2850095239186663</v>
      </c>
      <c r="BG9" s="20">
        <f t="shared" si="7"/>
        <v>21.802520022526707</v>
      </c>
      <c r="BH9" s="59">
        <f t="shared" si="8"/>
        <v>234.84937131673877</v>
      </c>
      <c r="BI9" s="59">
        <f ca="1">AVERAGE(OFFSET($BH$3,0,0,'Données projet'!$E$11+1,1))-AVERAGE(OFFSET($H$3,0,0,'Données projet'!$E$11+1,1))</f>
        <v>180.42749272334603</v>
      </c>
      <c r="BJ9" s="59">
        <f t="shared" si="38"/>
        <v>346.61476512497495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56.103686716603285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1.9999999999999996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4.0628205128205126</v>
      </c>
      <c r="BY9" s="12">
        <f>IF('Données projet'!$A$114&gt;35,BY8+BX9-CG8,IF(A9&lt;'Données projet'!$A$114,$BV$205^A9,IF(A9='Données projet'!$A$114,'Données projet'!$B$114,BY8+BX9-CG8)))</f>
        <v>2.6133030675536255</v>
      </c>
      <c r="BZ9" s="13">
        <f>BY9*VLOOKUP('Données projet'!$B$12,Paramètres!$A$1:$I$89,3,0)*VLOOKUP('Données projet'!$B$12,Paramètres!$A$1:$I$89,5,0)</f>
        <v>2.3645166155225201</v>
      </c>
      <c r="CA9" s="13">
        <f t="shared" si="39"/>
        <v>0.98580456095486013</v>
      </c>
      <c r="CB9" s="20">
        <f t="shared" si="10"/>
        <v>5.8351427156981037</v>
      </c>
      <c r="CC9" s="59">
        <f t="shared" si="11"/>
        <v>218.88199400991016</v>
      </c>
      <c r="CD9" s="59">
        <f ca="1">AVERAGE(OFFSET($CC$3,0,0,'Données projet'!$E$12+1,1))-AVERAGE(OFFSET($H$3,0,0,'Données projet'!$E$12+1,1))</f>
        <v>553.16421218123958</v>
      </c>
      <c r="CE9" s="59">
        <f t="shared" si="40"/>
        <v>291.73668613844416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56.103686716603285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1.9999999999999996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4.0628205128205126</v>
      </c>
      <c r="CT9" s="12">
        <f>IF('Données projet'!$A$140&gt;35,CT8+CS9-DB8,IF(A9&lt;'Données projet'!$A$140,$CQ$205^A9,IF(A9='Données projet'!$A$140,'Données projet'!$B$140,CT8+CS9-DB8)))</f>
        <v>2.6133030675536255</v>
      </c>
      <c r="CU9" s="17">
        <f>CT9*VLOOKUP('Données projet'!$B$13,Paramètres!$A$1:$I$89,3,0)*VLOOKUP('Données projet'!$B$13,Paramètres!$A$1:$I$89,5,0)</f>
        <v>2.6498893104993768</v>
      </c>
      <c r="CV9" s="13">
        <f t="shared" si="41"/>
        <v>1.0902248828394525</v>
      </c>
      <c r="CW9" s="20">
        <f t="shared" si="13"/>
        <v>6.5140322200651282</v>
      </c>
      <c r="CX9" s="59">
        <f t="shared" si="14"/>
        <v>219.56088351427718</v>
      </c>
      <c r="CY9" s="59">
        <f ca="1">AVERAGE(OFFSET($CX$3,0,0,'Données projet'!$E$13+1,1))-AVERAGE(OFFSET($H$3,0,0,'Données projet'!$E$13+1,1))</f>
        <v>611.82989382187804</v>
      </c>
      <c r="CZ9" s="59">
        <f t="shared" si="42"/>
        <v>320.34124600136363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56.103686716603285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1.9999999999999996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4.0628205128205126</v>
      </c>
      <c r="DO9" s="12">
        <f>IF('Données projet'!$A$166&gt;35,DO8+DN9-DW8,IF(A9&lt;'Données projet'!$A$166,$DL$205^A9,IF(A9='Données projet'!$A$166,'Données projet'!$B$166,DO8+DN9-DW8)))</f>
        <v>2.6133030675536255</v>
      </c>
      <c r="DP9" s="17">
        <f>DO9*VLOOKUP('Données projet'!$B$14,Paramètres!$A$1:$I$89,3,0)*VLOOKUP('Données projet'!$B$14,Paramètres!$A$1:$I$89,5,0)</f>
        <v>2.8129594219147225</v>
      </c>
      <c r="DQ9" s="13">
        <f t="shared" si="43"/>
        <v>1.14929867127495</v>
      </c>
      <c r="DR9" s="20">
        <f t="shared" si="16"/>
        <v>6.9009328456386783</v>
      </c>
      <c r="DS9" s="59">
        <f t="shared" si="17"/>
        <v>219.94778413985074</v>
      </c>
      <c r="DT9" s="59">
        <f ca="1">AVERAGE(OFFSET($DS$3,0,0,'Données projet'!$E$14+1,1))-AVERAGE(OFFSET($H$3,0,0,'Données projet'!$E$14+1,1))</f>
        <v>645.29541304800614</v>
      </c>
      <c r="DU9" s="59">
        <f t="shared" si="44"/>
        <v>336.65580771733323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56.103686716603285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1.9999999999999996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3.0907086483829831</v>
      </c>
      <c r="EL9" s="13">
        <f t="shared" si="45"/>
        <v>1.2490141923201104</v>
      </c>
      <c r="EM9" s="20">
        <f t="shared" si="19"/>
        <v>7.5583506142245538</v>
      </c>
      <c r="EN9" s="59">
        <f t="shared" si="20"/>
        <v>220.60520190843661</v>
      </c>
      <c r="EO9" s="59">
        <f ca="1">AVERAGE(OFFSET($EN$3,0,0,'Données projet'!$E$15+1,1))-AVERAGE(OFFSET($H$3,0,0,'Données projet'!$E$15+1,1))</f>
        <v>343.31122043016137</v>
      </c>
      <c r="EP9" s="59">
        <f t="shared" si="46"/>
        <v>333.61098411258877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56.103686716603285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1.9999999999999996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1.1000000000000001</v>
      </c>
      <c r="FE9" s="12">
        <f>IF('Données projet'!$A$218&gt;35,FE8+FD9-FM8,IF(A9&lt;'Données projet'!$A$218,$FB$205^A9,IF(A9='Données projet'!$A$218,'Données projet'!$B$218,FE8+FD9-FM8)))</f>
        <v>4.2153691330919028</v>
      </c>
      <c r="FF9" s="17">
        <f>FE9*VLOOKUP('Données projet'!$B$16,Paramètres!$A$1:$I$89,3,0)*VLOOKUP('Données projet'!$B$16,Paramètres!$A$1:$I$89,5,0)</f>
        <v>3.353747682287918</v>
      </c>
      <c r="FG9" s="13">
        <f t="shared" si="47"/>
        <v>1.3424889309030987</v>
      </c>
      <c r="FH9" s="20">
        <f t="shared" si="22"/>
        <v>8.1792787679743544</v>
      </c>
      <c r="FI9" s="59">
        <f t="shared" si="23"/>
        <v>221.2261300621864</v>
      </c>
      <c r="FJ9" s="59">
        <f ca="1">AVERAGE(OFFSET($FI$3,0,0,'Données projet'!$E$16+1,1))-AVERAGE(OFFSET($H$3,0,0,'Données projet'!$E$16+1,1))</f>
        <v>368.12945163484585</v>
      </c>
      <c r="FK9" s="59">
        <f t="shared" si="48"/>
        <v>357.27183934545121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56.103686716603285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1.9999999999999996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56.103686716603285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1.9999999999999996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3.0869565217391299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11.318840579710143</v>
      </c>
      <c r="H10" s="66">
        <f t="shared" si="1"/>
        <v>211.39130434782609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56.344756684567962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4.8773333333333335</v>
      </c>
      <c r="N10" s="13">
        <f>IF('Données projet'!$A$36&gt;35,N9+M10-V9,IF(A10&lt;'Données projet'!$A$36,$K$205^A10,IF(A10='Données projet'!$A$36,'Données projet'!$B$36,N9+M10-V9)))</f>
        <v>3.2006451566969245</v>
      </c>
      <c r="O10" s="13">
        <f>N10*VLOOKUP('Données projet'!$B$9,Paramètres!$A$1:$I$89,3,0)*VLOOKUP('Données projet'!$B$9,Paramètres!$A$1:$I$89,5,0)</f>
        <v>1.4979019333341608</v>
      </c>
      <c r="P10" s="13">
        <f t="shared" si="33"/>
        <v>0.6585809748262359</v>
      </c>
      <c r="Q10" s="20">
        <f t="shared" si="2"/>
        <v>3.7558743983793579</v>
      </c>
      <c r="R10" s="59">
        <f t="shared" si="0"/>
        <v>218.90887113068413</v>
      </c>
      <c r="S10" s="59">
        <f ca="1">AVERAGE(OFFSET($R$3,0,0,'Données projet'!$E$9+1,1))-AVERAGE(OFFSET($H$3,0,0,'Données projet'!$E$9+1,1))</f>
        <v>320.30433416149219</v>
      </c>
      <c r="T10" s="59">
        <f t="shared" si="34"/>
        <v>201.33422682092797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56.344756684567962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8.6</v>
      </c>
      <c r="AI10" s="13">
        <f>IF('Données projet'!$A$62&gt;35,AI9+AH10-AQ9,IF(A10&lt;'Données projet'!$A$62,$AF$205^A10,IF(A10='Données projet'!$A$62,'Données projet'!$B$62,AI9+AH10-AQ9)))</f>
        <v>9.6592157088543065</v>
      </c>
      <c r="AJ10" s="13">
        <f>AI10*VLOOKUP('Données projet'!$B$10,Paramètres!$A$1:$I$89,3,0)*VLOOKUP('Données projet'!$B$10,Paramètres!$A$1:$I$89,5,0)</f>
        <v>5.7762109938948756</v>
      </c>
      <c r="AK10" s="13">
        <f t="shared" si="35"/>
        <v>2.1704004099526384</v>
      </c>
      <c r="AL10" s="20">
        <f t="shared" si="4"/>
        <v>13.840348195034421</v>
      </c>
      <c r="AM10" s="59">
        <f t="shared" si="5"/>
        <v>228.99334492733919</v>
      </c>
      <c r="AN10" s="59">
        <f ca="1">AVERAGE(OFFSET($AM$3,0,0,'Données projet'!$E$10+1,1))-AVERAGE(OFFSET($H$3,0,0,'Données projet'!$E$10+1,1))</f>
        <v>569.80473816957431</v>
      </c>
      <c r="AO10" s="59">
        <f t="shared" si="36"/>
        <v>495.56567790763199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56.344756684567962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10.683760683333334</v>
      </c>
      <c r="BD10" s="12">
        <f>IF('Données projet'!$A$88&gt;35,BD9+BC10-BL9,IF(A10&lt;'Données projet'!$A$88,$BA$205^A10,IF(A10='Données projet'!$A$88,'Données projet'!$B$88,BD9+BC10-BL9)))</f>
        <v>34.858396278330964</v>
      </c>
      <c r="BE10" s="13">
        <f>BD10*VLOOKUP('Données projet'!$B$11,Paramètres!$A$1:$I$89,3,0)*VLOOKUP('Données projet'!$B$11,Paramètres!$A$1:$I$89,5,0)</f>
        <v>15.334905690763357</v>
      </c>
      <c r="BF10" s="13">
        <f t="shared" si="37"/>
        <v>5.1430398946032652</v>
      </c>
      <c r="BG10" s="20">
        <f t="shared" si="7"/>
        <v>35.665755227846866</v>
      </c>
      <c r="BH10" s="59">
        <f t="shared" si="8"/>
        <v>250.81875196015164</v>
      </c>
      <c r="BI10" s="59">
        <f ca="1">AVERAGE(OFFSET($BH$3,0,0,'Données projet'!$E$11+1,1))-AVERAGE(OFFSET($H$3,0,0,'Données projet'!$E$11+1,1))</f>
        <v>180.42749272334603</v>
      </c>
      <c r="BJ10" s="59">
        <f t="shared" si="38"/>
        <v>346.61476512497495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56.344756684567962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4.0628205128205126</v>
      </c>
      <c r="BY10" s="12">
        <f>IF('Données projet'!$A$114&gt;35,BY9+BX10-CG9,IF(A10&lt;'Données projet'!$A$114,$BV$205^A10,IF(A10='Données projet'!$A$114,'Données projet'!$B$114,BY9+BX10-CG9)))</f>
        <v>3.067053897654088</v>
      </c>
      <c r="BZ10" s="13">
        <f>BY10*VLOOKUP('Données projet'!$B$12,Paramètres!$A$1:$I$89,3,0)*VLOOKUP('Données projet'!$B$12,Paramètres!$A$1:$I$89,5,0)</f>
        <v>2.775070366597419</v>
      </c>
      <c r="CA10" s="13">
        <f t="shared" si="39"/>
        <v>1.1356093801659046</v>
      </c>
      <c r="CB10" s="20">
        <f t="shared" si="10"/>
        <v>6.811100558946122</v>
      </c>
      <c r="CC10" s="59">
        <f t="shared" si="11"/>
        <v>221.96409729125091</v>
      </c>
      <c r="CD10" s="59">
        <f ca="1">AVERAGE(OFFSET($CC$3,0,0,'Données projet'!$E$12+1,1))-AVERAGE(OFFSET($H$3,0,0,'Données projet'!$E$12+1,1))</f>
        <v>553.16421218123958</v>
      </c>
      <c r="CE10" s="59">
        <f t="shared" si="40"/>
        <v>291.73668613844416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56.344756684567962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4.0628205128205126</v>
      </c>
      <c r="CT10" s="12">
        <f>IF('Données projet'!$A$140&gt;35,CT9+CS10-DB9,IF(A10&lt;'Données projet'!$A$140,$CQ$205^A10,IF(A10='Données projet'!$A$140,'Données projet'!$B$140,CT9+CS10-DB9)))</f>
        <v>3.067053897654088</v>
      </c>
      <c r="CU10" s="17">
        <f>CT10*VLOOKUP('Données projet'!$B$13,Paramètres!$A$1:$I$89,3,0)*VLOOKUP('Données projet'!$B$13,Paramètres!$A$1:$I$89,5,0)</f>
        <v>3.1099926522212455</v>
      </c>
      <c r="CV10" s="13">
        <f t="shared" si="41"/>
        <v>1.2558976215767859</v>
      </c>
      <c r="CW10" s="20">
        <f t="shared" si="13"/>
        <v>7.6039255601982383</v>
      </c>
      <c r="CX10" s="59">
        <f t="shared" si="14"/>
        <v>222.75692229250302</v>
      </c>
      <c r="CY10" s="59">
        <f ca="1">AVERAGE(OFFSET($CX$3,0,0,'Données projet'!$E$13+1,1))-AVERAGE(OFFSET($H$3,0,0,'Données projet'!$E$13+1,1))</f>
        <v>611.82989382187804</v>
      </c>
      <c r="CZ10" s="59">
        <f t="shared" si="42"/>
        <v>320.34124600136363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56.344756684567962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4.0628205128205126</v>
      </c>
      <c r="DO10" s="12">
        <f>IF('Données projet'!$A$166&gt;35,DO9+DN10-DW9,IF(A10&lt;'Données projet'!$A$166,$DL$205^A10,IF(A10='Données projet'!$A$166,'Données projet'!$B$166,DO9+DN10-DW9)))</f>
        <v>3.067053897654088</v>
      </c>
      <c r="DP10" s="17">
        <f>DO10*VLOOKUP('Données projet'!$B$14,Paramètres!$A$1:$I$89,3,0)*VLOOKUP('Données projet'!$B$14,Paramètres!$A$1:$I$89,5,0)</f>
        <v>3.3013768154348599</v>
      </c>
      <c r="DQ10" s="13">
        <f t="shared" si="43"/>
        <v>1.3239483802426903</v>
      </c>
      <c r="DR10" s="20">
        <f t="shared" si="16"/>
        <v>8.0557747158050663</v>
      </c>
      <c r="DS10" s="59">
        <f t="shared" si="17"/>
        <v>223.20877144810984</v>
      </c>
      <c r="DT10" s="59">
        <f ca="1">AVERAGE(OFFSET($DS$3,0,0,'Données projet'!$E$14+1,1))-AVERAGE(OFFSET($H$3,0,0,'Données projet'!$E$14+1,1))</f>
        <v>645.29541304800614</v>
      </c>
      <c r="DU10" s="59">
        <f t="shared" si="44"/>
        <v>336.65580771733323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56.344756684567962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3.9282338700657551</v>
      </c>
      <c r="EL10" s="13">
        <f t="shared" si="45"/>
        <v>1.5437779404847436</v>
      </c>
      <c r="EM10" s="20">
        <f t="shared" si="19"/>
        <v>9.5304205700421178</v>
      </c>
      <c r="EN10" s="59">
        <f t="shared" si="20"/>
        <v>224.6834173023469</v>
      </c>
      <c r="EO10" s="59">
        <f ca="1">AVERAGE(OFFSET($EN$3,0,0,'Données projet'!$E$15+1,1))-AVERAGE(OFFSET($H$3,0,0,'Données projet'!$E$15+1,1))</f>
        <v>343.31122043016137</v>
      </c>
      <c r="EP10" s="59">
        <f t="shared" si="46"/>
        <v>333.61098411258877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56.344756684567962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1.1000000000000001</v>
      </c>
      <c r="FE10" s="12">
        <f>IF('Données projet'!$A$218&gt;35,FE9+FD10-FM9,IF(A10&lt;'Données projet'!$A$218,$FB$205^A10,IF(A10='Données projet'!$A$218,'Données projet'!$B$218,FE9+FD10-FM9)))</f>
        <v>5.3576566694841175</v>
      </c>
      <c r="FF10" s="17">
        <f>FE10*VLOOKUP('Données projet'!$B$16,Paramètres!$A$1:$I$89,3,0)*VLOOKUP('Données projet'!$B$16,Paramètres!$A$1:$I$89,5,0)</f>
        <v>4.2625516462415645</v>
      </c>
      <c r="FG10" s="13">
        <f t="shared" si="47"/>
        <v>1.6593124478620722</v>
      </c>
      <c r="FH10" s="20">
        <f t="shared" si="22"/>
        <v>10.313913297230501</v>
      </c>
      <c r="FI10" s="59">
        <f t="shared" si="23"/>
        <v>225.46691002953528</v>
      </c>
      <c r="FJ10" s="59">
        <f ca="1">AVERAGE(OFFSET($FI$3,0,0,'Données projet'!$E$16+1,1))-AVERAGE(OFFSET($H$3,0,0,'Données projet'!$E$16+1,1))</f>
        <v>368.12945163484585</v>
      </c>
      <c r="FK10" s="59">
        <f t="shared" si="48"/>
        <v>357.27183934545121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56.344756684567962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56.344756684567962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3.0869565217391299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11.318840579710143</v>
      </c>
      <c r="H11" s="66">
        <f t="shared" si="1"/>
        <v>211.39130434782609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56.581644627540165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4.8773333333333335</v>
      </c>
      <c r="N11" s="13">
        <f>IF('Données projet'!$A$36&gt;35,N10+M11-V10,IF(A11&lt;'Données projet'!$A$36,$K$205^A11,IF(A11='Données projet'!$A$36,'Données projet'!$B$36,N10+M11-V10)))</f>
        <v>3.7793256758625966</v>
      </c>
      <c r="O11" s="13">
        <f>N11*VLOOKUP('Données projet'!$B$9,Paramètres!$A$1:$I$89,3,0)*VLOOKUP('Données projet'!$B$9,Paramètres!$A$1:$I$89,5,0)</f>
        <v>1.768724416303695</v>
      </c>
      <c r="P11" s="13">
        <f t="shared" si="33"/>
        <v>0.76275417246103394</v>
      </c>
      <c r="Q11" s="20">
        <f t="shared" si="2"/>
        <v>4.4089918754319024</v>
      </c>
      <c r="R11" s="59">
        <f t="shared" si="0"/>
        <v>221.65279995419024</v>
      </c>
      <c r="S11" s="59">
        <f ca="1">AVERAGE(OFFSET($R$3,0,0,'Données projet'!$E$9+1,1))-AVERAGE(OFFSET($H$3,0,0,'Données projet'!$E$9+1,1))</f>
        <v>320.30433416149219</v>
      </c>
      <c r="T11" s="59">
        <f t="shared" si="34"/>
        <v>201.33422682092797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56.581644627540165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8.6</v>
      </c>
      <c r="AI11" s="13">
        <f>IF('Données projet'!$A$62&gt;35,AI10+AH11-AQ10,IF(A11&lt;'Données projet'!$A$62,$AF$205^A11,IF(A11='Données projet'!$A$62,'Données projet'!$B$62,AI10+AH11-AQ10)))</f>
        <v>13.355121563518832</v>
      </c>
      <c r="AJ11" s="13">
        <f>AI11*VLOOKUP('Données projet'!$B$10,Paramètres!$A$1:$I$89,3,0)*VLOOKUP('Données projet'!$B$10,Paramètres!$A$1:$I$89,5,0)</f>
        <v>7.9863626949842619</v>
      </c>
      <c r="AK11" s="13">
        <f t="shared" si="35"/>
        <v>2.8897992054059851</v>
      </c>
      <c r="AL11" s="20">
        <f t="shared" si="4"/>
        <v>18.94264864317968</v>
      </c>
      <c r="AM11" s="59">
        <f t="shared" si="5"/>
        <v>236.18645672193804</v>
      </c>
      <c r="AN11" s="59">
        <f ca="1">AVERAGE(OFFSET($AM$3,0,0,'Données projet'!$E$10+1,1))-AVERAGE(OFFSET($H$3,0,0,'Données projet'!$E$10+1,1))</f>
        <v>569.80473816957431</v>
      </c>
      <c r="AO11" s="59">
        <f t="shared" si="36"/>
        <v>495.56567790763199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56.581644627540165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10.683760683333334</v>
      </c>
      <c r="BD11" s="12">
        <f>IF('Données projet'!$A$88&gt;35,BD10+BC11-BL10,IF(A11&lt;'Données projet'!$A$88,$BA$205^A11,IF(A11='Données projet'!$A$88,'Données projet'!$B$88,BD10+BC11-BL10)))</f>
        <v>57.894463230799253</v>
      </c>
      <c r="BE11" s="13">
        <f>BD11*VLOOKUP('Données projet'!$B$11,Paramètres!$A$1:$I$89,3,0)*VLOOKUP('Données projet'!$B$11,Paramètres!$A$1:$I$89,5,0)</f>
        <v>25.468932264493208</v>
      </c>
      <c r="BF11" s="13">
        <f t="shared" si="37"/>
        <v>8.0519886365284279</v>
      </c>
      <c r="BG11" s="20">
        <f t="shared" si="7"/>
        <v>58.382270569279349</v>
      </c>
      <c r="BH11" s="59">
        <f t="shared" si="8"/>
        <v>275.62607864803772</v>
      </c>
      <c r="BI11" s="59">
        <f ca="1">AVERAGE(OFFSET($BH$3,0,0,'Données projet'!$E$11+1,1))-AVERAGE(OFFSET($H$3,0,0,'Données projet'!$E$11+1,1))</f>
        <v>180.42749272334603</v>
      </c>
      <c r="BJ11" s="59">
        <f t="shared" si="38"/>
        <v>346.61476512497495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56.581644627540165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4.0628205128205126</v>
      </c>
      <c r="BY11" s="12">
        <f>IF('Données projet'!$A$114&gt;35,BY10+BX11-CG10,IF(A11&lt;'Données projet'!$A$114,$BV$205^A11,IF(A11='Données projet'!$A$114,'Données projet'!$B$114,BY10+BX11-CG10)))</f>
        <v>3.5995900084872572</v>
      </c>
      <c r="BZ11" s="13">
        <f>BY11*VLOOKUP('Données projet'!$B$12,Paramètres!$A$1:$I$89,3,0)*VLOOKUP('Données projet'!$B$12,Paramètres!$A$1:$I$89,5,0)</f>
        <v>3.2569090396792704</v>
      </c>
      <c r="CA11" s="13">
        <f t="shared" si="39"/>
        <v>1.3081788372653314</v>
      </c>
      <c r="CB11" s="20">
        <f t="shared" si="10"/>
        <v>7.9508613856785146</v>
      </c>
      <c r="CC11" s="59">
        <f t="shared" si="11"/>
        <v>225.19466946443686</v>
      </c>
      <c r="CD11" s="59">
        <f ca="1">AVERAGE(OFFSET($CC$3,0,0,'Données projet'!$E$12+1,1))-AVERAGE(OFFSET($H$3,0,0,'Données projet'!$E$12+1,1))</f>
        <v>553.16421218123958</v>
      </c>
      <c r="CE11" s="59">
        <f t="shared" si="40"/>
        <v>291.73668613844416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56.581644627540165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4.0628205128205126</v>
      </c>
      <c r="CT11" s="12">
        <f>IF('Données projet'!$A$140&gt;35,CT10+CS11-DB10,IF(A11&lt;'Données projet'!$A$140,$CQ$205^A11,IF(A11='Données projet'!$A$140,'Données projet'!$B$140,CT10+CS11-DB10)))</f>
        <v>3.5995900084872572</v>
      </c>
      <c r="CU11" s="17">
        <f>CT11*VLOOKUP('Données projet'!$B$13,Paramètres!$A$1:$I$89,3,0)*VLOOKUP('Données projet'!$B$13,Paramètres!$A$1:$I$89,5,0)</f>
        <v>3.6499842686060791</v>
      </c>
      <c r="CV11" s="13">
        <f t="shared" si="41"/>
        <v>1.4467463187725633</v>
      </c>
      <c r="CW11" s="20">
        <f t="shared" si="13"/>
        <v>8.8768057730178018</v>
      </c>
      <c r="CX11" s="59">
        <f t="shared" si="14"/>
        <v>226.12061385177614</v>
      </c>
      <c r="CY11" s="59">
        <f ca="1">AVERAGE(OFFSET($CX$3,0,0,'Données projet'!$E$13+1,1))-AVERAGE(OFFSET($H$3,0,0,'Données projet'!$E$13+1,1))</f>
        <v>611.82989382187804</v>
      </c>
      <c r="CZ11" s="59">
        <f t="shared" si="42"/>
        <v>320.34124600136363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56.581644627540165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4.0628205128205126</v>
      </c>
      <c r="DO11" s="12">
        <f>IF('Données projet'!$A$166&gt;35,DO10+DN11-DW10,IF(A11&lt;'Données projet'!$A$166,$DL$205^A11,IF(A11='Données projet'!$A$166,'Données projet'!$B$166,DO10+DN11-DW10)))</f>
        <v>3.5995900084872572</v>
      </c>
      <c r="DP11" s="17">
        <f>DO11*VLOOKUP('Données projet'!$B$14,Paramètres!$A$1:$I$89,3,0)*VLOOKUP('Données projet'!$B$14,Paramètres!$A$1:$I$89,5,0)</f>
        <v>3.8745986851356835</v>
      </c>
      <c r="DQ11" s="13">
        <f t="shared" si="43"/>
        <v>1.5251382058962688</v>
      </c>
      <c r="DR11" s="20">
        <f t="shared" si="16"/>
        <v>9.4045417518806484</v>
      </c>
      <c r="DS11" s="59">
        <f t="shared" si="17"/>
        <v>226.64834983063901</v>
      </c>
      <c r="DT11" s="59">
        <f ca="1">AVERAGE(OFFSET($DS$3,0,0,'Données projet'!$E$14+1,1))-AVERAGE(OFFSET($H$3,0,0,'Données projet'!$E$14+1,1))</f>
        <v>645.29541304800614</v>
      </c>
      <c r="DU11" s="59">
        <f t="shared" si="44"/>
        <v>336.65580771733323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56.581644627540165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4.9927130290993551</v>
      </c>
      <c r="EL11" s="13">
        <f t="shared" si="45"/>
        <v>1.9081050833380053</v>
      </c>
      <c r="EM11" s="20">
        <f t="shared" si="19"/>
        <v>12.018924879161736</v>
      </c>
      <c r="EN11" s="59">
        <f t="shared" si="20"/>
        <v>229.26273295792009</v>
      </c>
      <c r="EO11" s="59">
        <f ca="1">AVERAGE(OFFSET($EN$3,0,0,'Données projet'!$E$15+1,1))-AVERAGE(OFFSET($H$3,0,0,'Données projet'!$E$15+1,1))</f>
        <v>343.31122043016137</v>
      </c>
      <c r="EP11" s="59">
        <f t="shared" si="46"/>
        <v>333.61098411258877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56.581644627540165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1.1000000000000001</v>
      </c>
      <c r="FE11" s="12">
        <f>IF('Données projet'!$A$218&gt;35,FE10+FD11-FM10,IF(A11&lt;'Données projet'!$A$218,$FB$205^A11,IF(A11='Données projet'!$A$218,'Données projet'!$B$218,FE10+FD11-FM10)))</f>
        <v>6.8094831275223076</v>
      </c>
      <c r="FF11" s="17">
        <f>FE11*VLOOKUP('Données projet'!$B$16,Paramètres!$A$1:$I$89,3,0)*VLOOKUP('Données projet'!$B$16,Paramètres!$A$1:$I$89,5,0)</f>
        <v>5.4176247762567487</v>
      </c>
      <c r="FG11" s="13">
        <f t="shared" si="47"/>
        <v>2.0509054013412618</v>
      </c>
      <c r="FH11" s="20">
        <f t="shared" si="22"/>
        <v>13.007690059316532</v>
      </c>
      <c r="FI11" s="59">
        <f t="shared" si="23"/>
        <v>230.25149813807488</v>
      </c>
      <c r="FJ11" s="59">
        <f ca="1">AVERAGE(OFFSET($FI$3,0,0,'Données projet'!$E$16+1,1))-AVERAGE(OFFSET($H$3,0,0,'Données projet'!$E$16+1,1))</f>
        <v>368.12945163484585</v>
      </c>
      <c r="FK11" s="59">
        <f t="shared" si="48"/>
        <v>357.27183934545121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56.581644627540165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56.581644627540165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3.0869565217391299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11.318840579710143</v>
      </c>
      <c r="H12" s="66">
        <f t="shared" si="1"/>
        <v>211.39130434782609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56.814423094303898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4.8773333333333335</v>
      </c>
      <c r="N12" s="13">
        <f>IF('Données projet'!$A$36&gt;35,N11+M12-V11,IF(A12&lt;'Données projet'!$A$36,$K$205^A12,IF(A12='Données projet'!$A$36,'Données projet'!$B$36,N11+M12-V11)))</f>
        <v>4.4626323334682576</v>
      </c>
      <c r="O12" s="13">
        <f>N12*VLOOKUP('Données projet'!$B$9,Paramètres!$A$1:$I$89,3,0)*VLOOKUP('Données projet'!$B$9,Paramètres!$A$1:$I$89,5,0)</f>
        <v>2.0885119320631444</v>
      </c>
      <c r="P12" s="13">
        <f t="shared" si="33"/>
        <v>0.88340530602211986</v>
      </c>
      <c r="Q12" s="20">
        <f t="shared" si="2"/>
        <v>5.1760891896651691</v>
      </c>
      <c r="R12" s="59">
        <f t="shared" si="0"/>
        <v>224.49564053544611</v>
      </c>
      <c r="S12" s="59">
        <f ca="1">AVERAGE(OFFSET($R$3,0,0,'Données projet'!$E$9+1,1))-AVERAGE(OFFSET($H$3,0,0,'Données projet'!$E$9+1,1))</f>
        <v>320.30433416149219</v>
      </c>
      <c r="T12" s="59">
        <f t="shared" si="34"/>
        <v>201.33422682092797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56.814423094303898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8.6</v>
      </c>
      <c r="AI12" s="13">
        <f>IF('Données projet'!$A$62&gt;35,AI11+AH12-AQ11,IF(A12&lt;'Données projet'!$A$62,$AF$205^A12,IF(A12='Données projet'!$A$62,'Données projet'!$B$62,AI11+AH12-AQ11)))</f>
        <v>18.46519193197738</v>
      </c>
      <c r="AJ12" s="13">
        <f>AI12*VLOOKUP('Données projet'!$B$10,Paramètres!$A$1:$I$89,3,0)*VLOOKUP('Données projet'!$B$10,Paramètres!$A$1:$I$89,5,0)</f>
        <v>11.042184775322474</v>
      </c>
      <c r="AK12" s="13">
        <f t="shared" si="35"/>
        <v>3.8476492214389557</v>
      </c>
      <c r="AL12" s="20">
        <f t="shared" si="4"/>
        <v>25.93312754435949</v>
      </c>
      <c r="AM12" s="59">
        <f t="shared" si="5"/>
        <v>245.25267889014043</v>
      </c>
      <c r="AN12" s="59">
        <f ca="1">AVERAGE(OFFSET($AM$3,0,0,'Données projet'!$E$10+1,1))-AVERAGE(OFFSET($H$3,0,0,'Données projet'!$E$10+1,1))</f>
        <v>569.80473816957431</v>
      </c>
      <c r="AO12" s="59">
        <f t="shared" si="36"/>
        <v>495.56567790763199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56.814423094303898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BA12" s="12">
        <f>VLOOKUP(A12,'Données projet'!$A$87:$I$107,2,0)</f>
        <v>96.153846150000007</v>
      </c>
      <c r="BB12" s="12">
        <f>VLOOKUP(A12,'Données projet'!$A$87:$I$107,9,0)</f>
        <v>10.683760683333334</v>
      </c>
      <c r="BC12" s="12">
        <f t="array" ref="BC12">INDEX(BB:BB,MIN(IF(ISNUMBER(BB12:BB208),ROW(BB12:BB208),"")))</f>
        <v>10.683760683333334</v>
      </c>
      <c r="BD12" s="12">
        <f>IF('Données projet'!$A$88&gt;35,BD11+BC12-BL11,IF(A12&lt;'Données projet'!$A$88,$BA$205^A12,IF(A12='Données projet'!$A$88,'Données projet'!$B$88,BD11+BC12-BL11)))</f>
        <v>96.153846150000007</v>
      </c>
      <c r="BE12" s="13">
        <f>BD12*VLOOKUP('Données projet'!$B$11,Paramètres!$A$1:$I$89,3,0)*VLOOKUP('Données projet'!$B$11,Paramètres!$A$1:$I$89,5,0)</f>
        <v>42.299999998307996</v>
      </c>
      <c r="BF12" s="13">
        <f t="shared" si="37"/>
        <v>12.60626445282208</v>
      </c>
      <c r="BG12" s="20">
        <f t="shared" si="7"/>
        <v>95.628410585718214</v>
      </c>
      <c r="BH12" s="59">
        <f t="shared" si="8"/>
        <v>314.94796193149915</v>
      </c>
      <c r="BI12" s="59">
        <f ca="1">AVERAGE(OFFSET($BH$3,0,0,'Données projet'!$E$11+1,1))-AVERAGE(OFFSET($H$3,0,0,'Données projet'!$E$11+1,1))</f>
        <v>180.42749272334603</v>
      </c>
      <c r="BJ12" s="59">
        <f t="shared" si="38"/>
        <v>346.61476512497495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56.814423094303898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4.0628205128205126</v>
      </c>
      <c r="BY12" s="12">
        <f>IF('Données projet'!$A$114&gt;35,BY11+BX12-CG11,IF(A12&lt;'Données projet'!$A$114,$BV$205^A12,IF(A12='Données projet'!$A$114,'Données projet'!$B$114,BY11+BX12-CG11)))</f>
        <v>4.2245909793472531</v>
      </c>
      <c r="BZ12" s="13">
        <f>BY12*VLOOKUP('Données projet'!$B$12,Paramètres!$A$1:$I$89,3,0)*VLOOKUP('Données projet'!$B$12,Paramètres!$A$1:$I$89,5,0)</f>
        <v>3.822409918113395</v>
      </c>
      <c r="CA12" s="13">
        <f t="shared" si="39"/>
        <v>1.5069722918446318</v>
      </c>
      <c r="CB12" s="20">
        <f t="shared" si="10"/>
        <v>9.2820073490102306</v>
      </c>
      <c r="CC12" s="59">
        <f t="shared" si="11"/>
        <v>228.60155869479118</v>
      </c>
      <c r="CD12" s="59">
        <f ca="1">AVERAGE(OFFSET($CC$3,0,0,'Données projet'!$E$12+1,1))-AVERAGE(OFFSET($H$3,0,0,'Données projet'!$E$12+1,1))</f>
        <v>553.16421218123958</v>
      </c>
      <c r="CE12" s="59">
        <f t="shared" si="40"/>
        <v>291.73668613844416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56.814423094303898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4.0628205128205126</v>
      </c>
      <c r="CT12" s="12">
        <f>IF('Données projet'!$A$140&gt;35,CT11+CS12-DB11,IF(A12&lt;'Données projet'!$A$140,$CQ$205^A12,IF(A12='Données projet'!$A$140,'Données projet'!$B$140,CT11+CS12-DB11)))</f>
        <v>4.2245909793472531</v>
      </c>
      <c r="CU12" s="17">
        <f>CT12*VLOOKUP('Données projet'!$B$13,Paramètres!$A$1:$I$89,3,0)*VLOOKUP('Données projet'!$B$13,Paramètres!$A$1:$I$89,5,0)</f>
        <v>4.283735253058115</v>
      </c>
      <c r="CV12" s="13">
        <f t="shared" si="41"/>
        <v>1.6665967630817691</v>
      </c>
      <c r="CW12" s="20">
        <f t="shared" si="13"/>
        <v>10.363494928110297</v>
      </c>
      <c r="CX12" s="59">
        <f t="shared" si="14"/>
        <v>229.68304627389125</v>
      </c>
      <c r="CY12" s="59">
        <f ca="1">AVERAGE(OFFSET($CX$3,0,0,'Données projet'!$E$13+1,1))-AVERAGE(OFFSET($H$3,0,0,'Données projet'!$E$13+1,1))</f>
        <v>611.82989382187804</v>
      </c>
      <c r="CZ12" s="59">
        <f t="shared" si="42"/>
        <v>320.34124600136363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56.814423094303898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4.0628205128205126</v>
      </c>
      <c r="DO12" s="12">
        <f>IF('Données projet'!$A$166&gt;35,DO11+DN12-DW11,IF(A12&lt;'Données projet'!$A$166,$DL$205^A12,IF(A12='Données projet'!$A$166,'Données projet'!$B$166,DO11+DN12-DW11)))</f>
        <v>4.2245909793472531</v>
      </c>
      <c r="DP12" s="17">
        <f>DO12*VLOOKUP('Données projet'!$B$14,Paramètres!$A$1:$I$89,3,0)*VLOOKUP('Données projet'!$B$14,Paramètres!$A$1:$I$89,5,0)</f>
        <v>4.5473497301693833</v>
      </c>
      <c r="DQ12" s="13">
        <f t="shared" si="43"/>
        <v>1.756901237084566</v>
      </c>
      <c r="DR12" s="20">
        <f t="shared" si="16"/>
        <v>10.979903767967294</v>
      </c>
      <c r="DS12" s="59">
        <f t="shared" si="17"/>
        <v>230.29945511374825</v>
      </c>
      <c r="DT12" s="59">
        <f ca="1">AVERAGE(OFFSET($DS$3,0,0,'Données projet'!$E$14+1,1))-AVERAGE(OFFSET($H$3,0,0,'Données projet'!$E$14+1,1))</f>
        <v>645.29541304800614</v>
      </c>
      <c r="DU12" s="59">
        <f t="shared" si="44"/>
        <v>336.65580771733323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56.814423094303898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6.3456464700054127</v>
      </c>
      <c r="EL12" s="13">
        <f t="shared" si="45"/>
        <v>2.3584123814576028</v>
      </c>
      <c r="EM12" s="20">
        <f t="shared" si="19"/>
        <v>15.159569166298086</v>
      </c>
      <c r="EN12" s="59">
        <f t="shared" si="20"/>
        <v>234.47912051207905</v>
      </c>
      <c r="EO12" s="59">
        <f ca="1">AVERAGE(OFFSET($EN$3,0,0,'Données projet'!$E$15+1,1))-AVERAGE(OFFSET($H$3,0,0,'Données projet'!$E$15+1,1))</f>
        <v>343.31122043016137</v>
      </c>
      <c r="EP12" s="59">
        <f t="shared" si="46"/>
        <v>333.61098411258877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56.814423094303898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1.1000000000000001</v>
      </c>
      <c r="FE12" s="12">
        <f>IF('Données projet'!$A$218&gt;35,FE11+FD12-FM11,IF(A12&lt;'Données projet'!$A$218,$FB$205^A12,IF(A12='Données projet'!$A$218,'Données projet'!$B$218,FE11+FD12-FM11)))</f>
        <v>8.6547278641645029</v>
      </c>
      <c r="FF12" s="17">
        <f>FE12*VLOOKUP('Données projet'!$B$16,Paramètres!$A$1:$I$89,3,0)*VLOOKUP('Données projet'!$B$16,Paramètres!$A$1:$I$89,5,0)</f>
        <v>6.8857014887292793</v>
      </c>
      <c r="FG12" s="13">
        <f t="shared" si="47"/>
        <v>2.5349131627802968</v>
      </c>
      <c r="FH12" s="20">
        <f t="shared" si="22"/>
        <v>16.407570518045844</v>
      </c>
      <c r="FI12" s="59">
        <f t="shared" si="23"/>
        <v>235.7271218638268</v>
      </c>
      <c r="FJ12" s="59">
        <f ca="1">AVERAGE(OFFSET($FI$3,0,0,'Données projet'!$E$16+1,1))-AVERAGE(OFFSET($H$3,0,0,'Données projet'!$E$16+1,1))</f>
        <v>368.12945163484585</v>
      </c>
      <c r="FK12" s="59">
        <f t="shared" si="48"/>
        <v>357.27183934545121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56.814423094303898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56.814423094303898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3.0869565217391299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11.318840579710143</v>
      </c>
      <c r="H13" s="66">
        <f t="shared" si="1"/>
        <v>211.39130434782609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57.043163375083964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4.8773333333333335</v>
      </c>
      <c r="N13" s="13">
        <f>IF('Données projet'!$A$36&gt;35,N12+M13-V12,IF(A13&lt;'Données projet'!$A$36,$K$205^A13,IF(A13='Données projet'!$A$36,'Données projet'!$B$36,N12+M13-V12)))</f>
        <v>5.2694816620086362</v>
      </c>
      <c r="O13" s="13">
        <f>N13*VLOOKUP('Données projet'!$B$9,Paramètres!$A$1:$I$89,3,0)*VLOOKUP('Données projet'!$B$9,Paramètres!$A$1:$I$89,5,0)</f>
        <v>2.4661174178200418</v>
      </c>
      <c r="P13" s="13">
        <f t="shared" si="33"/>
        <v>1.0231408268669981</v>
      </c>
      <c r="Q13" s="20">
        <f t="shared" si="2"/>
        <v>6.0771247761632603</v>
      </c>
      <c r="R13" s="59">
        <f t="shared" si="0"/>
        <v>227.4576127070267</v>
      </c>
      <c r="S13" s="59">
        <f ca="1">AVERAGE(OFFSET($R$3,0,0,'Données projet'!$E$9+1,1))-AVERAGE(OFFSET($H$3,0,0,'Données projet'!$E$9+1,1))</f>
        <v>320.30433416149219</v>
      </c>
      <c r="T13" s="59">
        <f t="shared" si="34"/>
        <v>201.33422682092797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57.043163375083964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8.6</v>
      </c>
      <c r="AI13" s="13">
        <f>IF('Données projet'!$A$62&gt;35,AI12+AH13-AQ12,IF(A13&lt;'Données projet'!$A$62,$AF$205^A13,IF(A13='Données projet'!$A$62,'Données projet'!$B$62,AI12+AH13-AQ12)))</f>
        <v>25.530528603808897</v>
      </c>
      <c r="AJ13" s="13">
        <f>AI13*VLOOKUP('Données projet'!$B$10,Paramètres!$A$1:$I$89,3,0)*VLOOKUP('Données projet'!$B$10,Paramètres!$A$1:$I$89,5,0)</f>
        <v>15.267256105077722</v>
      </c>
      <c r="AK13" s="13">
        <f t="shared" si="35"/>
        <v>5.1229872662242473</v>
      </c>
      <c r="AL13" s="20">
        <f t="shared" si="4"/>
        <v>35.513007205017594</v>
      </c>
      <c r="AM13" s="59">
        <f t="shared" si="5"/>
        <v>256.89349513588104</v>
      </c>
      <c r="AN13" s="59">
        <f ca="1">AVERAGE(OFFSET($AM$3,0,0,'Données projet'!$E$10+1,1))-AVERAGE(OFFSET($H$3,0,0,'Données projet'!$E$10+1,1))</f>
        <v>569.80473816957431</v>
      </c>
      <c r="AO13" s="59">
        <f t="shared" si="36"/>
        <v>495.56567790763199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57.043163375083964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35.256410250000002</v>
      </c>
      <c r="BD13" s="12">
        <f>IF('Données projet'!$A$88&gt;35,BD12+BC13-BL12,IF(A13&lt;'Données projet'!$A$88,$BA$205^A13,IF(A13='Données projet'!$A$88,'Données projet'!$B$88,BD12+BC13-BL12)))</f>
        <v>131.41025640000001</v>
      </c>
      <c r="BE13" s="13">
        <f>BD13*VLOOKUP('Données projet'!$B$11,Paramètres!$A$1:$I$89,3,0)*VLOOKUP('Données projet'!$B$11,Paramètres!$A$1:$I$89,5,0)</f>
        <v>57.809999995487999</v>
      </c>
      <c r="BF13" s="13">
        <f t="shared" si="37"/>
        <v>16.613375781433529</v>
      </c>
      <c r="BG13" s="20">
        <f t="shared" si="7"/>
        <v>129.62071281147163</v>
      </c>
      <c r="BH13" s="59">
        <f t="shared" si="8"/>
        <v>351.00120074233507</v>
      </c>
      <c r="BI13" s="59">
        <f ca="1">AVERAGE(OFFSET($BH$3,0,0,'Données projet'!$E$11+1,1))-AVERAGE(OFFSET($H$3,0,0,'Données projet'!$E$11+1,1))</f>
        <v>180.42749272334603</v>
      </c>
      <c r="BJ13" s="59">
        <f t="shared" si="38"/>
        <v>346.61476512497495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57.043163375083964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4.0628205128205126</v>
      </c>
      <c r="BY13" s="12">
        <f>IF('Données projet'!$A$114&gt;35,BY12+BX13-CG12,IF(A13&lt;'Données projet'!$A$114,$BV$205^A13,IF(A13='Données projet'!$A$114,'Données projet'!$B$114,BY12+BX13-CG12)))</f>
        <v>4.9581115906815549</v>
      </c>
      <c r="BZ13" s="13">
        <f>BY13*VLOOKUP('Données projet'!$B$12,Paramètres!$A$1:$I$89,3,0)*VLOOKUP('Données projet'!$B$12,Paramètres!$A$1:$I$89,5,0)</f>
        <v>4.4860993672486709</v>
      </c>
      <c r="CA13" s="13">
        <f t="shared" si="39"/>
        <v>1.7359747946502311</v>
      </c>
      <c r="CB13" s="20">
        <f t="shared" si="10"/>
        <v>10.836779165307254</v>
      </c>
      <c r="CC13" s="59">
        <f t="shared" si="11"/>
        <v>232.2172670961707</v>
      </c>
      <c r="CD13" s="59">
        <f ca="1">AVERAGE(OFFSET($CC$3,0,0,'Données projet'!$E$12+1,1))-AVERAGE(OFFSET($H$3,0,0,'Données projet'!$E$12+1,1))</f>
        <v>553.16421218123958</v>
      </c>
      <c r="CE13" s="59">
        <f t="shared" si="40"/>
        <v>291.73668613844416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57.043163375083964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4.0628205128205126</v>
      </c>
      <c r="CT13" s="12">
        <f>IF('Données projet'!$A$140&gt;35,CT12+CS13-DB12,IF(A13&lt;'Données projet'!$A$140,$CQ$205^A13,IF(A13='Données projet'!$A$140,'Données projet'!$B$140,CT12+CS13-DB12)))</f>
        <v>4.9581115906815549</v>
      </c>
      <c r="CU13" s="17">
        <f>CT13*VLOOKUP('Données projet'!$B$13,Paramètres!$A$1:$I$89,3,0)*VLOOKUP('Données projet'!$B$13,Paramètres!$A$1:$I$89,5,0)</f>
        <v>5.0275251529510969</v>
      </c>
      <c r="CV13" s="13">
        <f t="shared" si="41"/>
        <v>1.9198561176026576</v>
      </c>
      <c r="CW13" s="20">
        <f t="shared" si="13"/>
        <v>12.10002237954779</v>
      </c>
      <c r="CX13" s="59">
        <f t="shared" si="14"/>
        <v>233.48051031041123</v>
      </c>
      <c r="CY13" s="59">
        <f ca="1">AVERAGE(OFFSET($CX$3,0,0,'Données projet'!$E$13+1,1))-AVERAGE(OFFSET($H$3,0,0,'Données projet'!$E$13+1,1))</f>
        <v>611.82989382187804</v>
      </c>
      <c r="CZ13" s="59">
        <f t="shared" si="42"/>
        <v>320.34124600136363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57.043163375083964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4.0628205128205126</v>
      </c>
      <c r="DO13" s="12">
        <f>IF('Données projet'!$A$166&gt;35,DO12+DN13-DW12,IF(A13&lt;'Données projet'!$A$166,$DL$205^A13,IF(A13='Données projet'!$A$166,'Données projet'!$B$166,DO12+DN13-DW12)))</f>
        <v>4.9581115906815549</v>
      </c>
      <c r="DP13" s="17">
        <f>DO13*VLOOKUP('Données projet'!$B$14,Paramètres!$A$1:$I$89,3,0)*VLOOKUP('Données projet'!$B$14,Paramètres!$A$1:$I$89,5,0)</f>
        <v>5.3369113162096253</v>
      </c>
      <c r="DQ13" s="13">
        <f t="shared" si="43"/>
        <v>2.023883438848963</v>
      </c>
      <c r="DR13" s="20">
        <f t="shared" si="16"/>
        <v>12.820050865060374</v>
      </c>
      <c r="DS13" s="59">
        <f t="shared" si="17"/>
        <v>234.20053879592382</v>
      </c>
      <c r="DT13" s="59">
        <f ca="1">AVERAGE(OFFSET($DS$3,0,0,'Données projet'!$E$14+1,1))-AVERAGE(OFFSET($H$3,0,0,'Données projet'!$E$14+1,1))</f>
        <v>645.29541304800614</v>
      </c>
      <c r="DU13" s="59">
        <f t="shared" si="44"/>
        <v>336.65580771733323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57.043163375083964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8.0652000000000008</v>
      </c>
      <c r="EL13" s="13">
        <f t="shared" si="45"/>
        <v>2.9149909035839161</v>
      </c>
      <c r="EM13" s="20">
        <f t="shared" si="19"/>
        <v>19.123832490408656</v>
      </c>
      <c r="EN13" s="59">
        <f t="shared" si="20"/>
        <v>240.5043204212721</v>
      </c>
      <c r="EO13" s="59">
        <f ca="1">AVERAGE(OFFSET($EN$3,0,0,'Données projet'!$E$15+1,1))-AVERAGE(OFFSET($H$3,0,0,'Données projet'!$E$15+1,1))</f>
        <v>343.31122043016137</v>
      </c>
      <c r="EP13" s="59">
        <f t="shared" si="46"/>
        <v>333.61098411258877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57.043163375083964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FB13" s="12">
        <f>VLOOKUP(A13,'Données projet'!$A$217:$I$237,2,0)</f>
        <v>11</v>
      </c>
      <c r="FC13" s="12">
        <f>VLOOKUP(A13,'Données projet'!$A$217:$I$237,9,0)</f>
        <v>1.1000000000000001</v>
      </c>
      <c r="FD13" s="12">
        <f t="array" ref="FD13">INDEX(FC:FC,MIN(IF(ISNUMBER(FC13:FC209),ROW(FC13:FC209),"")))</f>
        <v>1.1000000000000001</v>
      </c>
      <c r="FE13" s="12">
        <f>IF('Données projet'!$A$218&gt;35,FE12+FD13-FM12,IF(A13&lt;'Données projet'!$A$218,$FB$205^A13,IF(A13='Données projet'!$A$218,'Données projet'!$B$218,FE12+FD13-FM12)))</f>
        <v>11</v>
      </c>
      <c r="FF13" s="17">
        <f>FE13*VLOOKUP('Données projet'!$B$16,Paramètres!$A$1:$I$89,3,0)*VLOOKUP('Données projet'!$B$16,Paramètres!$A$1:$I$89,5,0)</f>
        <v>8.7516000000000016</v>
      </c>
      <c r="FG13" s="13">
        <f t="shared" si="47"/>
        <v>3.1331453604025001</v>
      </c>
      <c r="FH13" s="20">
        <f t="shared" si="22"/>
        <v>20.699264836034356</v>
      </c>
      <c r="FI13" s="59">
        <f t="shared" si="23"/>
        <v>242.0797527668978</v>
      </c>
      <c r="FJ13" s="59">
        <f ca="1">AVERAGE(OFFSET($FI$3,0,0,'Données projet'!$E$16+1,1))-AVERAGE(OFFSET($H$3,0,0,'Données projet'!$E$16+1,1))</f>
        <v>368.12945163484585</v>
      </c>
      <c r="FK13" s="59">
        <f t="shared" si="48"/>
        <v>357.27183934545121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57.043163375083964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57.043163375083964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3.0869565217391299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11.318840579710143</v>
      </c>
      <c r="H14" s="66">
        <f t="shared" si="1"/>
        <v>211.39130434782609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57.267935523379158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4.8773333333333335</v>
      </c>
      <c r="N14" s="13">
        <f>IF('Données projet'!$A$36&gt;35,N13+M14-V13,IF(A14&lt;'Données projet'!$A$36,$K$205^A14,IF(A14='Données projet'!$A$36,'Données projet'!$B$36,N13+M14-V13)))</f>
        <v>6.2222103259546522</v>
      </c>
      <c r="O14" s="13">
        <f>N14*VLOOKUP('Données projet'!$B$9,Paramètres!$A$1:$I$89,3,0)*VLOOKUP('Données projet'!$B$9,Paramètres!$A$1:$I$89,5,0)</f>
        <v>2.911994432546777</v>
      </c>
      <c r="P14" s="13">
        <f t="shared" si="33"/>
        <v>1.1849794703133387</v>
      </c>
      <c r="Q14" s="20">
        <f t="shared" si="2"/>
        <v>7.1355628808147005</v>
      </c>
      <c r="R14" s="59">
        <f t="shared" si="0"/>
        <v>230.56243757764938</v>
      </c>
      <c r="S14" s="59">
        <f ca="1">AVERAGE(OFFSET($R$3,0,0,'Données projet'!$E$9+1,1))-AVERAGE(OFFSET($H$3,0,0,'Données projet'!$E$9+1,1))</f>
        <v>320.30433416149219</v>
      </c>
      <c r="T14" s="59">
        <f t="shared" si="34"/>
        <v>201.33422682092797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57.267935523379158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8.6</v>
      </c>
      <c r="AI14" s="13">
        <f>IF('Données projet'!$A$62&gt;35,AI13+AH14-AQ13,IF(A14&lt;'Données projet'!$A$62,$AF$205^A14,IF(A14='Données projet'!$A$62,'Données projet'!$B$62,AI13+AH14-AQ13)))</f>
        <v>35.299275154628958</v>
      </c>
      <c r="AJ14" s="13">
        <f>AI14*VLOOKUP('Données projet'!$B$10,Paramètres!$A$1:$I$89,3,0)*VLOOKUP('Données projet'!$B$10,Paramètres!$A$1:$I$89,5,0)</f>
        <v>21.108966542468117</v>
      </c>
      <c r="AK14" s="13">
        <f t="shared" si="35"/>
        <v>6.8210476110087299</v>
      </c>
      <c r="AL14" s="20">
        <f t="shared" si="4"/>
        <v>48.644774650638844</v>
      </c>
      <c r="AM14" s="59">
        <f t="shared" si="5"/>
        <v>272.07164934747351</v>
      </c>
      <c r="AN14" s="59">
        <f ca="1">AVERAGE(OFFSET($AM$3,0,0,'Données projet'!$E$10+1,1))-AVERAGE(OFFSET($H$3,0,0,'Données projet'!$E$10+1,1))</f>
        <v>569.80473816957431</v>
      </c>
      <c r="AO14" s="59">
        <f t="shared" si="36"/>
        <v>495.56567790763199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57.267935523379158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35.256410250000002</v>
      </c>
      <c r="BD14" s="12">
        <f>IF('Données projet'!$A$88&gt;35,BD13+BC14-BL13,IF(A14&lt;'Données projet'!$A$88,$BA$205^A14,IF(A14='Données projet'!$A$88,'Données projet'!$B$88,BD13+BC14-BL13)))</f>
        <v>166.66666665000002</v>
      </c>
      <c r="BE14" s="13">
        <f>BD14*VLOOKUP('Données projet'!$B$11,Paramètres!$A$1:$I$89,3,0)*VLOOKUP('Données projet'!$B$11,Paramètres!$A$1:$I$89,5,0)</f>
        <v>73.319999992668002</v>
      </c>
      <c r="BF14" s="13">
        <f t="shared" si="37"/>
        <v>20.495693941561068</v>
      </c>
      <c r="BG14" s="20">
        <f t="shared" si="7"/>
        <v>163.39566693544896</v>
      </c>
      <c r="BH14" s="59">
        <f t="shared" si="8"/>
        <v>386.82254163228367</v>
      </c>
      <c r="BI14" s="59">
        <f ca="1">AVERAGE(OFFSET($BH$3,0,0,'Données projet'!$E$11+1,1))-AVERAGE(OFFSET($H$3,0,0,'Données projet'!$E$11+1,1))</f>
        <v>180.42749272334603</v>
      </c>
      <c r="BJ14" s="59">
        <f t="shared" si="38"/>
        <v>346.61476512497495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57.267935523379158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4.0628205128205126</v>
      </c>
      <c r="BY14" s="12">
        <f>IF('Données projet'!$A$114&gt;35,BY13+BX14-CG13,IF(A14&lt;'Données projet'!$A$114,$BV$205^A14,IF(A14='Données projet'!$A$114,'Données projet'!$B$114,BY13+BX14-CG13)))</f>
        <v>5.8189942330107201</v>
      </c>
      <c r="BZ14" s="13">
        <f>BY14*VLOOKUP('Données projet'!$B$12,Paramètres!$A$1:$I$89,3,0)*VLOOKUP('Données projet'!$B$12,Paramètres!$A$1:$I$89,5,0)</f>
        <v>5.2650259820280993</v>
      </c>
      <c r="CA14" s="13">
        <f t="shared" si="39"/>
        <v>1.9997769726555885</v>
      </c>
      <c r="CB14" s="20">
        <f t="shared" si="10"/>
        <v>12.65286514607409</v>
      </c>
      <c r="CC14" s="59">
        <f t="shared" si="11"/>
        <v>236.07973984290877</v>
      </c>
      <c r="CD14" s="59">
        <f ca="1">AVERAGE(OFFSET($CC$3,0,0,'Données projet'!$E$12+1,1))-AVERAGE(OFFSET($H$3,0,0,'Données projet'!$E$12+1,1))</f>
        <v>553.16421218123958</v>
      </c>
      <c r="CE14" s="59">
        <f t="shared" si="40"/>
        <v>291.73668613844416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57.267935523379158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4.0628205128205126</v>
      </c>
      <c r="CT14" s="12">
        <f>IF('Données projet'!$A$140&gt;35,CT13+CS14-DB13,IF(A14&lt;'Données projet'!$A$140,$CQ$205^A14,IF(A14='Données projet'!$A$140,'Données projet'!$B$140,CT13+CS14-DB13)))</f>
        <v>5.8189942330107201</v>
      </c>
      <c r="CU14" s="17">
        <f>CT14*VLOOKUP('Données projet'!$B$13,Paramètres!$A$1:$I$89,3,0)*VLOOKUP('Données projet'!$B$13,Paramètres!$A$1:$I$89,5,0)</f>
        <v>5.9004601522728706</v>
      </c>
      <c r="CV14" s="13">
        <f t="shared" si="41"/>
        <v>2.2116012666919538</v>
      </c>
      <c r="CW14" s="20">
        <f t="shared" si="13"/>
        <v>14.128506971363736</v>
      </c>
      <c r="CX14" s="59">
        <f t="shared" si="14"/>
        <v>237.55538166819844</v>
      </c>
      <c r="CY14" s="59">
        <f ca="1">AVERAGE(OFFSET($CX$3,0,0,'Données projet'!$E$13+1,1))-AVERAGE(OFFSET($H$3,0,0,'Données projet'!$E$13+1,1))</f>
        <v>611.82989382187804</v>
      </c>
      <c r="CZ14" s="59">
        <f t="shared" si="42"/>
        <v>320.34124600136363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57.267935523379158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4.0628205128205126</v>
      </c>
      <c r="DO14" s="12">
        <f>IF('Données projet'!$A$166&gt;35,DO13+DN14-DW13,IF(A14&lt;'Données projet'!$A$166,$DL$205^A14,IF(A14='Données projet'!$A$166,'Données projet'!$B$166,DO13+DN14-DW13)))</f>
        <v>5.8189942330107201</v>
      </c>
      <c r="DP14" s="17">
        <f>DO14*VLOOKUP('Données projet'!$B$14,Paramètres!$A$1:$I$89,3,0)*VLOOKUP('Données projet'!$B$14,Paramètres!$A$1:$I$89,5,0)</f>
        <v>6.2635653924127377</v>
      </c>
      <c r="DQ14" s="13">
        <f t="shared" si="43"/>
        <v>2.3314367863069263</v>
      </c>
      <c r="DR14" s="20">
        <f t="shared" si="16"/>
        <v>14.969628794603414</v>
      </c>
      <c r="DS14" s="59">
        <f t="shared" si="17"/>
        <v>238.3965034914381</v>
      </c>
      <c r="DT14" s="59">
        <f ca="1">AVERAGE(OFFSET($DS$3,0,0,'Données projet'!$E$14+1,1))-AVERAGE(OFFSET($H$3,0,0,'Données projet'!$E$14+1,1))</f>
        <v>645.29541304800614</v>
      </c>
      <c r="DU14" s="59">
        <f t="shared" si="44"/>
        <v>336.65580771733323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57.267935523379158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10.8</v>
      </c>
      <c r="EJ14" s="12">
        <f>IF('Données projet'!$A$192&gt;35,EJ13+EI14-ER13,IF(A14&lt;'Données projet'!$A$192,$EG$205^A14,IF(A14='Données projet'!$A$192,'Données projet'!$B$192,EJ13+EI14-ER13)))</f>
        <v>21.8</v>
      </c>
      <c r="EK14" s="17">
        <f>EJ14*VLOOKUP('Données projet'!$B$15,Paramètres!$A$1:$I$89,3,0)*VLOOKUP('Données projet'!$B$15,Paramètres!$A$1:$I$89,5,0)</f>
        <v>15.983760000000002</v>
      </c>
      <c r="EL14" s="13">
        <f t="shared" si="45"/>
        <v>5.3348570279475842</v>
      </c>
      <c r="EM14" s="20">
        <f t="shared" si="19"/>
        <v>37.129924657008708</v>
      </c>
      <c r="EN14" s="59">
        <f t="shared" si="20"/>
        <v>260.55679935384342</v>
      </c>
      <c r="EO14" s="59">
        <f ca="1">AVERAGE(OFFSET($EN$3,0,0,'Données projet'!$E$15+1,1))-AVERAGE(OFFSET($H$3,0,0,'Données projet'!$E$15+1,1))</f>
        <v>343.31122043016137</v>
      </c>
      <c r="EP14" s="59">
        <f t="shared" si="46"/>
        <v>333.61098411258877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57.267935523379158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10.8</v>
      </c>
      <c r="FE14" s="12">
        <f>IF('Données projet'!$A$218&gt;35,FE13+FD14-FM13,IF(A14&lt;'Données projet'!$A$218,$FB$205^A14,IF(A14='Données projet'!$A$218,'Données projet'!$B$218,FE13+FD14-FM13)))</f>
        <v>21.8</v>
      </c>
      <c r="FF14" s="17">
        <f>FE14*VLOOKUP('Données projet'!$B$16,Paramètres!$A$1:$I$89,3,0)*VLOOKUP('Données projet'!$B$16,Paramètres!$A$1:$I$89,5,0)</f>
        <v>17.344080000000002</v>
      </c>
      <c r="FG14" s="13">
        <f t="shared" si="47"/>
        <v>5.7341113912136308</v>
      </c>
      <c r="FH14" s="20">
        <f t="shared" si="22"/>
        <v>40.194516673030414</v>
      </c>
      <c r="FI14" s="59">
        <f t="shared" si="23"/>
        <v>263.62139136986508</v>
      </c>
      <c r="FJ14" s="59">
        <f ca="1">AVERAGE(OFFSET($FI$3,0,0,'Données projet'!$E$16+1,1))-AVERAGE(OFFSET($H$3,0,0,'Données projet'!$E$16+1,1))</f>
        <v>368.12945163484585</v>
      </c>
      <c r="FK14" s="59">
        <f t="shared" si="48"/>
        <v>357.27183934545121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57.267935523379158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57.267935523379158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3.0869565217391299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11.318840579710143</v>
      </c>
      <c r="H15" s="66">
        <f t="shared" si="1"/>
        <v>211.39130434782609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57.488808377416674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3.9999999999999991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4.8773333333333335</v>
      </c>
      <c r="N15" s="13">
        <f>IF('Données projet'!$A$36&gt;35,N14+M15-V14,IF(A15&lt;'Données projet'!$A$36,$K$205^A15,IF(A15='Données projet'!$A$36,'Données projet'!$B$36,N14+M15-V14)))</f>
        <v>7.3471934857552688</v>
      </c>
      <c r="O15" s="13">
        <f>N15*VLOOKUP('Données projet'!$B$9,Paramètres!$A$1:$I$89,3,0)*VLOOKUP('Données projet'!$B$9,Paramètres!$A$1:$I$89,5,0)</f>
        <v>3.4384865513334657</v>
      </c>
      <c r="P15" s="13">
        <f t="shared" si="33"/>
        <v>1.3724174700015319</v>
      </c>
      <c r="Q15" s="20">
        <f t="shared" si="2"/>
        <v>8.378991170491787</v>
      </c>
      <c r="R15" s="59">
        <f t="shared" si="0"/>
        <v>233.8379552210196</v>
      </c>
      <c r="S15" s="59">
        <f ca="1">AVERAGE(OFFSET($R$3,0,0,'Données projet'!$E$9+1,1))-AVERAGE(OFFSET($H$3,0,0,'Données projet'!$E$9+1,1))</f>
        <v>320.30433416149219</v>
      </c>
      <c r="T15" s="59">
        <f t="shared" si="34"/>
        <v>201.33422682092797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57.488808377416674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3.9999999999999991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8.6</v>
      </c>
      <c r="AI15" s="13">
        <f>IF('Données projet'!$A$62&gt;35,AI14+AH15-AQ14,IF(A15&lt;'Données projet'!$A$62,$AF$205^A15,IF(A15='Données projet'!$A$62,'Données projet'!$B$62,AI14+AH15-AQ14)))</f>
        <v>48.805837347852986</v>
      </c>
      <c r="AJ15" s="13">
        <f>AI15*VLOOKUP('Données projet'!$B$10,Paramètres!$A$1:$I$89,3,0)*VLOOKUP('Données projet'!$B$10,Paramètres!$A$1:$I$89,5,0)</f>
        <v>29.185890734016088</v>
      </c>
      <c r="AK15" s="13">
        <f t="shared" si="35"/>
        <v>9.0819453755814319</v>
      </c>
      <c r="AL15" s="20">
        <f t="shared" si="4"/>
        <v>66.649814557549007</v>
      </c>
      <c r="AM15" s="59">
        <f t="shared" si="5"/>
        <v>292.10877860807682</v>
      </c>
      <c r="AN15" s="59">
        <f ca="1">AVERAGE(OFFSET($AM$3,0,0,'Données projet'!$E$10+1,1))-AVERAGE(OFFSET($H$3,0,0,'Données projet'!$E$10+1,1))</f>
        <v>569.80473816957431</v>
      </c>
      <c r="AO15" s="59">
        <f t="shared" si="36"/>
        <v>495.56567790763199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57.488808377416674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3.9999999999999991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35.256410250000002</v>
      </c>
      <c r="BD15" s="12">
        <f>IF('Données projet'!$A$88&gt;35,BD14+BC15-BL14,IF(A15&lt;'Données projet'!$A$88,$BA$205^A15,IF(A15='Données projet'!$A$88,'Données projet'!$B$88,BD14+BC15-BL14)))</f>
        <v>201.92307690000001</v>
      </c>
      <c r="BE15" s="13">
        <f>BD15*VLOOKUP('Données projet'!$B$11,Paramètres!$A$1:$I$89,3,0)*VLOOKUP('Données projet'!$B$11,Paramètres!$A$1:$I$89,5,0)</f>
        <v>88.829999989847991</v>
      </c>
      <c r="BF15" s="13">
        <f t="shared" si="37"/>
        <v>24.282834630776605</v>
      </c>
      <c r="BG15" s="20">
        <f t="shared" si="7"/>
        <v>197.00485363092116</v>
      </c>
      <c r="BH15" s="59">
        <f t="shared" si="8"/>
        <v>422.46381768144897</v>
      </c>
      <c r="BI15" s="59">
        <f ca="1">AVERAGE(OFFSET($BH$3,0,0,'Données projet'!$E$11+1,1))-AVERAGE(OFFSET($H$3,0,0,'Données projet'!$E$11+1,1))</f>
        <v>180.42749272334603</v>
      </c>
      <c r="BJ15" s="59">
        <f t="shared" si="38"/>
        <v>346.61476512497495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57.488808377416674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3.9999999999999991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4.0628205128205126</v>
      </c>
      <c r="BY15" s="12">
        <f>IF('Données projet'!$A$114&gt;35,BY14+BX15-CG14,IF(A15&lt;'Données projet'!$A$114,$BV$205^A15,IF(A15='Données projet'!$A$114,'Données projet'!$B$114,BY14+BX15-CG14)))</f>
        <v>6.8293529228851897</v>
      </c>
      <c r="BZ15" s="13">
        <f>BY15*VLOOKUP('Données projet'!$B$12,Paramètres!$A$1:$I$89,3,0)*VLOOKUP('Données projet'!$B$12,Paramètres!$A$1:$I$89,5,0)</f>
        <v>6.1791985246265195</v>
      </c>
      <c r="CA15" s="13">
        <f t="shared" si="39"/>
        <v>2.3036670536275285</v>
      </c>
      <c r="CB15" s="20">
        <f t="shared" si="10"/>
        <v>14.774324215459131</v>
      </c>
      <c r="CC15" s="59">
        <f t="shared" si="11"/>
        <v>240.23328826598694</v>
      </c>
      <c r="CD15" s="59">
        <f ca="1">AVERAGE(OFFSET($CC$3,0,0,'Données projet'!$E$12+1,1))-AVERAGE(OFFSET($H$3,0,0,'Données projet'!$E$12+1,1))</f>
        <v>553.16421218123958</v>
      </c>
      <c r="CE15" s="59">
        <f t="shared" si="40"/>
        <v>291.73668613844416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57.488808377416674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3.9999999999999991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4.0628205128205126</v>
      </c>
      <c r="CT15" s="12">
        <f>IF('Données projet'!$A$140&gt;35,CT14+CS15-DB14,IF(A15&lt;'Données projet'!$A$140,$CQ$205^A15,IF(A15='Données projet'!$A$140,'Données projet'!$B$140,CT14+CS15-DB14)))</f>
        <v>6.8293529228851897</v>
      </c>
      <c r="CU15" s="17">
        <f>CT15*VLOOKUP('Données projet'!$B$13,Paramètres!$A$1:$I$89,3,0)*VLOOKUP('Données projet'!$B$13,Paramètres!$A$1:$I$89,5,0)</f>
        <v>6.9249638638055826</v>
      </c>
      <c r="CV15" s="13">
        <f t="shared" si="41"/>
        <v>2.5476805881375704</v>
      </c>
      <c r="CW15" s="20">
        <f t="shared" si="13"/>
        <v>16.498189087134325</v>
      </c>
      <c r="CX15" s="59">
        <f t="shared" si="14"/>
        <v>241.95715313766215</v>
      </c>
      <c r="CY15" s="59">
        <f ca="1">AVERAGE(OFFSET($CX$3,0,0,'Données projet'!$E$13+1,1))-AVERAGE(OFFSET($H$3,0,0,'Données projet'!$E$13+1,1))</f>
        <v>611.82989382187804</v>
      </c>
      <c r="CZ15" s="59">
        <f t="shared" si="42"/>
        <v>320.34124600136363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57.488808377416674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3.9999999999999991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4.0628205128205126</v>
      </c>
      <c r="DO15" s="12">
        <f>IF('Données projet'!$A$166&gt;35,DO14+DN15-DW14,IF(A15&lt;'Données projet'!$A$166,$DL$205^A15,IF(A15='Données projet'!$A$166,'Données projet'!$B$166,DO14+DN15-DW14)))</f>
        <v>6.8293529228851897</v>
      </c>
      <c r="DP15" s="17">
        <f>DO15*VLOOKUP('Données projet'!$B$14,Paramètres!$A$1:$I$89,3,0)*VLOOKUP('Données projet'!$B$14,Paramètres!$A$1:$I$89,5,0)</f>
        <v>7.3511154861936179</v>
      </c>
      <c r="DQ15" s="13">
        <f t="shared" si="43"/>
        <v>2.6857265513455357</v>
      </c>
      <c r="DR15" s="20">
        <f t="shared" si="16"/>
        <v>17.480833215380692</v>
      </c>
      <c r="DS15" s="59">
        <f t="shared" si="17"/>
        <v>242.93979726590851</v>
      </c>
      <c r="DT15" s="59">
        <f ca="1">AVERAGE(OFFSET($DS$3,0,0,'Données projet'!$E$14+1,1))-AVERAGE(OFFSET($H$3,0,0,'Données projet'!$E$14+1,1))</f>
        <v>645.29541304800614</v>
      </c>
      <c r="DU15" s="59">
        <f t="shared" si="44"/>
        <v>336.65580771733323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57.488808377416674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3.9999999999999991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10.8</v>
      </c>
      <c r="EJ15" s="12">
        <f>IF('Données projet'!$A$192&gt;35,EJ14+EI15-ER14,IF(A15&lt;'Données projet'!$A$192,$EG$205^A15,IF(A15='Données projet'!$A$192,'Données projet'!$B$192,EJ14+EI15-ER14)))</f>
        <v>32.6</v>
      </c>
      <c r="EK15" s="17">
        <f>EJ15*VLOOKUP('Données projet'!$B$15,Paramètres!$A$1:$I$89,3,0)*VLOOKUP('Données projet'!$B$15,Paramètres!$A$1:$I$89,5,0)</f>
        <v>23.90232</v>
      </c>
      <c r="EL15" s="13">
        <f t="shared" si="45"/>
        <v>7.6127522913266521</v>
      </c>
      <c r="EM15" s="20">
        <f t="shared" si="19"/>
        <v>54.88875090739392</v>
      </c>
      <c r="EN15" s="59">
        <f t="shared" si="20"/>
        <v>280.34771495792171</v>
      </c>
      <c r="EO15" s="59">
        <f ca="1">AVERAGE(OFFSET($EN$3,0,0,'Données projet'!$E$15+1,1))-AVERAGE(OFFSET($H$3,0,0,'Données projet'!$E$15+1,1))</f>
        <v>343.31122043016137</v>
      </c>
      <c r="EP15" s="59">
        <f t="shared" si="46"/>
        <v>333.61098411258877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57.488808377416674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3.9999999999999991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10.8</v>
      </c>
      <c r="FE15" s="12">
        <f>IF('Données projet'!$A$218&gt;35,FE14+FD15-FM14,IF(A15&lt;'Données projet'!$A$218,$FB$205^A15,IF(A15='Données projet'!$A$218,'Données projet'!$B$218,FE14+FD15-FM14)))</f>
        <v>32.6</v>
      </c>
      <c r="FF15" s="17">
        <f>FE15*VLOOKUP('Données projet'!$B$16,Paramètres!$A$1:$I$89,3,0)*VLOOKUP('Données projet'!$B$16,Paramètres!$A$1:$I$89,5,0)</f>
        <v>25.936560000000004</v>
      </c>
      <c r="FG15" s="13">
        <f t="shared" si="47"/>
        <v>8.1824816304360635</v>
      </c>
      <c r="FH15" s="20">
        <f t="shared" si="22"/>
        <v>59.423997506342801</v>
      </c>
      <c r="FI15" s="59">
        <f t="shared" si="23"/>
        <v>284.88296155687061</v>
      </c>
      <c r="FJ15" s="59">
        <f ca="1">AVERAGE(OFFSET($FI$3,0,0,'Données projet'!$E$16+1,1))-AVERAGE(OFFSET($H$3,0,0,'Données projet'!$E$16+1,1))</f>
        <v>368.12945163484585</v>
      </c>
      <c r="FK15" s="59">
        <f t="shared" si="48"/>
        <v>357.27183934545121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57.488808377416674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3.9999999999999991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57.488808377416674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3.9999999999999991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3.0869565217391299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11.318840579710143</v>
      </c>
      <c r="H16" s="66">
        <f t="shared" si="1"/>
        <v>211.39130434782609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57.705849581234361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4.8773333333333335</v>
      </c>
      <c r="N16" s="13">
        <f>IF('Données projet'!$A$36&gt;35,N15+M16-V15,IF(A16&lt;'Données projet'!$A$36,$K$205^A16,IF(A16='Données projet'!$A$36,'Données projet'!$B$36,N15+M16-V15)))</f>
        <v>8.6755749627994927</v>
      </c>
      <c r="O16" s="13">
        <f>N16*VLOOKUP('Données projet'!$B$9,Paramètres!$A$1:$I$89,3,0)*VLOOKUP('Données projet'!$B$9,Paramètres!$A$1:$I$89,5,0)</f>
        <v>4.0601690825901624</v>
      </c>
      <c r="P16" s="13">
        <f t="shared" si="33"/>
        <v>1.5895040877521298</v>
      </c>
      <c r="Q16" s="20">
        <f t="shared" si="2"/>
        <v>9.83984743834616</v>
      </c>
      <c r="R16" s="59">
        <f t="shared" si="0"/>
        <v>237.31685145842769</v>
      </c>
      <c r="S16" s="59">
        <f ca="1">AVERAGE(OFFSET($R$3,0,0,'Données projet'!$E$9+1,1))-AVERAGE(OFFSET($H$3,0,0,'Données projet'!$E$9+1,1))</f>
        <v>320.30433416149219</v>
      </c>
      <c r="T16" s="59">
        <f t="shared" si="34"/>
        <v>201.33422682092797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57.705849581234361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8.6</v>
      </c>
      <c r="AI16" s="13">
        <f>IF('Données projet'!$A$62&gt;35,AI15+AH16-AQ15,IF(A16&lt;'Données projet'!$A$62,$AF$205^A16,IF(A16='Données projet'!$A$62,'Données projet'!$B$62,AI15+AH16-AQ15)))</f>
        <v>67.480415639999848</v>
      </c>
      <c r="AJ16" s="13">
        <f>AI16*VLOOKUP('Données projet'!$B$10,Paramètres!$A$1:$I$89,3,0)*VLOOKUP('Données projet'!$B$10,Paramètres!$A$1:$I$89,5,0)</f>
        <v>40.353288552719917</v>
      </c>
      <c r="AK16" s="13">
        <f t="shared" si="35"/>
        <v>12.092238100189313</v>
      </c>
      <c r="AL16" s="20">
        <f t="shared" si="4"/>
        <v>91.342625587150238</v>
      </c>
      <c r="AM16" s="59">
        <f t="shared" si="5"/>
        <v>318.81962960723178</v>
      </c>
      <c r="AN16" s="59">
        <f ca="1">AVERAGE(OFFSET($AM$3,0,0,'Données projet'!$E$10+1,1))-AVERAGE(OFFSET($H$3,0,0,'Données projet'!$E$10+1,1))</f>
        <v>569.80473816957431</v>
      </c>
      <c r="AO16" s="59">
        <f t="shared" si="36"/>
        <v>495.56567790763199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57.705849581234361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35.256410250000002</v>
      </c>
      <c r="BD16" s="12">
        <f>IF('Données projet'!$A$88&gt;35,BD15+BC16-BL15,IF(A16&lt;'Données projet'!$A$88,$BA$205^A16,IF(A16='Données projet'!$A$88,'Données projet'!$B$88,BD15+BC16-BL15)))</f>
        <v>237.17948715</v>
      </c>
      <c r="BE16" s="13">
        <f>BD16*VLOOKUP('Données projet'!$B$11,Paramètres!$A$1:$I$89,3,0)*VLOOKUP('Données projet'!$B$11,Paramètres!$A$1:$I$89,5,0)</f>
        <v>104.33999998702799</v>
      </c>
      <c r="BF16" s="13">
        <f t="shared" si="37"/>
        <v>27.99337231285903</v>
      </c>
      <c r="BG16" s="20">
        <f t="shared" si="7"/>
        <v>230.48062342230324</v>
      </c>
      <c r="BH16" s="59">
        <f t="shared" si="8"/>
        <v>457.95762744238476</v>
      </c>
      <c r="BI16" s="59">
        <f ca="1">AVERAGE(OFFSET($BH$3,0,0,'Données projet'!$E$11+1,1))-AVERAGE(OFFSET($H$3,0,0,'Données projet'!$E$11+1,1))</f>
        <v>180.42749272334603</v>
      </c>
      <c r="BJ16" s="59">
        <f t="shared" si="38"/>
        <v>346.61476512497495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57.705849581234361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4.0628205128205126</v>
      </c>
      <c r="BY16" s="12">
        <f>IF('Données projet'!$A$114&gt;35,BY15+BX16-CG15,IF(A16&lt;'Données projet'!$A$114,$BV$205^A16,IF(A16='Données projet'!$A$114,'Données projet'!$B$114,BY15+BX16-CG15)))</f>
        <v>8.0151413590917304</v>
      </c>
      <c r="BZ16" s="13">
        <f>BY16*VLOOKUP('Données projet'!$B$12,Paramètres!$A$1:$I$89,3,0)*VLOOKUP('Données projet'!$B$12,Paramètres!$A$1:$I$89,5,0)</f>
        <v>7.2520999017061971</v>
      </c>
      <c r="CA16" s="13">
        <f t="shared" si="39"/>
        <v>2.6537368749284589</v>
      </c>
      <c r="CB16" s="20">
        <f t="shared" si="10"/>
        <v>17.252665719305359</v>
      </c>
      <c r="CC16" s="59">
        <f t="shared" si="11"/>
        <v>244.72966973938688</v>
      </c>
      <c r="CD16" s="59">
        <f ca="1">AVERAGE(OFFSET($CC$3,0,0,'Données projet'!$E$12+1,1))-AVERAGE(OFFSET($H$3,0,0,'Données projet'!$E$12+1,1))</f>
        <v>553.16421218123958</v>
      </c>
      <c r="CE16" s="59">
        <f t="shared" si="40"/>
        <v>291.73668613844416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57.705849581234361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4.0628205128205126</v>
      </c>
      <c r="CT16" s="12">
        <f>IF('Données projet'!$A$140&gt;35,CT15+CS16-DB15,IF(A16&lt;'Données projet'!$A$140,$CQ$205^A16,IF(A16='Données projet'!$A$140,'Données projet'!$B$140,CT15+CS16-DB15)))</f>
        <v>8.0151413590917304</v>
      </c>
      <c r="CU16" s="17">
        <f>CT16*VLOOKUP('Données projet'!$B$13,Paramètres!$A$1:$I$89,3,0)*VLOOKUP('Données projet'!$B$13,Paramètres!$A$1:$I$89,5,0)</f>
        <v>8.1273533381190166</v>
      </c>
      <c r="CV16" s="13">
        <f t="shared" si="41"/>
        <v>2.9348311908328566</v>
      </c>
      <c r="CW16" s="20">
        <f t="shared" si="13"/>
        <v>19.26663805459118</v>
      </c>
      <c r="CX16" s="59">
        <f t="shared" si="14"/>
        <v>246.74364207467269</v>
      </c>
      <c r="CY16" s="59">
        <f ca="1">AVERAGE(OFFSET($CX$3,0,0,'Données projet'!$E$13+1,1))-AVERAGE(OFFSET($H$3,0,0,'Données projet'!$E$13+1,1))</f>
        <v>611.82989382187804</v>
      </c>
      <c r="CZ16" s="59">
        <f t="shared" si="42"/>
        <v>320.34124600136363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57.705849581234361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4.0628205128205126</v>
      </c>
      <c r="DO16" s="12">
        <f>IF('Données projet'!$A$166&gt;35,DO15+DN16-DW15,IF(A16&lt;'Données projet'!$A$166,$DL$205^A16,IF(A16='Données projet'!$A$166,'Données projet'!$B$166,DO15+DN16-DW15)))</f>
        <v>8.0151413590917304</v>
      </c>
      <c r="DP16" s="17">
        <f>DO16*VLOOKUP('Données projet'!$B$14,Paramètres!$A$1:$I$89,3,0)*VLOOKUP('Données projet'!$B$14,Paramètres!$A$1:$I$89,5,0)</f>
        <v>8.627498158926338</v>
      </c>
      <c r="DQ16" s="13">
        <f t="shared" si="43"/>
        <v>3.0938548928140652</v>
      </c>
      <c r="DR16" s="20">
        <f t="shared" si="16"/>
        <v>20.414689898447865</v>
      </c>
      <c r="DS16" s="59">
        <f t="shared" si="17"/>
        <v>247.8916939185294</v>
      </c>
      <c r="DT16" s="59">
        <f ca="1">AVERAGE(OFFSET($DS$3,0,0,'Données projet'!$E$14+1,1))-AVERAGE(OFFSET($H$3,0,0,'Données projet'!$E$14+1,1))</f>
        <v>645.29541304800614</v>
      </c>
      <c r="DU16" s="59">
        <f t="shared" si="44"/>
        <v>336.65580771733323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57.705849581234361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10.8</v>
      </c>
      <c r="EJ16" s="12">
        <f>IF('Données projet'!$A$192&gt;35,EJ15+EI16-ER15,IF(A16&lt;'Données projet'!$A$192,$EG$205^A16,IF(A16='Données projet'!$A$192,'Données projet'!$B$192,EJ15+EI16-ER15)))</f>
        <v>43.400000000000006</v>
      </c>
      <c r="EK16" s="17">
        <f>EJ16*VLOOKUP('Données projet'!$B$15,Paramètres!$A$1:$I$89,3,0)*VLOOKUP('Données projet'!$B$15,Paramètres!$A$1:$I$89,5,0)</f>
        <v>31.820880000000006</v>
      </c>
      <c r="EL16" s="13">
        <f t="shared" si="45"/>
        <v>9.8027641140385384</v>
      </c>
      <c r="EM16" s="20">
        <f t="shared" si="19"/>
        <v>72.494513498617124</v>
      </c>
      <c r="EN16" s="59">
        <f t="shared" si="20"/>
        <v>299.97151751869865</v>
      </c>
      <c r="EO16" s="59">
        <f ca="1">AVERAGE(OFFSET($EN$3,0,0,'Données projet'!$E$15+1,1))-AVERAGE(OFFSET($H$3,0,0,'Données projet'!$E$15+1,1))</f>
        <v>343.31122043016137</v>
      </c>
      <c r="EP16" s="59">
        <f t="shared" si="46"/>
        <v>333.61098411258877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57.705849581234361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10.8</v>
      </c>
      <c r="FE16" s="12">
        <f>IF('Données projet'!$A$218&gt;35,FE15+FD16-FM15,IF(A16&lt;'Données projet'!$A$218,$FB$205^A16,IF(A16='Données projet'!$A$218,'Données projet'!$B$218,FE15+FD16-FM15)))</f>
        <v>43.400000000000006</v>
      </c>
      <c r="FF16" s="17">
        <f>FE16*VLOOKUP('Données projet'!$B$16,Paramètres!$A$1:$I$89,3,0)*VLOOKUP('Données projet'!$B$16,Paramètres!$A$1:$I$89,5,0)</f>
        <v>34.529040000000009</v>
      </c>
      <c r="FG16" s="13">
        <f t="shared" si="47"/>
        <v>10.536391336679102</v>
      </c>
      <c r="FH16" s="20">
        <f t="shared" si="22"/>
        <v>78.488959578049446</v>
      </c>
      <c r="FI16" s="59">
        <f t="shared" si="23"/>
        <v>305.965963598131</v>
      </c>
      <c r="FJ16" s="59">
        <f ca="1">AVERAGE(OFFSET($FI$3,0,0,'Données projet'!$E$16+1,1))-AVERAGE(OFFSET($H$3,0,0,'Données projet'!$E$16+1,1))</f>
        <v>368.12945163484585</v>
      </c>
      <c r="FK16" s="59">
        <f t="shared" si="48"/>
        <v>357.27183934545121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57.705849581234361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57.705849581234361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3.0869565217391299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11.318840579710143</v>
      </c>
      <c r="H17" s="66">
        <f t="shared" si="1"/>
        <v>211.39130434782609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57.919125605397248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4.8773333333333335</v>
      </c>
      <c r="N17" s="13">
        <f>IF('Données projet'!$A$36&gt;35,N16+M17-V16,IF(A17&lt;'Données projet'!$A$36,$K$205^A17,IF(A17='Données projet'!$A$36,'Données projet'!$B$36,N16+M17-V16)))</f>
        <v>10.244129419087479</v>
      </c>
      <c r="O17" s="13">
        <f>N17*VLOOKUP('Données projet'!$B$9,Paramètres!$A$1:$I$89,3,0)*VLOOKUP('Données projet'!$B$9,Paramètres!$A$1:$I$89,5,0)</f>
        <v>4.79425256813294</v>
      </c>
      <c r="P17" s="13">
        <f t="shared" si="33"/>
        <v>1.8409290906052886</v>
      </c>
      <c r="Q17" s="20">
        <f t="shared" si="2"/>
        <v>11.556274722302414</v>
      </c>
      <c r="R17" s="59">
        <f t="shared" si="0"/>
        <v>241.03751305320341</v>
      </c>
      <c r="S17" s="59">
        <f ca="1">AVERAGE(OFFSET($R$3,0,0,'Données projet'!$E$9+1,1))-AVERAGE(OFFSET($H$3,0,0,'Données projet'!$E$9+1,1))</f>
        <v>320.30433416149219</v>
      </c>
      <c r="T17" s="59">
        <f t="shared" si="34"/>
        <v>201.33422682092797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57.919125605397248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8.6</v>
      </c>
      <c r="AI17" s="13">
        <f>IF('Données projet'!$A$62&gt;35,AI16+AH17-AQ16,IF(A17&lt;'Données projet'!$A$62,$AF$205^A17,IF(A17='Données projet'!$A$62,'Données projet'!$B$62,AI16+AH17-AQ16)))</f>
        <v>93.300448110177783</v>
      </c>
      <c r="AJ17" s="13">
        <f>AI17*VLOOKUP('Données projet'!$B$10,Paramètres!$A$1:$I$89,3,0)*VLOOKUP('Données projet'!$B$10,Paramètres!$A$1:$I$89,5,0)</f>
        <v>55.793667969886314</v>
      </c>
      <c r="AK17" s="13">
        <f t="shared" si="35"/>
        <v>16.100319504763448</v>
      </c>
      <c r="AL17" s="20">
        <f t="shared" si="4"/>
        <v>125.21536151834833</v>
      </c>
      <c r="AM17" s="59">
        <f t="shared" si="5"/>
        <v>354.69659984924931</v>
      </c>
      <c r="AN17" s="59">
        <f ca="1">AVERAGE(OFFSET($AM$3,0,0,'Données projet'!$E$10+1,1))-AVERAGE(OFFSET($H$3,0,0,'Données projet'!$E$10+1,1))</f>
        <v>569.80473816957431</v>
      </c>
      <c r="AO17" s="59">
        <f t="shared" si="36"/>
        <v>495.56567790763199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57.919125605397248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BA17" s="12">
        <f>VLOOKUP(A17,'Données projet'!$A$87:$I$107,2,0)</f>
        <v>272.43589739999999</v>
      </c>
      <c r="BB17" s="12">
        <f>VLOOKUP(A17,'Données projet'!$A$87:$I$107,9,0)</f>
        <v>35.256410250000002</v>
      </c>
      <c r="BC17" s="12">
        <f t="array" ref="BC17">INDEX(BB:BB,MIN(IF(ISNUMBER(BB17:BB213),ROW(BB17:BB213),"")))</f>
        <v>35.256410250000002</v>
      </c>
      <c r="BD17" s="12">
        <f>IF('Données projet'!$A$88&gt;35,BD16+BC17-BL16,IF(A17&lt;'Données projet'!$A$88,$BA$205^A17,IF(A17='Données projet'!$A$88,'Données projet'!$B$88,BD16+BC17-BL16)))</f>
        <v>272.43589739999999</v>
      </c>
      <c r="BE17" s="13">
        <f>BD17*VLOOKUP('Données projet'!$B$11,Paramètres!$A$1:$I$89,3,0)*VLOOKUP('Données projet'!$B$11,Paramètres!$A$1:$I$89,5,0)</f>
        <v>119.849999984208</v>
      </c>
      <c r="BF17" s="13">
        <f t="shared" si="37"/>
        <v>31.640011707372793</v>
      </c>
      <c r="BG17" s="20">
        <f t="shared" si="7"/>
        <v>263.84510369616982</v>
      </c>
      <c r="BH17" s="59">
        <f t="shared" si="8"/>
        <v>493.32634202707084</v>
      </c>
      <c r="BI17" s="59">
        <f ca="1">AVERAGE(OFFSET($BH$3,0,0,'Données projet'!$E$11+1,1))-AVERAGE(OFFSET($H$3,0,0,'Données projet'!$E$11+1,1))</f>
        <v>180.42749272334603</v>
      </c>
      <c r="BJ17" s="59">
        <f t="shared" si="38"/>
        <v>346.61476512497495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57.919125605397248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4.0628205128205126</v>
      </c>
      <c r="BY17" s="12">
        <f>IF('Données projet'!$A$114&gt;35,BY16+BX17-CG16,IF(A17&lt;'Données projet'!$A$114,$BV$205^A17,IF(A17='Données projet'!$A$114,'Données projet'!$B$114,BY16+BX17-CG16)))</f>
        <v>9.4068196111151305</v>
      </c>
      <c r="BZ17" s="13">
        <f>BY17*VLOOKUP('Données projet'!$B$12,Paramètres!$A$1:$I$89,3,0)*VLOOKUP('Données projet'!$B$12,Paramètres!$A$1:$I$89,5,0)</f>
        <v>8.51129038413697</v>
      </c>
      <c r="CA17" s="13">
        <f t="shared" si="39"/>
        <v>3.0570040016267526</v>
      </c>
      <c r="CB17" s="20">
        <f t="shared" si="10"/>
        <v>20.148112721871815</v>
      </c>
      <c r="CC17" s="59">
        <f t="shared" si="11"/>
        <v>249.62935105277282</v>
      </c>
      <c r="CD17" s="59">
        <f ca="1">AVERAGE(OFFSET($CC$3,0,0,'Données projet'!$E$12+1,1))-AVERAGE(OFFSET($H$3,0,0,'Données projet'!$E$12+1,1))</f>
        <v>553.16421218123958</v>
      </c>
      <c r="CE17" s="59">
        <f t="shared" si="40"/>
        <v>291.73668613844416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57.919125605397248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4.0628205128205126</v>
      </c>
      <c r="CT17" s="12">
        <f>IF('Données projet'!$A$140&gt;35,CT16+CS17-DB16,IF(A17&lt;'Données projet'!$A$140,$CQ$205^A17,IF(A17='Données projet'!$A$140,'Données projet'!$B$140,CT16+CS17-DB16)))</f>
        <v>9.4068196111151305</v>
      </c>
      <c r="CU17" s="17">
        <f>CT17*VLOOKUP('Données projet'!$B$13,Paramètres!$A$1:$I$89,3,0)*VLOOKUP('Données projet'!$B$13,Paramètres!$A$1:$I$89,5,0)</f>
        <v>9.5385150856707419</v>
      </c>
      <c r="CV17" s="13">
        <f t="shared" si="41"/>
        <v>3.3808139681206768</v>
      </c>
      <c r="CW17" s="20">
        <f t="shared" si="13"/>
        <v>22.501164768686721</v>
      </c>
      <c r="CX17" s="59">
        <f t="shared" si="14"/>
        <v>251.98240309958771</v>
      </c>
      <c r="CY17" s="59">
        <f ca="1">AVERAGE(OFFSET($CX$3,0,0,'Données projet'!$E$13+1,1))-AVERAGE(OFFSET($H$3,0,0,'Données projet'!$E$13+1,1))</f>
        <v>611.82989382187804</v>
      </c>
      <c r="CZ17" s="59">
        <f t="shared" si="42"/>
        <v>320.34124600136363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57.919125605397248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4.0628205128205126</v>
      </c>
      <c r="DO17" s="12">
        <f>IF('Données projet'!$A$166&gt;35,DO16+DN17-DW16,IF(A17&lt;'Données projet'!$A$166,$DL$205^A17,IF(A17='Données projet'!$A$166,'Données projet'!$B$166,DO16+DN17-DW16)))</f>
        <v>9.4068196111151305</v>
      </c>
      <c r="DP17" s="17">
        <f>DO17*VLOOKUP('Données projet'!$B$14,Paramètres!$A$1:$I$89,3,0)*VLOOKUP('Données projet'!$B$14,Paramètres!$A$1:$I$89,5,0)</f>
        <v>10.125500629404325</v>
      </c>
      <c r="DQ17" s="13">
        <f t="shared" si="43"/>
        <v>3.5640032277277203</v>
      </c>
      <c r="DR17" s="20">
        <f t="shared" si="16"/>
        <v>23.842552551171647</v>
      </c>
      <c r="DS17" s="59">
        <f t="shared" si="17"/>
        <v>253.32379088207264</v>
      </c>
      <c r="DT17" s="59">
        <f ca="1">AVERAGE(OFFSET($DS$3,0,0,'Données projet'!$E$14+1,1))-AVERAGE(OFFSET($H$3,0,0,'Données projet'!$E$14+1,1))</f>
        <v>645.29541304800614</v>
      </c>
      <c r="DU17" s="59">
        <f t="shared" si="44"/>
        <v>336.65580771733323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57.919125605397248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10.8</v>
      </c>
      <c r="EJ17" s="12">
        <f>IF('Données projet'!$A$192&gt;35,EJ16+EI17-ER16,IF(A17&lt;'Données projet'!$A$192,$EG$205^A17,IF(A17='Données projet'!$A$192,'Données projet'!$B$192,EJ16+EI17-ER16)))</f>
        <v>54.2</v>
      </c>
      <c r="EK17" s="17">
        <f>EJ17*VLOOKUP('Données projet'!$B$15,Paramètres!$A$1:$I$89,3,0)*VLOOKUP('Données projet'!$B$15,Paramètres!$A$1:$I$89,5,0)</f>
        <v>39.739440000000002</v>
      </c>
      <c r="EL17" s="13">
        <f t="shared" si="45"/>
        <v>11.929559204083212</v>
      </c>
      <c r="EM17" s="20">
        <f t="shared" si="19"/>
        <v>89.990173613778268</v>
      </c>
      <c r="EN17" s="59">
        <f t="shared" si="20"/>
        <v>319.47141194467929</v>
      </c>
      <c r="EO17" s="59">
        <f ca="1">AVERAGE(OFFSET($EN$3,0,0,'Données projet'!$E$15+1,1))-AVERAGE(OFFSET($H$3,0,0,'Données projet'!$E$15+1,1))</f>
        <v>343.31122043016137</v>
      </c>
      <c r="EP17" s="59">
        <f t="shared" si="46"/>
        <v>333.61098411258877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57.919125605397248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10.8</v>
      </c>
      <c r="FE17" s="12">
        <f>IF('Données projet'!$A$218&gt;35,FE16+FD17-FM16,IF(A17&lt;'Données projet'!$A$218,$FB$205^A17,IF(A17='Données projet'!$A$218,'Données projet'!$B$218,FE16+FD17-FM16)))</f>
        <v>54.2</v>
      </c>
      <c r="FF17" s="17">
        <f>FE17*VLOOKUP('Données projet'!$B$16,Paramètres!$A$1:$I$89,3,0)*VLOOKUP('Données projet'!$B$16,Paramètres!$A$1:$I$89,5,0)</f>
        <v>43.121520000000004</v>
      </c>
      <c r="FG17" s="13">
        <f t="shared" si="47"/>
        <v>12.822353245070515</v>
      </c>
      <c r="FH17" s="20">
        <f t="shared" si="22"/>
        <v>97.435579235164482</v>
      </c>
      <c r="FI17" s="59">
        <f t="shared" si="23"/>
        <v>326.91681756606545</v>
      </c>
      <c r="FJ17" s="59">
        <f ca="1">AVERAGE(OFFSET($FI$3,0,0,'Données projet'!$E$16+1,1))-AVERAGE(OFFSET($H$3,0,0,'Données projet'!$E$16+1,1))</f>
        <v>368.12945163484585</v>
      </c>
      <c r="FK17" s="59">
        <f t="shared" si="48"/>
        <v>357.27183934545121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57.919125605397248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57.919125605397248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3.0869565217391299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11.318840579710143</v>
      </c>
      <c r="H18" s="66">
        <f t="shared" si="1"/>
        <v>211.39130434782609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58.12870176735467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4.8773333333333335</v>
      </c>
      <c r="N18" s="13">
        <f>IF('Données projet'!$A$36&gt;35,N17+M18-V17,IF(A18&lt;'Données projet'!$A$36,$K$205^A18,IF(A18='Données projet'!$A$36,'Données projet'!$B$36,N17+M18-V17)))</f>
        <v>12.096280420029951</v>
      </c>
      <c r="O18" s="13">
        <f>N18*VLOOKUP('Données projet'!$B$9,Paramètres!$A$1:$I$89,3,0)*VLOOKUP('Données projet'!$B$9,Paramètres!$A$1:$I$89,5,0)</f>
        <v>5.6610592365740171</v>
      </c>
      <c r="P18" s="13">
        <f t="shared" si="33"/>
        <v>2.1321240648267561</v>
      </c>
      <c r="Q18" s="20">
        <f t="shared" si="2"/>
        <v>13.573127583273013</v>
      </c>
      <c r="R18" s="59">
        <f t="shared" si="0"/>
        <v>245.0450340635735</v>
      </c>
      <c r="S18" s="59">
        <f ca="1">AVERAGE(OFFSET($R$3,0,0,'Données projet'!$E$9+1,1))-AVERAGE(OFFSET($H$3,0,0,'Données projet'!$E$9+1,1))</f>
        <v>320.30433416149219</v>
      </c>
      <c r="T18" s="59">
        <f t="shared" si="34"/>
        <v>201.33422682092797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58.12870176735467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AF18" s="12">
        <f>VLOOKUP(A18,'Données projet'!$A$61:$I$81,2,0)</f>
        <v>129</v>
      </c>
      <c r="AG18" s="12">
        <f>VLOOKUP(A18,'Données projet'!$A$61:$I$81,9,0)</f>
        <v>8.6</v>
      </c>
      <c r="AH18" s="12">
        <f t="array" ref="AH18">INDEX(AG:AG,MIN(IF(ISNUMBER(AG18:AG214),ROW(AG18:AG214),"")))</f>
        <v>8.6</v>
      </c>
      <c r="AI18" s="13">
        <f>IF('Données projet'!$A$62&gt;35,AI17+AH18-AQ17,IF(A18&lt;'Données projet'!$A$62,$AF$205^A18,IF(A18='Données projet'!$A$62,'Données projet'!$B$62,AI17+AH18-AQ17)))</f>
        <v>129</v>
      </c>
      <c r="AJ18" s="13">
        <f>AI18*VLOOKUP('Données projet'!$B$10,Paramètres!$A$1:$I$89,3,0)*VLOOKUP('Données projet'!$B$10,Paramètres!$A$1:$I$89,5,0)</f>
        <v>77.14200000000001</v>
      </c>
      <c r="AK18" s="13">
        <f t="shared" si="35"/>
        <v>21.436915648510755</v>
      </c>
      <c r="AL18" s="20">
        <f t="shared" si="4"/>
        <v>171.69161142115624</v>
      </c>
      <c r="AM18" s="59">
        <f t="shared" si="5"/>
        <v>403.16351790145671</v>
      </c>
      <c r="AN18" s="59">
        <f ca="1">AVERAGE(OFFSET($AM$3,0,0,'Données projet'!$E$10+1,1))-AVERAGE(OFFSET($H$3,0,0,'Données projet'!$E$10+1,1))</f>
        <v>569.80473816957431</v>
      </c>
      <c r="AO18" s="59">
        <f t="shared" si="36"/>
        <v>495.56567790763199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21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1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14.21857319233736</v>
      </c>
      <c r="AX18" s="21">
        <f t="shared" si="6"/>
        <v>14.21857319233736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58.12870176735467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7.0512820600000055</v>
      </c>
      <c r="BD18" s="12">
        <f>IF('Données projet'!$A$88&gt;35,BD17+BC18-BL17,IF(A18&lt;'Données projet'!$A$88,$BA$205^A18,IF(A18='Données projet'!$A$88,'Données projet'!$B$88,BD17+BC18-BL17)))</f>
        <v>279.48717945999999</v>
      </c>
      <c r="BE18" s="13">
        <f>BD18*VLOOKUP('Données projet'!$B$11,Paramètres!$A$1:$I$89,3,0)*VLOOKUP('Données projet'!$B$11,Paramètres!$A$1:$I$89,5,0)</f>
        <v>122.95199998804318</v>
      </c>
      <c r="BF18" s="13">
        <f t="shared" si="37"/>
        <v>32.362527975190197</v>
      </c>
      <c r="BG18" s="20">
        <f t="shared" si="7"/>
        <v>270.50613620263147</v>
      </c>
      <c r="BH18" s="59">
        <f t="shared" si="8"/>
        <v>501.97804268293191</v>
      </c>
      <c r="BI18" s="59">
        <f ca="1">AVERAGE(OFFSET($BH$3,0,0,'Données projet'!$E$11+1,1))-AVERAGE(OFFSET($H$3,0,0,'Données projet'!$E$11+1,1))</f>
        <v>180.42749272334603</v>
      </c>
      <c r="BJ18" s="59">
        <f t="shared" si="38"/>
        <v>346.61476512497495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58.12870176735467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4.0628205128205126</v>
      </c>
      <c r="BY18" s="12">
        <f>IF('Données projet'!$A$114&gt;35,BY17+BX18-CG17,IF(A18&lt;'Données projet'!$A$114,$BV$205^A18,IF(A18='Données projet'!$A$114,'Données projet'!$B$114,BY17+BX18-CG17)))</f>
        <v>11.040136565487554</v>
      </c>
      <c r="BZ18" s="13">
        <f>BY18*VLOOKUP('Données projet'!$B$12,Paramètres!$A$1:$I$89,3,0)*VLOOKUP('Données projet'!$B$12,Paramètres!$A$1:$I$89,5,0)</f>
        <v>9.9891155644531384</v>
      </c>
      <c r="CA18" s="13">
        <f t="shared" si="39"/>
        <v>3.5215524019177353</v>
      </c>
      <c r="CB18" s="20">
        <f t="shared" si="10"/>
        <v>23.531080041429274</v>
      </c>
      <c r="CC18" s="59">
        <f t="shared" si="11"/>
        <v>255.00298652172975</v>
      </c>
      <c r="CD18" s="59">
        <f ca="1">AVERAGE(OFFSET($CC$3,0,0,'Données projet'!$E$12+1,1))-AVERAGE(OFFSET($H$3,0,0,'Données projet'!$E$12+1,1))</f>
        <v>553.16421218123958</v>
      </c>
      <c r="CE18" s="59">
        <f t="shared" si="40"/>
        <v>291.73668613844416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58.12870176735467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4.0628205128205126</v>
      </c>
      <c r="CT18" s="12">
        <f>IF('Données projet'!$A$140&gt;35,CT17+CS18-DB17,IF(A18&lt;'Données projet'!$A$140,$CQ$205^A18,IF(A18='Données projet'!$A$140,'Données projet'!$B$140,CT17+CS18-DB17)))</f>
        <v>11.040136565487554</v>
      </c>
      <c r="CU18" s="17">
        <f>CT18*VLOOKUP('Données projet'!$B$13,Paramètres!$A$1:$I$89,3,0)*VLOOKUP('Données projet'!$B$13,Paramètres!$A$1:$I$89,5,0)</f>
        <v>11.194698477404382</v>
      </c>
      <c r="CV18" s="13">
        <f t="shared" si="41"/>
        <v>3.8945691741119406</v>
      </c>
      <c r="CW18" s="20">
        <f t="shared" si="13"/>
        <v>26.280474493057593</v>
      </c>
      <c r="CX18" s="59">
        <f t="shared" si="14"/>
        <v>257.75238097335807</v>
      </c>
      <c r="CY18" s="59">
        <f ca="1">AVERAGE(OFFSET($CX$3,0,0,'Données projet'!$E$13+1,1))-AVERAGE(OFFSET($H$3,0,0,'Données projet'!$E$13+1,1))</f>
        <v>611.82989382187804</v>
      </c>
      <c r="CZ18" s="59">
        <f t="shared" si="42"/>
        <v>320.34124600136363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58.12870176735467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4.0628205128205126</v>
      </c>
      <c r="DO18" s="12">
        <f>IF('Données projet'!$A$166&gt;35,DO17+DN18-DW17,IF(A18&lt;'Données projet'!$A$166,$DL$205^A18,IF(A18='Données projet'!$A$166,'Données projet'!$B$166,DO17+DN18-DW17)))</f>
        <v>11.040136565487554</v>
      </c>
      <c r="DP18" s="17">
        <f>DO18*VLOOKUP('Données projet'!$B$14,Paramètres!$A$1:$I$89,3,0)*VLOOKUP('Données projet'!$B$14,Paramètres!$A$1:$I$89,5,0)</f>
        <v>11.883602999090803</v>
      </c>
      <c r="DQ18" s="13">
        <f t="shared" si="43"/>
        <v>4.1055962374822954</v>
      </c>
      <c r="DR18" s="20">
        <f t="shared" si="16"/>
        <v>27.847855337031476</v>
      </c>
      <c r="DS18" s="59">
        <f t="shared" si="17"/>
        <v>259.31976181733194</v>
      </c>
      <c r="DT18" s="59">
        <f ca="1">AVERAGE(OFFSET($DS$3,0,0,'Données projet'!$E$14+1,1))-AVERAGE(OFFSET($H$3,0,0,'Données projet'!$E$14+1,1))</f>
        <v>645.29541304800614</v>
      </c>
      <c r="DU18" s="59">
        <f t="shared" si="44"/>
        <v>336.65580771733323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58.12870176735467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EG18" s="12">
        <f>VLOOKUP(A18,'Données projet'!$A$191:$I$211,2,0)</f>
        <v>65</v>
      </c>
      <c r="EH18" s="12">
        <f>VLOOKUP(A18,'Données projet'!$A$191:$I$211,9,0)</f>
        <v>10.8</v>
      </c>
      <c r="EI18" s="12">
        <f t="array" ref="EI18">INDEX(EH:EH,MIN(IF(ISNUMBER(EH18:EH214),ROW(EH18:EH214),"")))</f>
        <v>10.8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47.657999999999994</v>
      </c>
      <c r="EL18" s="13">
        <f t="shared" si="45"/>
        <v>14.007249652087213</v>
      </c>
      <c r="EM18" s="20">
        <f t="shared" si="19"/>
        <v>107.40030981071855</v>
      </c>
      <c r="EN18" s="59">
        <f t="shared" si="20"/>
        <v>338.87221629101901</v>
      </c>
      <c r="EO18" s="59">
        <f ca="1">AVERAGE(OFFSET($EN$3,0,0,'Données projet'!$E$15+1,1))-AVERAGE(OFFSET($H$3,0,0,'Données projet'!$E$15+1,1))</f>
        <v>343.31122043016137</v>
      </c>
      <c r="EP18" s="59">
        <f t="shared" si="46"/>
        <v>333.61098411258877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58.12870176735467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FB18" s="12">
        <f>VLOOKUP(A18,'Données projet'!$A$217:$I$237,2,0)</f>
        <v>65</v>
      </c>
      <c r="FC18" s="12">
        <f>VLOOKUP(A18,'Données projet'!$A$217:$I$237,9,0)</f>
        <v>10.8</v>
      </c>
      <c r="FD18" s="12">
        <f t="array" ref="FD18">INDEX(FC:FC,MIN(IF(ISNUMBER(FC18:FC214),ROW(FC18:FC214),"")))</f>
        <v>10.8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51.713999999999999</v>
      </c>
      <c r="FG18" s="13">
        <f t="shared" si="47"/>
        <v>15.055535578337075</v>
      </c>
      <c r="FH18" s="20">
        <f t="shared" si="22"/>
        <v>116.29027446560372</v>
      </c>
      <c r="FI18" s="59">
        <f t="shared" si="23"/>
        <v>347.76218094590422</v>
      </c>
      <c r="FJ18" s="59">
        <f ca="1">AVERAGE(OFFSET($FI$3,0,0,'Données projet'!$E$16+1,1))-AVERAGE(OFFSET($H$3,0,0,'Données projet'!$E$16+1,1))</f>
        <v>368.12945163484585</v>
      </c>
      <c r="FK18" s="59">
        <f t="shared" si="48"/>
        <v>357.27183934545121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58.12870176735467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58.12870176735467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3.0869565217391299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11.318840579710143</v>
      </c>
      <c r="H19" s="66">
        <f t="shared" si="1"/>
        <v>211.39130434782609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58.33464225144423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4.8773333333333335</v>
      </c>
      <c r="N19" s="13">
        <f>IF('Données projet'!$A$36&gt;35,N18+M19-V18,IF(A19&lt;'Données projet'!$A$36,$K$205^A19,IF(A19='Données projet'!$A$36,'Données projet'!$B$36,N18+M19-V18)))</f>
        <v>14.283302564234273</v>
      </c>
      <c r="O19" s="13">
        <f>N19*VLOOKUP('Données projet'!$B$9,Paramètres!$A$1:$I$89,3,0)*VLOOKUP('Données projet'!$B$9,Paramètres!$A$1:$I$89,5,0)</f>
        <v>6.6845856000616397</v>
      </c>
      <c r="P19" s="13">
        <f t="shared" si="33"/>
        <v>2.4693797555878043</v>
      </c>
      <c r="Q19" s="20">
        <f t="shared" si="2"/>
        <v>15.943156327756114</v>
      </c>
      <c r="R19" s="59">
        <f t="shared" si="0"/>
        <v>249.39240013860717</v>
      </c>
      <c r="S19" s="59">
        <f ca="1">AVERAGE(OFFSET($R$3,0,0,'Données projet'!$E$9+1,1))-AVERAGE(OFFSET($H$3,0,0,'Données projet'!$E$9+1,1))</f>
        <v>320.30433416149219</v>
      </c>
      <c r="T19" s="59">
        <f t="shared" si="34"/>
        <v>201.33422682092797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58.33464225144423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23.6</v>
      </c>
      <c r="AI19" s="13">
        <f>IF('Données projet'!$A$62&gt;35,AI18+AH19-AQ18,IF(A19&lt;'Données projet'!$A$62,$AF$205^A19,IF(A19='Données projet'!$A$62,'Données projet'!$B$62,AI18+AH19-AQ18)))</f>
        <v>131.6</v>
      </c>
      <c r="AJ19" s="13">
        <f>AI19*VLOOKUP('Données projet'!$B$10,Paramètres!$A$1:$I$89,3,0)*VLOOKUP('Données projet'!$B$10,Paramètres!$A$1:$I$89,5,0)</f>
        <v>78.69680000000001</v>
      </c>
      <c r="AK19" s="13">
        <f t="shared" si="35"/>
        <v>21.818241011661829</v>
      </c>
      <c r="AL19" s="20">
        <f t="shared" si="4"/>
        <v>175.06369642864436</v>
      </c>
      <c r="AM19" s="59">
        <f t="shared" si="5"/>
        <v>408.51294023949544</v>
      </c>
      <c r="AN19" s="59">
        <f ca="1">AVERAGE(OFFSET($AM$3,0,0,'Données projet'!$E$10+1,1))-AVERAGE(OFFSET($H$3,0,0,'Données projet'!$E$10+1,1))</f>
        <v>569.80473816957431</v>
      </c>
      <c r="AO19" s="59">
        <f t="shared" si="36"/>
        <v>495.56567790763199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10.054049523099005</v>
      </c>
      <c r="AX19" s="21">
        <f t="shared" si="6"/>
        <v>10.054049523099005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58.33464225144423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7.0512820600000055</v>
      </c>
      <c r="BD19" s="12">
        <f>IF('Données projet'!$A$88&gt;35,BD18+BC19-BL18,IF(A19&lt;'Données projet'!$A$88,$BA$205^A19,IF(A19='Données projet'!$A$88,'Données projet'!$B$88,BD18+BC19-BL18)))</f>
        <v>286.53846152</v>
      </c>
      <c r="BE19" s="13">
        <f>BD19*VLOOKUP('Données projet'!$B$11,Paramètres!$A$1:$I$89,3,0)*VLOOKUP('Données projet'!$B$11,Paramètres!$A$1:$I$89,5,0)</f>
        <v>126.05399999187838</v>
      </c>
      <c r="BF19" s="13">
        <f t="shared" si="37"/>
        <v>33.082925306419682</v>
      </c>
      <c r="BG19" s="20">
        <f t="shared" si="7"/>
        <v>277.16347822786918</v>
      </c>
      <c r="BH19" s="59">
        <f t="shared" si="8"/>
        <v>510.61272203872022</v>
      </c>
      <c r="BI19" s="59">
        <f ca="1">AVERAGE(OFFSET($BH$3,0,0,'Données projet'!$E$11+1,1))-AVERAGE(OFFSET($H$3,0,0,'Données projet'!$E$11+1,1))</f>
        <v>180.42749272334603</v>
      </c>
      <c r="BJ19" s="59">
        <f t="shared" si="38"/>
        <v>346.61476512497495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58.33464225144423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4.0628205128205126</v>
      </c>
      <c r="BY19" s="12">
        <f>IF('Données projet'!$A$114&gt;35,BY18+BX19-CG18,IF(A19&lt;'Données projet'!$A$114,$BV$205^A19,IF(A19='Données projet'!$A$114,'Données projet'!$B$114,BY18+BX19-CG18)))</f>
        <v>12.957048229201293</v>
      </c>
      <c r="BZ19" s="13">
        <f>BY19*VLOOKUP('Données projet'!$B$12,Paramètres!$A$1:$I$89,3,0)*VLOOKUP('Données projet'!$B$12,Paramètres!$A$1:$I$89,5,0)</f>
        <v>11.723537237781329</v>
      </c>
      <c r="CA19" s="13">
        <f t="shared" si="39"/>
        <v>4.0566944998610817</v>
      </c>
      <c r="CB19" s="20">
        <f t="shared" si="10"/>
        <v>27.483903609727193</v>
      </c>
      <c r="CC19" s="59">
        <f t="shared" si="11"/>
        <v>260.93314742057828</v>
      </c>
      <c r="CD19" s="59">
        <f ca="1">AVERAGE(OFFSET($CC$3,0,0,'Données projet'!$E$12+1,1))-AVERAGE(OFFSET($H$3,0,0,'Données projet'!$E$12+1,1))</f>
        <v>553.16421218123958</v>
      </c>
      <c r="CE19" s="59">
        <f t="shared" si="40"/>
        <v>291.73668613844416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58.33464225144423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4.0628205128205126</v>
      </c>
      <c r="CT19" s="12">
        <f>IF('Données projet'!$A$140&gt;35,CT18+CS19-DB18,IF(A19&lt;'Données projet'!$A$140,$CQ$205^A19,IF(A19='Données projet'!$A$140,'Données projet'!$B$140,CT18+CS19-DB18)))</f>
        <v>12.957048229201293</v>
      </c>
      <c r="CU19" s="17">
        <f>CT19*VLOOKUP('Données projet'!$B$13,Paramètres!$A$1:$I$89,3,0)*VLOOKUP('Données projet'!$B$13,Paramètres!$A$1:$I$89,5,0)</f>
        <v>13.138446904410113</v>
      </c>
      <c r="CV19" s="13">
        <f t="shared" si="41"/>
        <v>4.486395641690498</v>
      </c>
      <c r="CW19" s="20">
        <f t="shared" si="13"/>
        <v>30.696600767791892</v>
      </c>
      <c r="CX19" s="59">
        <f t="shared" si="14"/>
        <v>264.14584457864294</v>
      </c>
      <c r="CY19" s="59">
        <f ca="1">AVERAGE(OFFSET($CX$3,0,0,'Données projet'!$E$13+1,1))-AVERAGE(OFFSET($H$3,0,0,'Données projet'!$E$13+1,1))</f>
        <v>611.82989382187804</v>
      </c>
      <c r="CZ19" s="59">
        <f t="shared" si="42"/>
        <v>320.34124600136363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58.33464225144423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4.0628205128205126</v>
      </c>
      <c r="DO19" s="12">
        <f>IF('Données projet'!$A$166&gt;35,DO18+DN19-DW18,IF(A19&lt;'Données projet'!$A$166,$DL$205^A19,IF(A19='Données projet'!$A$166,'Données projet'!$B$166,DO18+DN19-DW18)))</f>
        <v>12.957048229201293</v>
      </c>
      <c r="DP19" s="17">
        <f>DO19*VLOOKUP('Données projet'!$B$14,Paramètres!$A$1:$I$89,3,0)*VLOOKUP('Données projet'!$B$14,Paramètres!$A$1:$I$89,5,0)</f>
        <v>13.946966713912271</v>
      </c>
      <c r="DQ19" s="13">
        <f t="shared" si="43"/>
        <v>4.7294907967789648</v>
      </c>
      <c r="DR19" s="20">
        <f t="shared" si="16"/>
        <v>32.528163497787233</v>
      </c>
      <c r="DS19" s="59">
        <f t="shared" si="17"/>
        <v>265.97740730863831</v>
      </c>
      <c r="DT19" s="59">
        <f ca="1">AVERAGE(OFFSET($DS$3,0,0,'Données projet'!$E$14+1,1))-AVERAGE(OFFSET($H$3,0,0,'Données projet'!$E$14+1,1))</f>
        <v>645.29541304800614</v>
      </c>
      <c r="DU19" s="59">
        <f t="shared" si="44"/>
        <v>336.65580771733323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58.33464225144423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13.8</v>
      </c>
      <c r="EJ19" s="12">
        <f>IF('Données projet'!$A$192&gt;35,EJ18+EI19-ER18,IF(A19&lt;'Données projet'!$A$192,$EG$205^A19,IF(A19='Données projet'!$A$192,'Données projet'!$B$192,EJ18+EI19-ER18)))</f>
        <v>46.8</v>
      </c>
      <c r="EK19" s="17">
        <f>EJ19*VLOOKUP('Données projet'!$B$15,Paramètres!$A$1:$I$89,3,0)*VLOOKUP('Données projet'!$B$15,Paramètres!$A$1:$I$89,5,0)</f>
        <v>34.313760000000002</v>
      </c>
      <c r="EL19" s="13">
        <f t="shared" si="45"/>
        <v>10.478324962562111</v>
      </c>
      <c r="EM19" s="20">
        <f t="shared" si="19"/>
        <v>78.012881309795674</v>
      </c>
      <c r="EN19" s="59">
        <f t="shared" si="20"/>
        <v>311.46212512064676</v>
      </c>
      <c r="EO19" s="59">
        <f ca="1">AVERAGE(OFFSET($EN$3,0,0,'Données projet'!$E$15+1,1))-AVERAGE(OFFSET($H$3,0,0,'Données projet'!$E$15+1,1))</f>
        <v>343.31122043016137</v>
      </c>
      <c r="EP19" s="59">
        <f t="shared" si="46"/>
        <v>333.61098411258877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58.33464225144423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13.8</v>
      </c>
      <c r="FE19" s="12">
        <f>IF('Données projet'!$A$218&gt;35,FE18+FD19-FM18,IF(A19&lt;'Données projet'!$A$218,$FB$205^A19,IF(A19='Données projet'!$A$218,'Données projet'!$B$218,FE18+FD19-FM18)))</f>
        <v>46.8</v>
      </c>
      <c r="FF19" s="17">
        <f>FE19*VLOOKUP('Données projet'!$B$16,Paramètres!$A$1:$I$89,3,0)*VLOOKUP('Données projet'!$B$16,Paramètres!$A$1:$I$89,5,0)</f>
        <v>37.234079999999999</v>
      </c>
      <c r="FG19" s="13">
        <f t="shared" si="47"/>
        <v>11.262510356679771</v>
      </c>
      <c r="FH19" s="20">
        <f t="shared" si="22"/>
        <v>84.464894871217254</v>
      </c>
      <c r="FI19" s="59">
        <f t="shared" si="23"/>
        <v>317.91413868206831</v>
      </c>
      <c r="FJ19" s="59">
        <f ca="1">AVERAGE(OFFSET($FI$3,0,0,'Données projet'!$E$16+1,1))-AVERAGE(OFFSET($H$3,0,0,'Données projet'!$E$16+1,1))</f>
        <v>368.12945163484585</v>
      </c>
      <c r="FK19" s="59">
        <f t="shared" si="48"/>
        <v>357.27183934545121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58.33464225144423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58.33464225144423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3.0869565217391299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11.318840579710143</v>
      </c>
      <c r="H20" s="66">
        <f t="shared" si="1"/>
        <v>211.39130434782609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58.537010128548786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4.8773333333333335</v>
      </c>
      <c r="N20" s="13">
        <f>IF('Données projet'!$A$36&gt;35,N19+M20-V19,IF(A20&lt;'Données projet'!$A$36,$K$205^A20,IF(A20='Données projet'!$A$36,'Données projet'!$B$36,N19+M20-V19)))</f>
        <v>16.865740959811198</v>
      </c>
      <c r="O20" s="13">
        <f>N20*VLOOKUP('Données projet'!$B$9,Paramètres!$A$1:$I$89,3,0)*VLOOKUP('Données projet'!$B$9,Paramètres!$A$1:$I$89,5,0)</f>
        <v>7.893166769191641</v>
      </c>
      <c r="P20" s="13">
        <f t="shared" si="33"/>
        <v>2.8599819672324562</v>
      </c>
      <c r="Q20" s="20">
        <f t="shared" si="2"/>
        <v>18.728400715938637</v>
      </c>
      <c r="R20" s="59">
        <f t="shared" si="0"/>
        <v>254.14188229839533</v>
      </c>
      <c r="S20" s="59">
        <f ca="1">AVERAGE(OFFSET($R$3,0,0,'Données projet'!$E$9+1,1))-AVERAGE(OFFSET($H$3,0,0,'Données projet'!$E$9+1,1))</f>
        <v>320.30433416149219</v>
      </c>
      <c r="T20" s="59">
        <f t="shared" si="34"/>
        <v>201.33422682092797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58.537010128548786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23.6</v>
      </c>
      <c r="AI20" s="13">
        <f>IF('Données projet'!$A$62&gt;35,AI19+AH20-AQ19,IF(A20&lt;'Données projet'!$A$62,$AF$205^A20,IF(A20='Données projet'!$A$62,'Données projet'!$B$62,AI19+AH20-AQ19)))</f>
        <v>155.19999999999999</v>
      </c>
      <c r="AJ20" s="13">
        <f>AI20*VLOOKUP('Données projet'!$B$10,Paramètres!$A$1:$I$89,3,0)*VLOOKUP('Données projet'!$B$10,Paramètres!$A$1:$I$89,5,0)</f>
        <v>92.809600000000003</v>
      </c>
      <c r="AK20" s="13">
        <f t="shared" si="35"/>
        <v>25.241615800824192</v>
      </c>
      <c r="AL20" s="20">
        <f t="shared" si="4"/>
        <v>205.60586751976879</v>
      </c>
      <c r="AM20" s="59">
        <f t="shared" si="5"/>
        <v>441.01934910222548</v>
      </c>
      <c r="AN20" s="59">
        <f ca="1">AVERAGE(OFFSET($AM$3,0,0,'Données projet'!$E$10+1,1))-AVERAGE(OFFSET($H$3,0,0,'Données projet'!$E$10+1,1))</f>
        <v>569.80473816957431</v>
      </c>
      <c r="AO20" s="59">
        <f t="shared" si="36"/>
        <v>495.56567790763199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7.1092865961686815</v>
      </c>
      <c r="AX20" s="21">
        <f t="shared" si="6"/>
        <v>7.1092865961686815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58.537010128548786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7.0512820600000055</v>
      </c>
      <c r="BD20" s="12">
        <f>IF('Données projet'!$A$88&gt;35,BD19+BC20-BL19,IF(A20&lt;'Données projet'!$A$88,$BA$205^A20,IF(A20='Données projet'!$A$88,'Données projet'!$B$88,BD19+BC20-BL19)))</f>
        <v>293.58974358</v>
      </c>
      <c r="BE20" s="13">
        <f>BD20*VLOOKUP('Données projet'!$B$11,Paramètres!$A$1:$I$89,3,0)*VLOOKUP('Données projet'!$B$11,Paramètres!$A$1:$I$89,5,0)</f>
        <v>129.15599999571359</v>
      </c>
      <c r="BF20" s="13">
        <f t="shared" si="37"/>
        <v>33.801261843034013</v>
      </c>
      <c r="BG20" s="20">
        <f t="shared" si="7"/>
        <v>283.81723103581874</v>
      </c>
      <c r="BH20" s="59">
        <f t="shared" si="8"/>
        <v>519.23071261827545</v>
      </c>
      <c r="BI20" s="59">
        <f ca="1">AVERAGE(OFFSET($BH$3,0,0,'Données projet'!$E$11+1,1))-AVERAGE(OFFSET($H$3,0,0,'Données projet'!$E$11+1,1))</f>
        <v>180.42749272334603</v>
      </c>
      <c r="BJ20" s="59">
        <f t="shared" si="38"/>
        <v>346.61476512497495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58.537010128548786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4.0628205128205126</v>
      </c>
      <c r="BY20" s="12">
        <f>IF('Données projet'!$A$114&gt;35,BY19+BX20-CG19,IF(A20&lt;'Données projet'!$A$114,$BV$205^A20,IF(A20='Données projet'!$A$114,'Données projet'!$B$114,BY19+BX20-CG19)))</f>
        <v>15.206795479203771</v>
      </c>
      <c r="BZ20" s="13">
        <f>BY20*VLOOKUP('Données projet'!$B$12,Paramètres!$A$1:$I$89,3,0)*VLOOKUP('Données projet'!$B$12,Paramètres!$A$1:$I$89,5,0)</f>
        <v>13.759108549583573</v>
      </c>
      <c r="CA20" s="13">
        <f t="shared" si="39"/>
        <v>4.6731578539740832</v>
      </c>
      <c r="CB20" s="20">
        <f t="shared" si="10"/>
        <v>32.102863986196247</v>
      </c>
      <c r="CC20" s="59">
        <f t="shared" si="11"/>
        <v>267.51634556865292</v>
      </c>
      <c r="CD20" s="59">
        <f ca="1">AVERAGE(OFFSET($CC$3,0,0,'Données projet'!$E$12+1,1))-AVERAGE(OFFSET($H$3,0,0,'Données projet'!$E$12+1,1))</f>
        <v>553.16421218123958</v>
      </c>
      <c r="CE20" s="59">
        <f t="shared" si="40"/>
        <v>291.73668613844416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58.537010128548786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4.0628205128205126</v>
      </c>
      <c r="CT20" s="12">
        <f>IF('Données projet'!$A$140&gt;35,CT19+CS20-DB19,IF(A20&lt;'Données projet'!$A$140,$CQ$205^A20,IF(A20='Données projet'!$A$140,'Données projet'!$B$140,CT19+CS20-DB19)))</f>
        <v>15.206795479203771</v>
      </c>
      <c r="CU20" s="17">
        <f>CT20*VLOOKUP('Données projet'!$B$13,Paramètres!$A$1:$I$89,3,0)*VLOOKUP('Données projet'!$B$13,Paramètres!$A$1:$I$89,5,0)</f>
        <v>15.419690615912625</v>
      </c>
      <c r="CV20" s="13">
        <f t="shared" si="41"/>
        <v>5.1681572348420586</v>
      </c>
      <c r="CW20" s="20">
        <f t="shared" si="13"/>
        <v>35.857168340064412</v>
      </c>
      <c r="CX20" s="59">
        <f t="shared" si="14"/>
        <v>271.2706499225211</v>
      </c>
      <c r="CY20" s="59">
        <f ca="1">AVERAGE(OFFSET($CX$3,0,0,'Données projet'!$E$13+1,1))-AVERAGE(OFFSET($H$3,0,0,'Données projet'!$E$13+1,1))</f>
        <v>611.82989382187804</v>
      </c>
      <c r="CZ20" s="59">
        <f t="shared" si="42"/>
        <v>320.34124600136363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58.537010128548786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4.0628205128205126</v>
      </c>
      <c r="DO20" s="12">
        <f>IF('Données projet'!$A$166&gt;35,DO19+DN20-DW19,IF(A20&lt;'Données projet'!$A$166,$DL$205^A20,IF(A20='Données projet'!$A$166,'Données projet'!$B$166,DO19+DN20-DW19)))</f>
        <v>15.206795479203771</v>
      </c>
      <c r="DP20" s="17">
        <f>DO20*VLOOKUP('Données projet'!$B$14,Paramètres!$A$1:$I$89,3,0)*VLOOKUP('Données projet'!$B$14,Paramètres!$A$1:$I$89,5,0)</f>
        <v>16.368594653814938</v>
      </c>
      <c r="DQ20" s="13">
        <f t="shared" si="43"/>
        <v>5.4481936125637764</v>
      </c>
      <c r="DR20" s="20">
        <f t="shared" si="16"/>
        <v>37.997572897276264</v>
      </c>
      <c r="DS20" s="59">
        <f t="shared" si="17"/>
        <v>273.41105447973297</v>
      </c>
      <c r="DT20" s="59">
        <f ca="1">AVERAGE(OFFSET($DS$3,0,0,'Données projet'!$E$14+1,1))-AVERAGE(OFFSET($H$3,0,0,'Données projet'!$E$14+1,1))</f>
        <v>645.29541304800614</v>
      </c>
      <c r="DU20" s="59">
        <f t="shared" si="44"/>
        <v>336.65580771733323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58.537010128548786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13.8</v>
      </c>
      <c r="EJ20" s="12">
        <f>IF('Données projet'!$A$192&gt;35,EJ19+EI20-ER19,IF(A20&lt;'Données projet'!$A$192,$EG$205^A20,IF(A20='Données projet'!$A$192,'Données projet'!$B$192,EJ19+EI20-ER19)))</f>
        <v>60.599999999999994</v>
      </c>
      <c r="EK20" s="17">
        <f>EJ20*VLOOKUP('Données projet'!$B$15,Paramètres!$A$1:$I$89,3,0)*VLOOKUP('Données projet'!$B$15,Paramètres!$A$1:$I$89,5,0)</f>
        <v>44.431919999999998</v>
      </c>
      <c r="EL20" s="13">
        <f t="shared" si="45"/>
        <v>13.166048117528</v>
      </c>
      <c r="EM20" s="20">
        <f t="shared" si="19"/>
        <v>100.31646113802792</v>
      </c>
      <c r="EN20" s="59">
        <f t="shared" si="20"/>
        <v>335.72994272048459</v>
      </c>
      <c r="EO20" s="59">
        <f ca="1">AVERAGE(OFFSET($EN$3,0,0,'Données projet'!$E$15+1,1))-AVERAGE(OFFSET($H$3,0,0,'Données projet'!$E$15+1,1))</f>
        <v>343.31122043016137</v>
      </c>
      <c r="EP20" s="59">
        <f t="shared" si="46"/>
        <v>333.61098411258877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58.537010128548786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13.8</v>
      </c>
      <c r="FE20" s="12">
        <f>IF('Données projet'!$A$218&gt;35,FE19+FD20-FM19,IF(A20&lt;'Données projet'!$A$218,$FB$205^A20,IF(A20='Données projet'!$A$218,'Données projet'!$B$218,FE19+FD20-FM19)))</f>
        <v>60.599999999999994</v>
      </c>
      <c r="FF20" s="17">
        <f>FE20*VLOOKUP('Données projet'!$B$16,Paramètres!$A$1:$I$89,3,0)*VLOOKUP('Données projet'!$B$16,Paramètres!$A$1:$I$89,5,0)</f>
        <v>48.213360000000002</v>
      </c>
      <c r="FG20" s="13">
        <f t="shared" si="47"/>
        <v>14.151379520104694</v>
      </c>
      <c r="FH20" s="20">
        <f t="shared" si="22"/>
        <v>108.61858799751566</v>
      </c>
      <c r="FI20" s="59">
        <f t="shared" si="23"/>
        <v>344.03206957997236</v>
      </c>
      <c r="FJ20" s="59">
        <f ca="1">AVERAGE(OFFSET($FI$3,0,0,'Données projet'!$E$16+1,1))-AVERAGE(OFFSET($H$3,0,0,'Données projet'!$E$16+1,1))</f>
        <v>368.12945163484585</v>
      </c>
      <c r="FK20" s="59">
        <f t="shared" si="48"/>
        <v>357.27183934545121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58.537010128548786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58.537010128548786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3.0869565217391299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11.318840579710143</v>
      </c>
      <c r="H21" s="66">
        <f t="shared" si="1"/>
        <v>211.39130434782609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58.735867375412376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4.8773333333333335</v>
      </c>
      <c r="N21" s="13">
        <f>IF('Données projet'!$A$36&gt;35,N20+M21-V20,IF(A21&lt;'Données projet'!$A$36,$K$205^A21,IF(A21='Données projet'!$A$36,'Données projet'!$B$36,N20+M21-V20)))</f>
        <v>19.915087343716348</v>
      </c>
      <c r="O21" s="13">
        <f>N21*VLOOKUP('Données projet'!$B$9,Paramètres!$A$1:$I$89,3,0)*VLOOKUP('Données projet'!$B$9,Paramètres!$A$1:$I$89,5,0)</f>
        <v>9.3202608768592512</v>
      </c>
      <c r="P21" s="13">
        <f t="shared" si="33"/>
        <v>3.3123689600135244</v>
      </c>
      <c r="Q21" s="20">
        <f t="shared" si="2"/>
        <v>22.001830299220078</v>
      </c>
      <c r="R21" s="59">
        <f t="shared" si="0"/>
        <v>259.36667734239876</v>
      </c>
      <c r="S21" s="59">
        <f ca="1">AVERAGE(OFFSET($R$3,0,0,'Données projet'!$E$9+1,1))-AVERAGE(OFFSET($H$3,0,0,'Données projet'!$E$9+1,1))</f>
        <v>320.30433416149219</v>
      </c>
      <c r="T21" s="59">
        <f t="shared" si="34"/>
        <v>201.33422682092797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58.735867375412376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23.6</v>
      </c>
      <c r="AI21" s="13">
        <f>IF('Données projet'!$A$62&gt;35,AI20+AH21-AQ20,IF(A21&lt;'Données projet'!$A$62,$AF$205^A21,IF(A21='Données projet'!$A$62,'Données projet'!$B$62,AI20+AH21-AQ20)))</f>
        <v>178.79999999999998</v>
      </c>
      <c r="AJ21" s="13">
        <f>AI21*VLOOKUP('Données projet'!$B$10,Paramètres!$A$1:$I$89,3,0)*VLOOKUP('Données projet'!$B$10,Paramètres!$A$1:$I$89,5,0)</f>
        <v>106.9224</v>
      </c>
      <c r="AK21" s="13">
        <f t="shared" si="35"/>
        <v>28.604684816920809</v>
      </c>
      <c r="AL21" s="20">
        <f t="shared" si="4"/>
        <v>236.04300605613707</v>
      </c>
      <c r="AM21" s="59">
        <f t="shared" si="5"/>
        <v>473.40785309931573</v>
      </c>
      <c r="AN21" s="59">
        <f ca="1">AVERAGE(OFFSET($AM$3,0,0,'Données projet'!$E$10+1,1))-AVERAGE(OFFSET($H$3,0,0,'Données projet'!$E$10+1,1))</f>
        <v>569.80473816957431</v>
      </c>
      <c r="AO21" s="59">
        <f t="shared" si="36"/>
        <v>495.56567790763199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5.0270247615495034</v>
      </c>
      <c r="AX21" s="21">
        <f t="shared" si="6"/>
        <v>5.0270247615495034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58.735867375412376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7.0512820600000055</v>
      </c>
      <c r="BD21" s="12">
        <f>IF('Données projet'!$A$88&gt;35,BD20+BC21-BL20,IF(A21&lt;'Données projet'!$A$88,$BA$205^A21,IF(A21='Données projet'!$A$88,'Données projet'!$B$88,BD20+BC21-BL20)))</f>
        <v>300.64102564000001</v>
      </c>
      <c r="BE21" s="13">
        <f>BD21*VLOOKUP('Données projet'!$B$11,Paramètres!$A$1:$I$89,3,0)*VLOOKUP('Données projet'!$B$11,Paramètres!$A$1:$I$89,5,0)</f>
        <v>132.25799999954879</v>
      </c>
      <c r="BF21" s="13">
        <f t="shared" si="37"/>
        <v>34.517592774889074</v>
      </c>
      <c r="BG21" s="20">
        <f t="shared" si="7"/>
        <v>290.46749074881262</v>
      </c>
      <c r="BH21" s="59">
        <f t="shared" si="8"/>
        <v>527.83233779199134</v>
      </c>
      <c r="BI21" s="59">
        <f ca="1">AVERAGE(OFFSET($BH$3,0,0,'Données projet'!$E$11+1,1))-AVERAGE(OFFSET($H$3,0,0,'Données projet'!$E$11+1,1))</f>
        <v>180.42749272334603</v>
      </c>
      <c r="BJ21" s="59">
        <f t="shared" si="38"/>
        <v>346.61476512497495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58.735867375412376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4.0628205128205126</v>
      </c>
      <c r="BY21" s="12">
        <f>IF('Données projet'!$A$114&gt;35,BY20+BX21-CG20,IF(A21&lt;'Données projet'!$A$114,$BV$205^A21,IF(A21='Données projet'!$A$114,'Données projet'!$B$114,BY20+BX21-CG20)))</f>
        <v>17.847168942782186</v>
      </c>
      <c r="BZ21" s="13">
        <f>BY21*VLOOKUP('Données projet'!$B$12,Paramètres!$A$1:$I$89,3,0)*VLOOKUP('Données projet'!$B$12,Paramètres!$A$1:$I$89,5,0)</f>
        <v>16.148118459429323</v>
      </c>
      <c r="CA21" s="13">
        <f t="shared" si="39"/>
        <v>5.3833002038747271</v>
      </c>
      <c r="CB21" s="20">
        <f t="shared" si="10"/>
        <v>37.500554171921223</v>
      </c>
      <c r="CC21" s="59">
        <f t="shared" si="11"/>
        <v>274.86540121509989</v>
      </c>
      <c r="CD21" s="59">
        <f ca="1">AVERAGE(OFFSET($CC$3,0,0,'Données projet'!$E$12+1,1))-AVERAGE(OFFSET($H$3,0,0,'Données projet'!$E$12+1,1))</f>
        <v>553.16421218123958</v>
      </c>
      <c r="CE21" s="59">
        <f t="shared" si="40"/>
        <v>291.73668613844416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58.735867375412376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4.0628205128205126</v>
      </c>
      <c r="CT21" s="12">
        <f>IF('Données projet'!$A$140&gt;35,CT20+CS21-DB20,IF(A21&lt;'Données projet'!$A$140,$CQ$205^A21,IF(A21='Données projet'!$A$140,'Données projet'!$B$140,CT20+CS21-DB20)))</f>
        <v>17.847168942782186</v>
      </c>
      <c r="CU21" s="17">
        <f>CT21*VLOOKUP('Données projet'!$B$13,Paramètres!$A$1:$I$89,3,0)*VLOOKUP('Données projet'!$B$13,Paramètres!$A$1:$I$89,5,0)</f>
        <v>18.097029307981138</v>
      </c>
      <c r="CV21" s="13">
        <f t="shared" si="41"/>
        <v>5.9535206738890976</v>
      </c>
      <c r="CW21" s="20">
        <f t="shared" si="13"/>
        <v>41.888041218423993</v>
      </c>
      <c r="CX21" s="59">
        <f t="shared" si="14"/>
        <v>279.25288826160266</v>
      </c>
      <c r="CY21" s="59">
        <f ca="1">AVERAGE(OFFSET($CX$3,0,0,'Données projet'!$E$13+1,1))-AVERAGE(OFFSET($H$3,0,0,'Données projet'!$E$13+1,1))</f>
        <v>611.82989382187804</v>
      </c>
      <c r="CZ21" s="59">
        <f t="shared" si="42"/>
        <v>320.34124600136363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58.735867375412376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4.0628205128205126</v>
      </c>
      <c r="DO21" s="12">
        <f>IF('Données projet'!$A$166&gt;35,DO20+DN21-DW20,IF(A21&lt;'Données projet'!$A$166,$DL$205^A21,IF(A21='Données projet'!$A$166,'Données projet'!$B$166,DO20+DN21-DW20)))</f>
        <v>17.847168942782186</v>
      </c>
      <c r="DP21" s="17">
        <f>DO21*VLOOKUP('Données projet'!$B$14,Paramètres!$A$1:$I$89,3,0)*VLOOKUP('Données projet'!$B$14,Paramètres!$A$1:$I$89,5,0)</f>
        <v>19.210692650010746</v>
      </c>
      <c r="DQ21" s="13">
        <f t="shared" si="43"/>
        <v>6.2761119358126942</v>
      </c>
      <c r="DR21" s="20">
        <f t="shared" si="16"/>
        <v>44.389517986975818</v>
      </c>
      <c r="DS21" s="59">
        <f t="shared" si="17"/>
        <v>281.75436503015453</v>
      </c>
      <c r="DT21" s="59">
        <f ca="1">AVERAGE(OFFSET($DS$3,0,0,'Données projet'!$E$14+1,1))-AVERAGE(OFFSET($H$3,0,0,'Données projet'!$E$14+1,1))</f>
        <v>645.29541304800614</v>
      </c>
      <c r="DU21" s="59">
        <f t="shared" si="44"/>
        <v>336.65580771733323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58.735867375412376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13.8</v>
      </c>
      <c r="EJ21" s="12">
        <f>IF('Données projet'!$A$192&gt;35,EJ20+EI21-ER20,IF(A21&lt;'Données projet'!$A$192,$EG$205^A21,IF(A21='Données projet'!$A$192,'Données projet'!$B$192,EJ20+EI21-ER20)))</f>
        <v>74.399999999999991</v>
      </c>
      <c r="EK21" s="17">
        <f>EJ21*VLOOKUP('Données projet'!$B$15,Paramètres!$A$1:$I$89,3,0)*VLOOKUP('Données projet'!$B$15,Paramètres!$A$1:$I$89,5,0)</f>
        <v>54.550079999999994</v>
      </c>
      <c r="EL21" s="13">
        <f t="shared" si="45"/>
        <v>15.782815260920117</v>
      </c>
      <c r="EM21" s="20">
        <f t="shared" si="19"/>
        <v>122.49645924610253</v>
      </c>
      <c r="EN21" s="59">
        <f t="shared" si="20"/>
        <v>359.86130628928123</v>
      </c>
      <c r="EO21" s="59">
        <f ca="1">AVERAGE(OFFSET($EN$3,0,0,'Données projet'!$E$15+1,1))-AVERAGE(OFFSET($H$3,0,0,'Données projet'!$E$15+1,1))</f>
        <v>343.31122043016137</v>
      </c>
      <c r="EP21" s="59">
        <f t="shared" si="46"/>
        <v>333.61098411258877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58.735867375412376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13.8</v>
      </c>
      <c r="FE21" s="12">
        <f>IF('Données projet'!$A$218&gt;35,FE20+FD21-FM20,IF(A21&lt;'Données projet'!$A$218,$FB$205^A21,IF(A21='Données projet'!$A$218,'Données projet'!$B$218,FE20+FD21-FM20)))</f>
        <v>74.399999999999991</v>
      </c>
      <c r="FF21" s="17">
        <f>FE21*VLOOKUP('Données projet'!$B$16,Paramètres!$A$1:$I$89,3,0)*VLOOKUP('Données projet'!$B$16,Paramètres!$A$1:$I$89,5,0)</f>
        <v>59.192639999999997</v>
      </c>
      <c r="FG21" s="13">
        <f t="shared" si="47"/>
        <v>16.963982408330725</v>
      </c>
      <c r="FH21" s="20">
        <f t="shared" si="22"/>
        <v>132.63945069450935</v>
      </c>
      <c r="FI21" s="59">
        <f t="shared" si="23"/>
        <v>370.00429773768803</v>
      </c>
      <c r="FJ21" s="59">
        <f ca="1">AVERAGE(OFFSET($FI$3,0,0,'Données projet'!$E$16+1,1))-AVERAGE(OFFSET($H$3,0,0,'Données projet'!$E$16+1,1))</f>
        <v>368.12945163484585</v>
      </c>
      <c r="FK21" s="59">
        <f t="shared" si="48"/>
        <v>357.27183934545121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58.735867375412376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58.735867375412376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3.0869565217391299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11.318840579710143</v>
      </c>
      <c r="H22" s="66">
        <f t="shared" si="1"/>
        <v>211.39130434782609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58.931274893621087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4.8773333333333335</v>
      </c>
      <c r="N22" s="13">
        <f>IF('Données projet'!$A$36&gt;35,N21+M22-V21,IF(A22&lt;'Données projet'!$A$36,$K$205^A22,IF(A22='Données projet'!$A$36,'Données projet'!$B$36,N21+M22-V21)))</f>
        <v>23.515759245497794</v>
      </c>
      <c r="O22" s="13">
        <f>N22*VLOOKUP('Données projet'!$B$9,Paramètres!$A$1:$I$89,3,0)*VLOOKUP('Données projet'!$B$9,Paramètres!$A$1:$I$89,5,0)</f>
        <v>11.005375326892967</v>
      </c>
      <c r="P22" s="13">
        <f t="shared" si="33"/>
        <v>3.8363137435716932</v>
      </c>
      <c r="Q22" s="20">
        <f t="shared" si="2"/>
        <v>25.849275131059283</v>
      </c>
      <c r="R22" s="59">
        <f t="shared" si="0"/>
        <v>265.15283862989219</v>
      </c>
      <c r="S22" s="59">
        <f ca="1">AVERAGE(OFFSET($R$3,0,0,'Données projet'!$E$9+1,1))-AVERAGE(OFFSET($H$3,0,0,'Données projet'!$E$9+1,1))</f>
        <v>320.30433416149219</v>
      </c>
      <c r="T22" s="59">
        <f t="shared" si="34"/>
        <v>201.33422682092797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58.931274893621087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23.6</v>
      </c>
      <c r="AI22" s="13">
        <f>IF('Données projet'!$A$62&gt;35,AI21+AH22-AQ21,IF(A22&lt;'Données projet'!$A$62,$AF$205^A22,IF(A22='Données projet'!$A$62,'Données projet'!$B$62,AI21+AH22-AQ21)))</f>
        <v>202.39999999999998</v>
      </c>
      <c r="AJ22" s="13">
        <f>AI22*VLOOKUP('Données projet'!$B$10,Paramètres!$A$1:$I$89,3,0)*VLOOKUP('Données projet'!$B$10,Paramètres!$A$1:$I$89,5,0)</f>
        <v>121.0352</v>
      </c>
      <c r="AK22" s="13">
        <f t="shared" si="35"/>
        <v>31.916321859626926</v>
      </c>
      <c r="AL22" s="20">
        <f t="shared" si="4"/>
        <v>266.39056723885022</v>
      </c>
      <c r="AM22" s="59">
        <f t="shared" si="5"/>
        <v>505.69413073768311</v>
      </c>
      <c r="AN22" s="59">
        <f ca="1">AVERAGE(OFFSET($AM$3,0,0,'Données projet'!$E$10+1,1))-AVERAGE(OFFSET($H$3,0,0,'Données projet'!$E$10+1,1))</f>
        <v>569.80473816957431</v>
      </c>
      <c r="AO22" s="59">
        <f t="shared" si="36"/>
        <v>495.56567790763199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3.5546432980843412</v>
      </c>
      <c r="AX22" s="21">
        <f t="shared" si="6"/>
        <v>3.5546432980843412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58.931274893621087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BA22" s="12">
        <f>VLOOKUP(A22,'Données projet'!$A$87:$I$107,2,0)</f>
        <v>307.69230770000001</v>
      </c>
      <c r="BB22" s="12">
        <f>VLOOKUP(A22,'Données projet'!$A$87:$I$107,9,0)</f>
        <v>7.0512820600000055</v>
      </c>
      <c r="BC22" s="12">
        <f t="array" ref="BC22">INDEX(BB:BB,MIN(IF(ISNUMBER(BB22:BB218),ROW(BB22:BB218),"")))</f>
        <v>7.0512820600000055</v>
      </c>
      <c r="BD22" s="12">
        <f>IF('Données projet'!$A$88&gt;35,BD21+BC22-BL21,IF(A22&lt;'Données projet'!$A$88,$BA$205^A22,IF(A22='Données projet'!$A$88,'Données projet'!$B$88,BD21+BC22-BL21)))</f>
        <v>307.69230770000001</v>
      </c>
      <c r="BE22" s="13">
        <f>BD22*VLOOKUP('Données projet'!$B$11,Paramètres!$A$1:$I$89,3,0)*VLOOKUP('Données projet'!$B$11,Paramètres!$A$1:$I$89,5,0)</f>
        <v>135.36000000338399</v>
      </c>
      <c r="BF22" s="13">
        <f t="shared" si="37"/>
        <v>35.231970555286608</v>
      </c>
      <c r="BG22" s="20">
        <f t="shared" si="7"/>
        <v>297.11434872301794</v>
      </c>
      <c r="BH22" s="59">
        <f t="shared" si="8"/>
        <v>536.41791222185088</v>
      </c>
      <c r="BI22" s="59">
        <f ca="1">AVERAGE(OFFSET($BH$3,0,0,'Données projet'!$E$11+1,1))-AVERAGE(OFFSET($H$3,0,0,'Données projet'!$E$11+1,1))</f>
        <v>180.42749272334603</v>
      </c>
      <c r="BJ22" s="59">
        <f t="shared" si="38"/>
        <v>346.61476512497495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58.931274893621087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4.0628205128205126</v>
      </c>
      <c r="BY22" s="12">
        <f>IF('Données projet'!$A$114&gt;35,BY21+BX22-CG21,IF(A22&lt;'Données projet'!$A$114,$BV$205^A22,IF(A22='Données projet'!$A$114,'Données projet'!$B$114,BY21+BX22-CG21)))</f>
        <v>20.945993500590358</v>
      </c>
      <c r="BZ22" s="13">
        <f>BY22*VLOOKUP('Données projet'!$B$12,Paramètres!$A$1:$I$89,3,0)*VLOOKUP('Données projet'!$B$12,Paramètres!$A$1:$I$89,5,0)</f>
        <v>18.951934919334153</v>
      </c>
      <c r="CA22" s="13">
        <f t="shared" si="39"/>
        <v>6.2013571958398481</v>
      </c>
      <c r="CB22" s="20">
        <f t="shared" si="10"/>
        <v>43.808650433928051</v>
      </c>
      <c r="CC22" s="59">
        <f t="shared" si="11"/>
        <v>283.11221393276094</v>
      </c>
      <c r="CD22" s="59">
        <f ca="1">AVERAGE(OFFSET($CC$3,0,0,'Données projet'!$E$12+1,1))-AVERAGE(OFFSET($H$3,0,0,'Données projet'!$E$12+1,1))</f>
        <v>553.16421218123958</v>
      </c>
      <c r="CE22" s="59">
        <f t="shared" si="40"/>
        <v>291.73668613844416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58.931274893621087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4.0628205128205126</v>
      </c>
      <c r="CT22" s="12">
        <f>IF('Données projet'!$A$140&gt;35,CT21+CS22-DB21,IF(A22&lt;'Données projet'!$A$140,$CQ$205^A22,IF(A22='Données projet'!$A$140,'Données projet'!$B$140,CT21+CS22-DB21)))</f>
        <v>20.945993500590358</v>
      </c>
      <c r="CU22" s="17">
        <f>CT22*VLOOKUP('Données projet'!$B$13,Paramètres!$A$1:$I$89,3,0)*VLOOKUP('Données projet'!$B$13,Paramètres!$A$1:$I$89,5,0)</f>
        <v>21.239237409598623</v>
      </c>
      <c r="CV22" s="13">
        <f t="shared" si="41"/>
        <v>6.8582295011208343</v>
      </c>
      <c r="CW22" s="20">
        <f t="shared" si="13"/>
        <v>48.936421536169718</v>
      </c>
      <c r="CX22" s="59">
        <f t="shared" si="14"/>
        <v>288.23998503500263</v>
      </c>
      <c r="CY22" s="59">
        <f ca="1">AVERAGE(OFFSET($CX$3,0,0,'Données projet'!$E$13+1,1))-AVERAGE(OFFSET($H$3,0,0,'Données projet'!$E$13+1,1))</f>
        <v>611.82989382187804</v>
      </c>
      <c r="CZ22" s="59">
        <f t="shared" si="42"/>
        <v>320.34124600136363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58.931274893621087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4.0628205128205126</v>
      </c>
      <c r="DO22" s="12">
        <f>IF('Données projet'!$A$166&gt;35,DO21+DN22-DW21,IF(A22&lt;'Données projet'!$A$166,$DL$205^A22,IF(A22='Données projet'!$A$166,'Données projet'!$B$166,DO21+DN22-DW21)))</f>
        <v>20.945993500590358</v>
      </c>
      <c r="DP22" s="17">
        <f>DO22*VLOOKUP('Données projet'!$B$14,Paramètres!$A$1:$I$89,3,0)*VLOOKUP('Données projet'!$B$14,Paramètres!$A$1:$I$89,5,0)</f>
        <v>22.546267404035461</v>
      </c>
      <c r="DQ22" s="13">
        <f t="shared" si="43"/>
        <v>7.2298423719774645</v>
      </c>
      <c r="DR22" s="20">
        <f t="shared" si="16"/>
        <v>51.860057859889174</v>
      </c>
      <c r="DS22" s="59">
        <f t="shared" si="17"/>
        <v>291.16362135872208</v>
      </c>
      <c r="DT22" s="59">
        <f ca="1">AVERAGE(OFFSET($DS$3,0,0,'Données projet'!$E$14+1,1))-AVERAGE(OFFSET($H$3,0,0,'Données projet'!$E$14+1,1))</f>
        <v>645.29541304800614</v>
      </c>
      <c r="DU22" s="59">
        <f t="shared" si="44"/>
        <v>336.65580771733323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58.931274893621087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13.8</v>
      </c>
      <c r="EJ22" s="12">
        <f>IF('Données projet'!$A$192&gt;35,EJ21+EI22-ER21,IF(A22&lt;'Données projet'!$A$192,$EG$205^A22,IF(A22='Données projet'!$A$192,'Données projet'!$B$192,EJ21+EI22-ER21)))</f>
        <v>88.199999999999989</v>
      </c>
      <c r="EK22" s="17">
        <f>EJ22*VLOOKUP('Données projet'!$B$15,Paramètres!$A$1:$I$89,3,0)*VLOOKUP('Données projet'!$B$15,Paramètres!$A$1:$I$89,5,0)</f>
        <v>64.668239999999997</v>
      </c>
      <c r="EL22" s="13">
        <f t="shared" si="45"/>
        <v>18.34335069187722</v>
      </c>
      <c r="EM22" s="20">
        <f t="shared" si="19"/>
        <v>144.57852045501949</v>
      </c>
      <c r="EN22" s="59">
        <f t="shared" si="20"/>
        <v>383.88208395385237</v>
      </c>
      <c r="EO22" s="59">
        <f ca="1">AVERAGE(OFFSET($EN$3,0,0,'Données projet'!$E$15+1,1))-AVERAGE(OFFSET($H$3,0,0,'Données projet'!$E$15+1,1))</f>
        <v>343.31122043016137</v>
      </c>
      <c r="EP22" s="59">
        <f t="shared" si="46"/>
        <v>333.61098411258877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58.931274893621087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13.8</v>
      </c>
      <c r="FE22" s="12">
        <f>IF('Données projet'!$A$218&gt;35,FE21+FD22-FM21,IF(A22&lt;'Données projet'!$A$218,$FB$205^A22,IF(A22='Données projet'!$A$218,'Données projet'!$B$218,FE21+FD22-FM21)))</f>
        <v>88.199999999999989</v>
      </c>
      <c r="FF22" s="17">
        <f>FE22*VLOOKUP('Données projet'!$B$16,Paramètres!$A$1:$I$89,3,0)*VLOOKUP('Données projet'!$B$16,Paramètres!$A$1:$I$89,5,0)</f>
        <v>70.171919999999986</v>
      </c>
      <c r="FG22" s="13">
        <f t="shared" si="47"/>
        <v>19.716145269554726</v>
      </c>
      <c r="FH22" s="20">
        <f t="shared" si="22"/>
        <v>156.55504701114111</v>
      </c>
      <c r="FI22" s="59">
        <f t="shared" si="23"/>
        <v>395.85861050997403</v>
      </c>
      <c r="FJ22" s="59">
        <f ca="1">AVERAGE(OFFSET($FI$3,0,0,'Données projet'!$E$16+1,1))-AVERAGE(OFFSET($H$3,0,0,'Données projet'!$E$16+1,1))</f>
        <v>368.12945163484585</v>
      </c>
      <c r="FK22" s="59">
        <f t="shared" si="48"/>
        <v>357.27183934545121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58.931274893621087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58.931274893621087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3.0869565217391299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11.318840579710143</v>
      </c>
      <c r="H23" s="66">
        <f t="shared" si="1"/>
        <v>211.39130434782609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59.12329252825463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4.8773333333333335</v>
      </c>
      <c r="N23" s="13">
        <f>IF('Données projet'!$A$36&gt;35,N22+M23-V22,IF(A23&lt;'Données projet'!$A$36,$K$205^A23,IF(A23='Données projet'!$A$36,'Données projet'!$B$36,N22+M23-V22)))</f>
        <v>27.767436986245297</v>
      </c>
      <c r="O23" s="13">
        <f>N23*VLOOKUP('Données projet'!$B$9,Paramètres!$A$1:$I$89,3,0)*VLOOKUP('Données projet'!$B$9,Paramètres!$A$1:$I$89,5,0)</f>
        <v>12.995160509562799</v>
      </c>
      <c r="P23" s="13">
        <f t="shared" si="33"/>
        <v>4.4431352052812878</v>
      </c>
      <c r="Q23" s="20">
        <f t="shared" si="2"/>
        <v>30.371698370020116</v>
      </c>
      <c r="R23" s="59">
        <f t="shared" si="0"/>
        <v>271.60154875139824</v>
      </c>
      <c r="S23" s="59">
        <f ca="1">AVERAGE(OFFSET($R$3,0,0,'Données projet'!$E$9+1,1))-AVERAGE(OFFSET($H$3,0,0,'Données projet'!$E$9+1,1))</f>
        <v>320.30433416149219</v>
      </c>
      <c r="T23" s="59">
        <f t="shared" si="34"/>
        <v>201.33422682092797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59.12329252825463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AF23" s="12">
        <f>VLOOKUP(A23,'Données projet'!$A$61:$I$81,2,0)</f>
        <v>226</v>
      </c>
      <c r="AG23" s="12">
        <f>VLOOKUP(A23,'Données projet'!$A$61:$I$81,9,0)</f>
        <v>23.6</v>
      </c>
      <c r="AH23" s="12">
        <f t="array" ref="AH23">INDEX(AG:AG,MIN(IF(ISNUMBER(AG23:AG219),ROW(AG23:AG219),"")))</f>
        <v>23.6</v>
      </c>
      <c r="AI23" s="13">
        <f>IF('Données projet'!$A$62&gt;35,AI22+AH23-AQ22,IF(A23&lt;'Données projet'!$A$62,$AF$205^A23,IF(A23='Données projet'!$A$62,'Données projet'!$B$62,AI22+AH23-AQ22)))</f>
        <v>225.99999999999997</v>
      </c>
      <c r="AJ23" s="13">
        <f>AI23*VLOOKUP('Données projet'!$B$10,Paramètres!$A$1:$I$89,3,0)*VLOOKUP('Données projet'!$B$10,Paramètres!$A$1:$I$89,5,0)</f>
        <v>135.148</v>
      </c>
      <c r="AK23" s="13">
        <f t="shared" si="35"/>
        <v>35.183208974998173</v>
      </c>
      <c r="AL23" s="20">
        <f t="shared" si="4"/>
        <v>296.66018896478846</v>
      </c>
      <c r="AM23" s="59">
        <f t="shared" si="5"/>
        <v>537.89003934616653</v>
      </c>
      <c r="AN23" s="59">
        <f ca="1">AVERAGE(OFFSET($AM$3,0,0,'Données projet'!$E$10+1,1))-AVERAGE(OFFSET($H$3,0,0,'Données projet'!$E$10+1,1))</f>
        <v>569.80473816957431</v>
      </c>
      <c r="AO23" s="59">
        <f t="shared" si="36"/>
        <v>495.56567790763199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70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0.45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24.890105422326002</v>
      </c>
      <c r="AW23" s="21">
        <f>EXP(-LN(2)/2)*AW22+(1-EXP(-LN(2)/2))/(LN(2)/2)*AQ23*AT23*VLOOKUP('Données projet'!$B$10,Paramètres!$A$1:$I$89,3,0)*0.475*44/12</f>
        <v>2.5135123807747521</v>
      </c>
      <c r="AX23" s="21">
        <f t="shared" si="6"/>
        <v>27.403617803100754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59.12329252825463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2.5641025599999923</v>
      </c>
      <c r="BD23" s="12">
        <f>IF('Données projet'!$A$88&gt;35,BD22+BC23-BL22,IF(A23&lt;'Données projet'!$A$88,$BA$205^A23,IF(A23='Données projet'!$A$88,'Données projet'!$B$88,BD22+BC23-BL22)))</f>
        <v>310.25641026</v>
      </c>
      <c r="BE23" s="13">
        <f>BD23*VLOOKUP('Données projet'!$B$11,Paramètres!$A$1:$I$89,3,0)*VLOOKUP('Données projet'!$B$11,Paramètres!$A$1:$I$89,5,0)</f>
        <v>136.48800000157919</v>
      </c>
      <c r="BF23" s="13">
        <f t="shared" si="37"/>
        <v>35.491269865527158</v>
      </c>
      <c r="BG23" s="20">
        <f t="shared" si="7"/>
        <v>299.53056168521022</v>
      </c>
      <c r="BH23" s="59">
        <f t="shared" si="8"/>
        <v>540.76041206658829</v>
      </c>
      <c r="BI23" s="59">
        <f ca="1">AVERAGE(OFFSET($BH$3,0,0,'Données projet'!$E$11+1,1))-AVERAGE(OFFSET($H$3,0,0,'Données projet'!$E$11+1,1))</f>
        <v>180.42749272334603</v>
      </c>
      <c r="BJ23" s="59">
        <f t="shared" si="38"/>
        <v>346.61476512497495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59.12329252825463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4.0628205128205126</v>
      </c>
      <c r="BY23" s="12">
        <f>IF('Données projet'!$A$114&gt;35,BY22+BX23-CG22,IF(A23&lt;'Données projet'!$A$114,$BV$205^A23,IF(A23='Données projet'!$A$114,'Données projet'!$B$114,BY22+BX23-CG22)))</f>
        <v>24.582870545650774</v>
      </c>
      <c r="BZ23" s="13">
        <f>BY23*VLOOKUP('Données projet'!$B$12,Paramètres!$A$1:$I$89,3,0)*VLOOKUP('Données projet'!$B$12,Paramètres!$A$1:$I$89,5,0)</f>
        <v>22.242581269704818</v>
      </c>
      <c r="CA23" s="13">
        <f t="shared" si="39"/>
        <v>7.1437277532311274</v>
      </c>
      <c r="CB23" s="20">
        <f t="shared" si="10"/>
        <v>51.181154881613445</v>
      </c>
      <c r="CC23" s="59">
        <f t="shared" si="11"/>
        <v>292.41100526299152</v>
      </c>
      <c r="CD23" s="59">
        <f ca="1">AVERAGE(OFFSET($CC$3,0,0,'Données projet'!$E$12+1,1))-AVERAGE(OFFSET($H$3,0,0,'Données projet'!$E$12+1,1))</f>
        <v>553.16421218123958</v>
      </c>
      <c r="CE23" s="59">
        <f t="shared" si="40"/>
        <v>291.73668613844416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59.12329252825463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4.0628205128205126</v>
      </c>
      <c r="CT23" s="12">
        <f>IF('Données projet'!$A$140&gt;35,CT22+CS23-DB22,IF(A23&lt;'Données projet'!$A$140,$CQ$205^A23,IF(A23='Données projet'!$A$140,'Données projet'!$B$140,CT22+CS23-DB22)))</f>
        <v>24.582870545650774</v>
      </c>
      <c r="CU23" s="17">
        <f>CT23*VLOOKUP('Données projet'!$B$13,Paramètres!$A$1:$I$89,3,0)*VLOOKUP('Données projet'!$B$13,Paramètres!$A$1:$I$89,5,0)</f>
        <v>24.927030733289886</v>
      </c>
      <c r="CV23" s="13">
        <f t="shared" si="41"/>
        <v>7.900419678784556</v>
      </c>
      <c r="CW23" s="20">
        <f t="shared" si="13"/>
        <v>57.174476134362976</v>
      </c>
      <c r="CX23" s="59">
        <f t="shared" si="14"/>
        <v>298.4043265157411</v>
      </c>
      <c r="CY23" s="59">
        <f ca="1">AVERAGE(OFFSET($CX$3,0,0,'Données projet'!$E$13+1,1))-AVERAGE(OFFSET($H$3,0,0,'Données projet'!$E$13+1,1))</f>
        <v>611.82989382187804</v>
      </c>
      <c r="CZ23" s="59">
        <f t="shared" si="42"/>
        <v>320.34124600136363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59.12329252825463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4.0628205128205126</v>
      </c>
      <c r="DO23" s="12">
        <f>IF('Données projet'!$A$166&gt;35,DO22+DN23-DW22,IF(A23&lt;'Données projet'!$A$166,$DL$205^A23,IF(A23='Données projet'!$A$166,'Données projet'!$B$166,DO22+DN23-DW22)))</f>
        <v>24.582870545650774</v>
      </c>
      <c r="DP23" s="17">
        <f>DO23*VLOOKUP('Données projet'!$B$14,Paramètres!$A$1:$I$89,3,0)*VLOOKUP('Données projet'!$B$14,Paramètres!$A$1:$I$89,5,0)</f>
        <v>26.461001855338495</v>
      </c>
      <c r="DQ23" s="13">
        <f t="shared" si="43"/>
        <v>8.3285035796405325</v>
      </c>
      <c r="DR23" s="20">
        <f t="shared" si="16"/>
        <v>60.591721965921806</v>
      </c>
      <c r="DS23" s="59">
        <f t="shared" si="17"/>
        <v>301.82157234729993</v>
      </c>
      <c r="DT23" s="59">
        <f ca="1">AVERAGE(OFFSET($DS$3,0,0,'Données projet'!$E$14+1,1))-AVERAGE(OFFSET($H$3,0,0,'Données projet'!$E$14+1,1))</f>
        <v>645.29541304800614</v>
      </c>
      <c r="DU23" s="59">
        <f t="shared" si="44"/>
        <v>336.65580771733323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59.12329252825463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EG23" s="12">
        <f>VLOOKUP(A23,'Données projet'!$A$191:$I$211,2,0)</f>
        <v>102</v>
      </c>
      <c r="EH23" s="12">
        <f>VLOOKUP(A23,'Données projet'!$A$191:$I$211,9,0)</f>
        <v>13.8</v>
      </c>
      <c r="EI23" s="12">
        <f t="array" ref="EI23">INDEX(EH:EH,MIN(IF(ISNUMBER(EH23:EH219),ROW(EH23:EH219),"")))</f>
        <v>13.8</v>
      </c>
      <c r="EJ23" s="12">
        <f>IF('Données projet'!$A$192&gt;35,EJ22+EI23-ER22,IF(A23&lt;'Données projet'!$A$192,$EG$205^A23,IF(A23='Données projet'!$A$192,'Données projet'!$B$192,EJ22+EI23-ER22)))</f>
        <v>101.99999999999999</v>
      </c>
      <c r="EK23" s="17">
        <f>EJ23*VLOOKUP('Données projet'!$B$15,Paramètres!$A$1:$I$89,3,0)*VLOOKUP('Données projet'!$B$15,Paramètres!$A$1:$I$89,5,0)</f>
        <v>74.786399999999986</v>
      </c>
      <c r="EL23" s="13">
        <f t="shared" si="45"/>
        <v>20.857475351088951</v>
      </c>
      <c r="EM23" s="20">
        <f t="shared" si="19"/>
        <v>166.57974956981323</v>
      </c>
      <c r="EN23" s="59">
        <f t="shared" si="20"/>
        <v>407.80959995119133</v>
      </c>
      <c r="EO23" s="59">
        <f ca="1">AVERAGE(OFFSET($EN$3,0,0,'Données projet'!$E$15+1,1))-AVERAGE(OFFSET($H$3,0,0,'Données projet'!$E$15+1,1))</f>
        <v>343.31122043016137</v>
      </c>
      <c r="EP23" s="59">
        <f t="shared" si="46"/>
        <v>333.61098411258877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59.12329252825463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FB23" s="12">
        <f>VLOOKUP(A23,'Données projet'!$A$217:$I$237,2,0)</f>
        <v>102</v>
      </c>
      <c r="FC23" s="12">
        <f>VLOOKUP(A23,'Données projet'!$A$217:$I$237,9,0)</f>
        <v>13.8</v>
      </c>
      <c r="FD23" s="12">
        <f t="array" ref="FD23">INDEX(FC:FC,MIN(IF(ISNUMBER(FC23:FC219),ROW(FC23:FC219),"")))</f>
        <v>13.8</v>
      </c>
      <c r="FE23" s="12">
        <f>IF('Données projet'!$A$218&gt;35,FE22+FD23-FM22,IF(A23&lt;'Données projet'!$A$218,$FB$205^A23,IF(A23='Données projet'!$A$218,'Données projet'!$B$218,FE22+FD23-FM22)))</f>
        <v>101.99999999999999</v>
      </c>
      <c r="FF23" s="17">
        <f>FE23*VLOOKUP('Données projet'!$B$16,Paramètres!$A$1:$I$89,3,0)*VLOOKUP('Données projet'!$B$16,Paramètres!$A$1:$I$89,5,0)</f>
        <v>81.151200000000003</v>
      </c>
      <c r="FG23" s="13">
        <f t="shared" si="47"/>
        <v>22.418424032002342</v>
      </c>
      <c r="FH23" s="20">
        <f t="shared" si="22"/>
        <v>180.38376185573739</v>
      </c>
      <c r="FI23" s="59">
        <f t="shared" si="23"/>
        <v>421.61361223711549</v>
      </c>
      <c r="FJ23" s="59">
        <f ca="1">AVERAGE(OFFSET($FI$3,0,0,'Données projet'!$E$16+1,1))-AVERAGE(OFFSET($H$3,0,0,'Données projet'!$E$16+1,1))</f>
        <v>368.12945163484585</v>
      </c>
      <c r="FK23" s="59">
        <f t="shared" si="48"/>
        <v>357.27183934545121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59.12329252825463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59.12329252825463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3.0869565217391299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11.318840579710143</v>
      </c>
      <c r="H24" s="66">
        <f t="shared" si="1"/>
        <v>211.39130434782609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59.311979086214407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4.8773333333333335</v>
      </c>
      <c r="N24" s="13">
        <f>IF('Données projet'!$A$36&gt;35,N23+M24-V23,IF(A24&lt;'Données projet'!$A$36,$K$205^A24,IF(A24='Données projet'!$A$36,'Données projet'!$B$36,N23+M24-V23)))</f>
        <v>32.787823209778814</v>
      </c>
      <c r="O24" s="13">
        <f>N24*VLOOKUP('Données projet'!$B$9,Paramètres!$A$1:$I$89,3,0)*VLOOKUP('Données projet'!$B$9,Paramètres!$A$1:$I$89,5,0)</f>
        <v>15.344701262176484</v>
      </c>
      <c r="P24" s="13">
        <f t="shared" si="33"/>
        <v>5.1459426345120232</v>
      </c>
      <c r="Q24" s="20">
        <f t="shared" si="2"/>
        <v>35.687871453399147</v>
      </c>
      <c r="R24" s="59">
        <f t="shared" si="0"/>
        <v>278.83179476951864</v>
      </c>
      <c r="S24" s="59">
        <f ca="1">AVERAGE(OFFSET($R$3,0,0,'Données projet'!$E$9+1,1))-AVERAGE(OFFSET($H$3,0,0,'Données projet'!$E$9+1,1))</f>
        <v>320.30433416149219</v>
      </c>
      <c r="T24" s="59">
        <f t="shared" si="34"/>
        <v>201.33422682092797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59.311979086214407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25</v>
      </c>
      <c r="AI24" s="13">
        <f>IF('Données projet'!$A$62&gt;35,AI23+AH24-AQ23,IF(A24&lt;'Données projet'!$A$62,$AF$205^A24,IF(A24='Données projet'!$A$62,'Données projet'!$B$62,AI23+AH24-AQ23)))</f>
        <v>180.99999999999997</v>
      </c>
      <c r="AJ24" s="13">
        <f>AI24*VLOOKUP('Données projet'!$B$10,Paramètres!$A$1:$I$89,3,0)*VLOOKUP('Données projet'!$B$10,Paramètres!$A$1:$I$89,5,0)</f>
        <v>108.23799999999999</v>
      </c>
      <c r="AK24" s="13">
        <f t="shared" si="35"/>
        <v>28.915454284197679</v>
      </c>
      <c r="AL24" s="20">
        <f t="shared" si="4"/>
        <v>238.8755995449776</v>
      </c>
      <c r="AM24" s="59">
        <f t="shared" si="5"/>
        <v>482.01952286109713</v>
      </c>
      <c r="AN24" s="59">
        <f ca="1">AVERAGE(OFFSET($AM$3,0,0,'Données projet'!$E$10+1,1))-AVERAGE(OFFSET($H$3,0,0,'Données projet'!$E$10+1,1))</f>
        <v>569.80473816957431</v>
      </c>
      <c r="AO24" s="59">
        <f t="shared" si="36"/>
        <v>495.56567790763199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24.209484180638739</v>
      </c>
      <c r="AW24" s="21">
        <f>EXP(-LN(2)/2)*AW23+(1-EXP(-LN(2)/2))/(LN(2)/2)*AQ24*AT24*VLOOKUP('Données projet'!$B$10,Paramètres!$A$1:$I$89,3,0)*0.475*44/12</f>
        <v>1.7773216490421708</v>
      </c>
      <c r="AX24" s="21">
        <f t="shared" si="6"/>
        <v>25.986805829680911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59.311979086214407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2.5641025599999923</v>
      </c>
      <c r="BD24" s="12">
        <f>IF('Données projet'!$A$88&gt;35,BD23+BC24-BL23,IF(A24&lt;'Données projet'!$A$88,$BA$205^A24,IF(A24='Données projet'!$A$88,'Données projet'!$B$88,BD23+BC24-BL23)))</f>
        <v>312.82051281999998</v>
      </c>
      <c r="BE24" s="13">
        <f>BD24*VLOOKUP('Données projet'!$B$11,Paramètres!$A$1:$I$89,3,0)*VLOOKUP('Données projet'!$B$11,Paramètres!$A$1:$I$89,5,0)</f>
        <v>137.61599999977437</v>
      </c>
      <c r="BF24" s="13">
        <f t="shared" si="37"/>
        <v>35.750319851056496</v>
      </c>
      <c r="BG24" s="20">
        <f t="shared" si="7"/>
        <v>301.94634040686378</v>
      </c>
      <c r="BH24" s="59">
        <f t="shared" si="8"/>
        <v>545.09026372298331</v>
      </c>
      <c r="BI24" s="59">
        <f ca="1">AVERAGE(OFFSET($BH$3,0,0,'Données projet'!$E$11+1,1))-AVERAGE(OFFSET($H$3,0,0,'Données projet'!$E$11+1,1))</f>
        <v>180.42749272334603</v>
      </c>
      <c r="BJ24" s="59">
        <f t="shared" si="38"/>
        <v>346.61476512497495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59.311979086214407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4.0628205128205126</v>
      </c>
      <c r="BY24" s="12">
        <f>IF('Données projet'!$A$114&gt;35,BY23+BX24-CG23,IF(A24&lt;'Données projet'!$A$114,$BV$205^A24,IF(A24='Données projet'!$A$114,'Données projet'!$B$114,BY23+BX24-CG23)))</f>
        <v>28.851222752799568</v>
      </c>
      <c r="BZ24" s="13">
        <f>BY24*VLOOKUP('Données projet'!$B$12,Paramètres!$A$1:$I$89,3,0)*VLOOKUP('Données projet'!$B$12,Paramètres!$A$1:$I$89,5,0)</f>
        <v>26.104586346733051</v>
      </c>
      <c r="CA24" s="13">
        <f t="shared" si="39"/>
        <v>8.2293028123778775</v>
      </c>
      <c r="CB24" s="20">
        <f t="shared" si="10"/>
        <v>59.798190285451518</v>
      </c>
      <c r="CC24" s="59">
        <f t="shared" si="11"/>
        <v>302.94211360157101</v>
      </c>
      <c r="CD24" s="59">
        <f ca="1">AVERAGE(OFFSET($CC$3,0,0,'Données projet'!$E$12+1,1))-AVERAGE(OFFSET($H$3,0,0,'Données projet'!$E$12+1,1))</f>
        <v>553.16421218123958</v>
      </c>
      <c r="CE24" s="59">
        <f t="shared" si="40"/>
        <v>291.73668613844416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59.311979086214407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4.0628205128205126</v>
      </c>
      <c r="CT24" s="12">
        <f>IF('Données projet'!$A$140&gt;35,CT23+CS24-DB23,IF(A24&lt;'Données projet'!$A$140,$CQ$205^A24,IF(A24='Données projet'!$A$140,'Données projet'!$B$140,CT23+CS24-DB23)))</f>
        <v>28.851222752799568</v>
      </c>
      <c r="CU24" s="17">
        <f>CT24*VLOOKUP('Données projet'!$B$13,Paramètres!$A$1:$I$89,3,0)*VLOOKUP('Données projet'!$B$13,Paramètres!$A$1:$I$89,5,0)</f>
        <v>29.255139871338766</v>
      </c>
      <c r="CV24" s="13">
        <f t="shared" si="41"/>
        <v>9.1009831459745705</v>
      </c>
      <c r="CW24" s="20">
        <f t="shared" si="13"/>
        <v>66.803580921820739</v>
      </c>
      <c r="CX24" s="59">
        <f t="shared" si="14"/>
        <v>309.94750423794022</v>
      </c>
      <c r="CY24" s="59">
        <f ca="1">AVERAGE(OFFSET($CX$3,0,0,'Données projet'!$E$13+1,1))-AVERAGE(OFFSET($H$3,0,0,'Données projet'!$E$13+1,1))</f>
        <v>611.82989382187804</v>
      </c>
      <c r="CZ24" s="59">
        <f t="shared" si="42"/>
        <v>320.34124600136363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59.311979086214407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4.0628205128205126</v>
      </c>
      <c r="DO24" s="12">
        <f>IF('Données projet'!$A$166&gt;35,DO23+DN24-DW23,IF(A24&lt;'Données projet'!$A$166,$DL$205^A24,IF(A24='Données projet'!$A$166,'Données projet'!$B$166,DO23+DN24-DW23)))</f>
        <v>28.851222752799568</v>
      </c>
      <c r="DP24" s="17">
        <f>DO24*VLOOKUP('Données projet'!$B$14,Paramètres!$A$1:$I$89,3,0)*VLOOKUP('Données projet'!$B$14,Paramètres!$A$1:$I$89,5,0)</f>
        <v>31.055456171113452</v>
      </c>
      <c r="DQ24" s="13">
        <f t="shared" si="43"/>
        <v>9.5941195267184156</v>
      </c>
      <c r="DR24" s="20">
        <f t="shared" si="16"/>
        <v>70.798011007057156</v>
      </c>
      <c r="DS24" s="59">
        <f t="shared" si="17"/>
        <v>313.94193432317667</v>
      </c>
      <c r="DT24" s="59">
        <f ca="1">AVERAGE(OFFSET($DS$3,0,0,'Données projet'!$E$14+1,1))-AVERAGE(OFFSET($H$3,0,0,'Données projet'!$E$14+1,1))</f>
        <v>645.29541304800614</v>
      </c>
      <c r="DU24" s="59">
        <f t="shared" si="44"/>
        <v>336.65580771733323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59.311979086214407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81.799999999999983</v>
      </c>
      <c r="EK24" s="17">
        <f>EJ24*VLOOKUP('Données projet'!$B$15,Paramètres!$A$1:$I$89,3,0)*VLOOKUP('Données projet'!$B$15,Paramètres!$A$1:$I$89,5,0)</f>
        <v>59.975759999999987</v>
      </c>
      <c r="EL24" s="13">
        <f t="shared" si="45"/>
        <v>17.162140235844557</v>
      </c>
      <c r="EM24" s="20">
        <f t="shared" si="19"/>
        <v>134.34850957742924</v>
      </c>
      <c r="EN24" s="59">
        <f t="shared" si="20"/>
        <v>377.49243289354877</v>
      </c>
      <c r="EO24" s="59">
        <f ca="1">AVERAGE(OFFSET($EN$3,0,0,'Données projet'!$E$15+1,1))-AVERAGE(OFFSET($H$3,0,0,'Données projet'!$E$15+1,1))</f>
        <v>343.31122043016137</v>
      </c>
      <c r="EP24" s="59">
        <f t="shared" si="46"/>
        <v>333.61098411258877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59.311979086214407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81.799999999999983</v>
      </c>
      <c r="FF24" s="17">
        <f>FE24*VLOOKUP('Données projet'!$B$16,Paramètres!$A$1:$I$89,3,0)*VLOOKUP('Données projet'!$B$16,Paramètres!$A$1:$I$89,5,0)</f>
        <v>65.080079999999981</v>
      </c>
      <c r="FG24" s="13">
        <f t="shared" si="47"/>
        <v>18.44653442602603</v>
      </c>
      <c r="FH24" s="20">
        <f t="shared" si="22"/>
        <v>145.47552012532864</v>
      </c>
      <c r="FI24" s="59">
        <f t="shared" si="23"/>
        <v>388.61944344144814</v>
      </c>
      <c r="FJ24" s="59">
        <f ca="1">AVERAGE(OFFSET($FI$3,0,0,'Données projet'!$E$16+1,1))-AVERAGE(OFFSET($H$3,0,0,'Données projet'!$E$16+1,1))</f>
        <v>368.12945163484585</v>
      </c>
      <c r="FK24" s="59">
        <f t="shared" si="48"/>
        <v>357.27183934545121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59.311979086214407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59.311979086214407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3.0869565217391299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11.318840579710143</v>
      </c>
      <c r="H25" s="66">
        <f t="shared" si="1"/>
        <v>211.39130434782609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59.497392354233533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4.8773333333333335</v>
      </c>
      <c r="N25" s="13">
        <f>IF('Données projet'!$A$36&gt;35,N24+M25-V24,IF(A25&lt;'Données projet'!$A$36,$K$205^A25,IF(A25='Données projet'!$A$36,'Données projet'!$B$36,N24+M25-V24)))</f>
        <v>38.715901340416693</v>
      </c>
      <c r="O25" s="13">
        <f>N25*VLOOKUP('Données projet'!$B$9,Paramètres!$A$1:$I$89,3,0)*VLOOKUP('Données projet'!$B$9,Paramètres!$A$1:$I$89,5,0)</f>
        <v>18.119041827315012</v>
      </c>
      <c r="P25" s="13">
        <f t="shared" si="33"/>
        <v>5.9599189253148284</v>
      </c>
      <c r="Q25" s="20">
        <f t="shared" si="2"/>
        <v>41.937523310830301</v>
      </c>
      <c r="R25" s="59">
        <f t="shared" si="0"/>
        <v>286.98351749857551</v>
      </c>
      <c r="S25" s="59">
        <f ca="1">AVERAGE(OFFSET($R$3,0,0,'Données projet'!$E$9+1,1))-AVERAGE(OFFSET($H$3,0,0,'Données projet'!$E$9+1,1))</f>
        <v>320.30433416149219</v>
      </c>
      <c r="T25" s="59">
        <f t="shared" si="34"/>
        <v>201.33422682092797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59.497392354233533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25</v>
      </c>
      <c r="AI25" s="13">
        <f>IF('Données projet'!$A$62&gt;35,AI24+AH25-AQ24,IF(A25&lt;'Données projet'!$A$62,$AF$205^A25,IF(A25='Données projet'!$A$62,'Données projet'!$B$62,AI24+AH25-AQ24)))</f>
        <v>205.99999999999997</v>
      </c>
      <c r="AJ25" s="13">
        <f>AI25*VLOOKUP('Données projet'!$B$10,Paramètres!$A$1:$I$89,3,0)*VLOOKUP('Données projet'!$B$10,Paramètres!$A$1:$I$89,5,0)</f>
        <v>123.18799999999999</v>
      </c>
      <c r="AK25" s="13">
        <f t="shared" si="35"/>
        <v>32.417409489939047</v>
      </c>
      <c r="AL25" s="20">
        <f t="shared" si="4"/>
        <v>271.01275486164383</v>
      </c>
      <c r="AM25" s="59">
        <f t="shared" si="5"/>
        <v>516.05874904938901</v>
      </c>
      <c r="AN25" s="59">
        <f ca="1">AVERAGE(OFFSET($AM$3,0,0,'Données projet'!$E$10+1,1))-AVERAGE(OFFSET($H$3,0,0,'Données projet'!$E$10+1,1))</f>
        <v>569.80473816957431</v>
      </c>
      <c r="AO25" s="59">
        <f t="shared" si="36"/>
        <v>495.56567790763199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23.547474562597731</v>
      </c>
      <c r="AW25" s="21">
        <f>EXP(-LN(2)/2)*AW24+(1-EXP(-LN(2)/2))/(LN(2)/2)*AQ25*AT25*VLOOKUP('Données projet'!$B$10,Paramètres!$A$1:$I$89,3,0)*0.475*44/12</f>
        <v>1.2567561903873763</v>
      </c>
      <c r="AX25" s="21">
        <f t="shared" si="6"/>
        <v>24.804230752985106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59.497392354233533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2.5641025599999923</v>
      </c>
      <c r="BD25" s="12">
        <f>IF('Données projet'!$A$88&gt;35,BD24+BC25-BL24,IF(A25&lt;'Données projet'!$A$88,$BA$205^A25,IF(A25='Données projet'!$A$88,'Données projet'!$B$88,BD24+BC25-BL24)))</f>
        <v>315.38461537999996</v>
      </c>
      <c r="BE25" s="13">
        <f>BD25*VLOOKUP('Données projet'!$B$11,Paramètres!$A$1:$I$89,3,0)*VLOOKUP('Données projet'!$B$11,Paramètres!$A$1:$I$89,5,0)</f>
        <v>138.74399999796958</v>
      </c>
      <c r="BF25" s="13">
        <f t="shared" si="37"/>
        <v>36.009122792363357</v>
      </c>
      <c r="BG25" s="20">
        <f t="shared" si="7"/>
        <v>304.36168885982988</v>
      </c>
      <c r="BH25" s="59">
        <f t="shared" si="8"/>
        <v>549.40768304757512</v>
      </c>
      <c r="BI25" s="59">
        <f ca="1">AVERAGE(OFFSET($BH$3,0,0,'Données projet'!$E$11+1,1))-AVERAGE(OFFSET($H$3,0,0,'Données projet'!$E$11+1,1))</f>
        <v>180.42749272334603</v>
      </c>
      <c r="BJ25" s="59">
        <f t="shared" si="38"/>
        <v>346.61476512497495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59.497392354233533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4.0628205128205126</v>
      </c>
      <c r="BY25" s="12">
        <f>IF('Données projet'!$A$114&gt;35,BY24+BX25-CG24,IF(A25&lt;'Données projet'!$A$114,$BV$205^A25,IF(A25='Données projet'!$A$114,'Données projet'!$B$114,BY24+BX25-CG24)))</f>
        <v>33.860693883812012</v>
      </c>
      <c r="BZ25" s="13">
        <f>BY25*VLOOKUP('Données projet'!$B$12,Paramètres!$A$1:$I$89,3,0)*VLOOKUP('Données projet'!$B$12,Paramètres!$A$1:$I$89,5,0)</f>
        <v>30.637155826073108</v>
      </c>
      <c r="CA25" s="13">
        <f t="shared" si="39"/>
        <v>9.4798440138175533</v>
      </c>
      <c r="CB25" s="20">
        <f t="shared" si="10"/>
        <v>69.870441387809549</v>
      </c>
      <c r="CC25" s="59">
        <f t="shared" si="11"/>
        <v>314.91643557555477</v>
      </c>
      <c r="CD25" s="59">
        <f ca="1">AVERAGE(OFFSET($CC$3,0,0,'Données projet'!$E$12+1,1))-AVERAGE(OFFSET($H$3,0,0,'Données projet'!$E$12+1,1))</f>
        <v>553.16421218123958</v>
      </c>
      <c r="CE25" s="59">
        <f t="shared" si="40"/>
        <v>291.73668613844416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59.497392354233533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4.0628205128205126</v>
      </c>
      <c r="CT25" s="12">
        <f>IF('Données projet'!$A$140&gt;35,CT24+CS25-DB24,IF(A25&lt;'Données projet'!$A$140,$CQ$205^A25,IF(A25='Données projet'!$A$140,'Données projet'!$B$140,CT24+CS25-DB24)))</f>
        <v>33.860693883812012</v>
      </c>
      <c r="CU25" s="17">
        <f>CT25*VLOOKUP('Données projet'!$B$13,Paramètres!$A$1:$I$89,3,0)*VLOOKUP('Données projet'!$B$13,Paramètres!$A$1:$I$89,5,0)</f>
        <v>34.334743598185383</v>
      </c>
      <c r="CV25" s="13">
        <f t="shared" si="41"/>
        <v>10.48398662234813</v>
      </c>
      <c r="CW25" s="20">
        <f t="shared" si="13"/>
        <v>78.059288467429198</v>
      </c>
      <c r="CX25" s="59">
        <f t="shared" si="14"/>
        <v>323.10528265517439</v>
      </c>
      <c r="CY25" s="59">
        <f ca="1">AVERAGE(OFFSET($CX$3,0,0,'Données projet'!$E$13+1,1))-AVERAGE(OFFSET($H$3,0,0,'Données projet'!$E$13+1,1))</f>
        <v>611.82989382187804</v>
      </c>
      <c r="CZ25" s="59">
        <f t="shared" si="42"/>
        <v>320.34124600136363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59.497392354233533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4.0628205128205126</v>
      </c>
      <c r="DO25" s="12">
        <f>IF('Données projet'!$A$166&gt;35,DO24+DN25-DW24,IF(A25&lt;'Données projet'!$A$166,$DL$205^A25,IF(A25='Données projet'!$A$166,'Données projet'!$B$166,DO24+DN25-DW24)))</f>
        <v>33.860693883812012</v>
      </c>
      <c r="DP25" s="17">
        <f>DO25*VLOOKUP('Données projet'!$B$14,Paramètres!$A$1:$I$89,3,0)*VLOOKUP('Données projet'!$B$14,Paramètres!$A$1:$I$89,5,0)</f>
        <v>36.447650896535251</v>
      </c>
      <c r="DQ25" s="13">
        <f t="shared" si="43"/>
        <v>11.052060987038981</v>
      </c>
      <c r="DR25" s="20">
        <f t="shared" si="16"/>
        <v>82.728664863891794</v>
      </c>
      <c r="DS25" s="59">
        <f t="shared" si="17"/>
        <v>327.774659051637</v>
      </c>
      <c r="DT25" s="59">
        <f ca="1">AVERAGE(OFFSET($DS$3,0,0,'Données projet'!$E$14+1,1))-AVERAGE(OFFSET($H$3,0,0,'Données projet'!$E$14+1,1))</f>
        <v>645.29541304800614</v>
      </c>
      <c r="DU25" s="59">
        <f t="shared" si="44"/>
        <v>336.65580771733323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59.497392354233533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96.59999999999998</v>
      </c>
      <c r="EK25" s="17">
        <f>EJ25*VLOOKUP('Données projet'!$B$15,Paramètres!$A$1:$I$89,3,0)*VLOOKUP('Données projet'!$B$15,Paramètres!$A$1:$I$89,5,0)</f>
        <v>70.827119999999979</v>
      </c>
      <c r="EL25" s="13">
        <f t="shared" si="45"/>
        <v>19.878719982140016</v>
      </c>
      <c r="EM25" s="20">
        <f t="shared" si="19"/>
        <v>157.97933796889382</v>
      </c>
      <c r="EN25" s="59">
        <f t="shared" si="20"/>
        <v>403.02533215663902</v>
      </c>
      <c r="EO25" s="59">
        <f ca="1">AVERAGE(OFFSET($EN$3,0,0,'Données projet'!$E$15+1,1))-AVERAGE(OFFSET($H$3,0,0,'Données projet'!$E$15+1,1))</f>
        <v>343.31122043016137</v>
      </c>
      <c r="EP25" s="59">
        <f t="shared" si="46"/>
        <v>333.61098411258877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59.497392354233533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96.59999999999998</v>
      </c>
      <c r="FF25" s="17">
        <f>FE25*VLOOKUP('Données projet'!$B$16,Paramètres!$A$1:$I$89,3,0)*VLOOKUP('Données projet'!$B$16,Paramètres!$A$1:$I$89,5,0)</f>
        <v>76.854959999999991</v>
      </c>
      <c r="FG25" s="13">
        <f t="shared" si="47"/>
        <v>21.366419773799993</v>
      </c>
      <c r="FH25" s="20">
        <f t="shared" si="22"/>
        <v>171.06890310603498</v>
      </c>
      <c r="FI25" s="59">
        <f t="shared" si="23"/>
        <v>416.11489729378019</v>
      </c>
      <c r="FJ25" s="59">
        <f ca="1">AVERAGE(OFFSET($FI$3,0,0,'Données projet'!$E$16+1,1))-AVERAGE(OFFSET($H$3,0,0,'Données projet'!$E$16+1,1))</f>
        <v>368.12945163484585</v>
      </c>
      <c r="FK25" s="59">
        <f t="shared" si="48"/>
        <v>357.27183934545121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59.497392354233533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59.497392354233533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3.0869565217391299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11.318840579710143</v>
      </c>
      <c r="H26" s="66">
        <f t="shared" si="1"/>
        <v>211.39130434782609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59.679589116574491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4.8773333333333335</v>
      </c>
      <c r="N26" s="13">
        <f>IF('Données projet'!$A$36&gt;35,N25+M26-V25,IF(A26&lt;'Données projet'!$A$36,$K$205^A26,IF(A26='Données projet'!$A$36,'Données projet'!$B$36,N25+M26-V25)))</f>
        <v>45.71578317385319</v>
      </c>
      <c r="O26" s="13">
        <f>N26*VLOOKUP('Données projet'!$B$9,Paramètres!$A$1:$I$89,3,0)*VLOOKUP('Données projet'!$B$9,Paramètres!$A$1:$I$89,5,0)</f>
        <v>21.394986525363294</v>
      </c>
      <c r="P26" s="13">
        <f t="shared" si="33"/>
        <v>6.9026485756179028</v>
      </c>
      <c r="Q26" s="20">
        <f t="shared" si="2"/>
        <v>49.285047800875581</v>
      </c>
      <c r="R26" s="59">
        <f t="shared" si="0"/>
        <v>296.22131900609315</v>
      </c>
      <c r="S26" s="59">
        <f ca="1">AVERAGE(OFFSET($R$3,0,0,'Données projet'!$E$9+1,1))-AVERAGE(OFFSET($H$3,0,0,'Données projet'!$E$9+1,1))</f>
        <v>320.30433416149219</v>
      </c>
      <c r="T26" s="59">
        <f t="shared" si="34"/>
        <v>201.33422682092797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59.679589116574491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25</v>
      </c>
      <c r="AI26" s="13">
        <f>IF('Données projet'!$A$62&gt;35,AI25+AH26-AQ25,IF(A26&lt;'Données projet'!$A$62,$AF$205^A26,IF(A26='Données projet'!$A$62,'Données projet'!$B$62,AI25+AH26-AQ25)))</f>
        <v>230.99999999999997</v>
      </c>
      <c r="AJ26" s="13">
        <f>AI26*VLOOKUP('Données projet'!$B$10,Paramètres!$A$1:$I$89,3,0)*VLOOKUP('Données projet'!$B$10,Paramètres!$A$1:$I$89,5,0)</f>
        <v>138.13800000000001</v>
      </c>
      <c r="AK26" s="13">
        <f t="shared" si="35"/>
        <v>35.870115614757175</v>
      </c>
      <c r="AL26" s="20">
        <f t="shared" si="4"/>
        <v>303.06413469570208</v>
      </c>
      <c r="AM26" s="59">
        <f t="shared" si="5"/>
        <v>550.00040590091965</v>
      </c>
      <c r="AN26" s="59">
        <f ca="1">AVERAGE(OFFSET($AM$3,0,0,'Données projet'!$E$10+1,1))-AVERAGE(OFFSET($H$3,0,0,'Données projet'!$E$10+1,1))</f>
        <v>569.80473816957431</v>
      </c>
      <c r="AO26" s="59">
        <f t="shared" si="36"/>
        <v>495.56567790763199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22.903567632375626</v>
      </c>
      <c r="AW26" s="21">
        <f>EXP(-LN(2)/2)*AW25+(1-EXP(-LN(2)/2))/(LN(2)/2)*AQ26*AT26*VLOOKUP('Données projet'!$B$10,Paramètres!$A$1:$I$89,3,0)*0.475*44/12</f>
        <v>0.88866082452108563</v>
      </c>
      <c r="AX26" s="21">
        <f t="shared" si="6"/>
        <v>23.792228456896712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59.679589116574491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2.5641025599999923</v>
      </c>
      <c r="BD26" s="12">
        <f>IF('Données projet'!$A$88&gt;35,BD25+BC26-BL25,IF(A26&lt;'Données projet'!$A$88,$BA$205^A26,IF(A26='Données projet'!$A$88,'Données projet'!$B$88,BD25+BC26-BL25)))</f>
        <v>317.94871793999994</v>
      </c>
      <c r="BE26" s="13">
        <f>BD26*VLOOKUP('Données projet'!$B$11,Paramètres!$A$1:$I$89,3,0)*VLOOKUP('Données projet'!$B$11,Paramètres!$A$1:$I$89,5,0)</f>
        <v>139.87199999616476</v>
      </c>
      <c r="BF26" s="13">
        <f t="shared" si="37"/>
        <v>36.267680930714377</v>
      </c>
      <c r="BG26" s="20">
        <f t="shared" si="7"/>
        <v>306.77661094764784</v>
      </c>
      <c r="BH26" s="59">
        <f t="shared" si="8"/>
        <v>553.7128821528654</v>
      </c>
      <c r="BI26" s="59">
        <f ca="1">AVERAGE(OFFSET($BH$3,0,0,'Données projet'!$E$11+1,1))-AVERAGE(OFFSET($H$3,0,0,'Données projet'!$E$11+1,1))</f>
        <v>180.42749272334603</v>
      </c>
      <c r="BJ26" s="59">
        <f t="shared" si="38"/>
        <v>346.61476512497495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59.679589116574491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4.0628205128205126</v>
      </c>
      <c r="BY26" s="12">
        <f>IF('Données projet'!$A$114&gt;35,BY25+BX26-CG25,IF(A26&lt;'Données projet'!$A$114,$BV$205^A26,IF(A26='Données projet'!$A$114,'Données projet'!$B$114,BY25+BX26-CG25)))</f>
        <v>39.739965273463824</v>
      </c>
      <c r="BZ26" s="13">
        <f>BY26*VLOOKUP('Données projet'!$B$12,Paramètres!$A$1:$I$89,3,0)*VLOOKUP('Données projet'!$B$12,Paramètres!$A$1:$I$89,5,0)</f>
        <v>35.956720579430062</v>
      </c>
      <c r="CA26" s="13">
        <f t="shared" si="39"/>
        <v>10.920419940209383</v>
      </c>
      <c r="CB26" s="20">
        <f t="shared" si="10"/>
        <v>81.644353071705368</v>
      </c>
      <c r="CC26" s="59">
        <f t="shared" si="11"/>
        <v>328.58062427692295</v>
      </c>
      <c r="CD26" s="59">
        <f ca="1">AVERAGE(OFFSET($CC$3,0,0,'Données projet'!$E$12+1,1))-AVERAGE(OFFSET($H$3,0,0,'Données projet'!$E$12+1,1))</f>
        <v>553.16421218123958</v>
      </c>
      <c r="CE26" s="59">
        <f t="shared" si="40"/>
        <v>291.73668613844416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59.679589116574491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4.0628205128205126</v>
      </c>
      <c r="CT26" s="12">
        <f>IF('Données projet'!$A$140&gt;35,CT25+CS26-DB25,IF(A26&lt;'Données projet'!$A$140,$CQ$205^A26,IF(A26='Données projet'!$A$140,'Données projet'!$B$140,CT25+CS26-DB25)))</f>
        <v>39.739965273463824</v>
      </c>
      <c r="CU26" s="17">
        <f>CT26*VLOOKUP('Données projet'!$B$13,Paramètres!$A$1:$I$89,3,0)*VLOOKUP('Données projet'!$B$13,Paramètres!$A$1:$I$89,5,0)</f>
        <v>40.29632478729232</v>
      </c>
      <c r="CV26" s="13">
        <f t="shared" si="41"/>
        <v>12.077154054085931</v>
      </c>
      <c r="CW26" s="20">
        <f t="shared" si="13"/>
        <v>91.217142315400451</v>
      </c>
      <c r="CX26" s="59">
        <f t="shared" si="14"/>
        <v>338.15341352061807</v>
      </c>
      <c r="CY26" s="59">
        <f ca="1">AVERAGE(OFFSET($CX$3,0,0,'Données projet'!$E$13+1,1))-AVERAGE(OFFSET($H$3,0,0,'Données projet'!$E$13+1,1))</f>
        <v>611.82989382187804</v>
      </c>
      <c r="CZ26" s="59">
        <f t="shared" si="42"/>
        <v>320.34124600136363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59.679589116574491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4.0628205128205126</v>
      </c>
      <c r="DO26" s="12">
        <f>IF('Données projet'!$A$166&gt;35,DO25+DN26-DW25,IF(A26&lt;'Données projet'!$A$166,$DL$205^A26,IF(A26='Données projet'!$A$166,'Données projet'!$B$166,DO25+DN26-DW25)))</f>
        <v>39.739965273463824</v>
      </c>
      <c r="DP26" s="17">
        <f>DO26*VLOOKUP('Données projet'!$B$14,Paramètres!$A$1:$I$89,3,0)*VLOOKUP('Données projet'!$B$14,Paramètres!$A$1:$I$89,5,0)</f>
        <v>42.776098620356457</v>
      </c>
      <c r="DQ26" s="13">
        <f t="shared" si="43"/>
        <v>12.731554127615578</v>
      </c>
      <c r="DR26" s="20">
        <f t="shared" si="16"/>
        <v>96.67582853605127</v>
      </c>
      <c r="DS26" s="59">
        <f t="shared" si="17"/>
        <v>343.61209974126888</v>
      </c>
      <c r="DT26" s="59">
        <f ca="1">AVERAGE(OFFSET($DS$3,0,0,'Données projet'!$E$14+1,1))-AVERAGE(OFFSET($H$3,0,0,'Données projet'!$E$14+1,1))</f>
        <v>645.29541304800614</v>
      </c>
      <c r="DU26" s="59">
        <f t="shared" si="44"/>
        <v>336.65580771733323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59.679589116574491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111.39999999999998</v>
      </c>
      <c r="EK26" s="17">
        <f>EJ26*VLOOKUP('Données projet'!$B$15,Paramètres!$A$1:$I$89,3,0)*VLOOKUP('Données projet'!$B$15,Paramètres!$A$1:$I$89,5,0)</f>
        <v>81.678479999999993</v>
      </c>
      <c r="EL26" s="13">
        <f t="shared" si="45"/>
        <v>22.547083950915322</v>
      </c>
      <c r="EM26" s="20">
        <f t="shared" si="19"/>
        <v>181.52619054784418</v>
      </c>
      <c r="EN26" s="59">
        <f t="shared" si="20"/>
        <v>428.4624617530618</v>
      </c>
      <c r="EO26" s="59">
        <f ca="1">AVERAGE(OFFSET($EN$3,0,0,'Données projet'!$E$15+1,1))-AVERAGE(OFFSET($H$3,0,0,'Données projet'!$E$15+1,1))</f>
        <v>343.31122043016137</v>
      </c>
      <c r="EP26" s="59">
        <f t="shared" si="46"/>
        <v>333.61098411258877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59.679589116574491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111.39999999999998</v>
      </c>
      <c r="FF26" s="17">
        <f>FE26*VLOOKUP('Données projet'!$B$16,Paramètres!$A$1:$I$89,3,0)*VLOOKUP('Données projet'!$B$16,Paramètres!$A$1:$I$89,5,0)</f>
        <v>88.629839999999987</v>
      </c>
      <c r="FG26" s="13">
        <f t="shared" si="47"/>
        <v>24.23448093253452</v>
      </c>
      <c r="FH26" s="20">
        <f t="shared" si="22"/>
        <v>196.57202562416424</v>
      </c>
      <c r="FI26" s="59">
        <f t="shared" si="23"/>
        <v>443.50829682938183</v>
      </c>
      <c r="FJ26" s="59">
        <f ca="1">AVERAGE(OFFSET($FI$3,0,0,'Données projet'!$E$16+1,1))-AVERAGE(OFFSET($H$3,0,0,'Données projet'!$E$16+1,1))</f>
        <v>368.12945163484585</v>
      </c>
      <c r="FK26" s="59">
        <f t="shared" si="48"/>
        <v>357.27183934545121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59.679589116574491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59.679589116574491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3.0869565217391299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11.318840579710143</v>
      </c>
      <c r="H27" s="66">
        <f t="shared" si="1"/>
        <v>211.39130434782609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59.858625172419771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7.9999999999999982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4.8773333333333335</v>
      </c>
      <c r="N27" s="13">
        <f>IF('Données projet'!$A$36&gt;35,N26+M27-V26,IF(A27&lt;'Données projet'!$A$36,$K$205^A27,IF(A27='Données projet'!$A$36,'Données projet'!$B$36,N26+M27-V26)))</f>
        <v>53.981252117124654</v>
      </c>
      <c r="O27" s="13">
        <f>N27*VLOOKUP('Données projet'!$B$9,Paramètres!$A$1:$I$89,3,0)*VLOOKUP('Données projet'!$B$9,Paramètres!$A$1:$I$89,5,0)</f>
        <v>25.263225990814338</v>
      </c>
      <c r="P27" s="13">
        <f t="shared" si="33"/>
        <v>7.9944975687673434</v>
      </c>
      <c r="Q27" s="20">
        <f t="shared" si="2"/>
        <v>57.923868532938087</v>
      </c>
      <c r="R27" s="59">
        <f t="shared" si="0"/>
        <v>306.73882749847724</v>
      </c>
      <c r="S27" s="59">
        <f ca="1">AVERAGE(OFFSET($R$3,0,0,'Données projet'!$E$9+1,1))-AVERAGE(OFFSET($H$3,0,0,'Données projet'!$E$9+1,1))</f>
        <v>320.30433416149219</v>
      </c>
      <c r="T27" s="59">
        <f t="shared" si="34"/>
        <v>201.33422682092797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59.858625172419771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7.9999999999999982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25</v>
      </c>
      <c r="AI27" s="13">
        <f>IF('Données projet'!$A$62&gt;35,AI26+AH27-AQ26,IF(A27&lt;'Données projet'!$A$62,$AF$205^A27,IF(A27='Données projet'!$A$62,'Données projet'!$B$62,AI26+AH27-AQ26)))</f>
        <v>255.99999999999997</v>
      </c>
      <c r="AJ27" s="13">
        <f>AI27*VLOOKUP('Données projet'!$B$10,Paramètres!$A$1:$I$89,3,0)*VLOOKUP('Données projet'!$B$10,Paramètres!$A$1:$I$89,5,0)</f>
        <v>153.08799999999999</v>
      </c>
      <c r="AK27" s="13">
        <f t="shared" si="35"/>
        <v>39.279510265435114</v>
      </c>
      <c r="AL27" s="20">
        <f t="shared" si="4"/>
        <v>335.04008037896614</v>
      </c>
      <c r="AM27" s="59">
        <f t="shared" si="5"/>
        <v>583.85503934450526</v>
      </c>
      <c r="AN27" s="59">
        <f ca="1">AVERAGE(OFFSET($AM$3,0,0,'Données projet'!$E$10+1,1))-AVERAGE(OFFSET($H$3,0,0,'Données projet'!$E$10+1,1))</f>
        <v>569.80473816957431</v>
      </c>
      <c r="AO27" s="59">
        <f t="shared" si="36"/>
        <v>495.56567790763199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22.277268371022039</v>
      </c>
      <c r="AW27" s="21">
        <f>EXP(-LN(2)/2)*AW26+(1-EXP(-LN(2)/2))/(LN(2)/2)*AQ27*AT27*VLOOKUP('Données projet'!$B$10,Paramètres!$A$1:$I$89,3,0)*0.475*44/12</f>
        <v>0.62837809519368826</v>
      </c>
      <c r="AX27" s="21">
        <f t="shared" si="6"/>
        <v>22.905646466215728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59.858625172419771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7.9999999999999982</v>
      </c>
      <c r="BA27" s="12">
        <f>VLOOKUP(A27,'Données projet'!$A$87:$I$107,2,0)</f>
        <v>320.51282049999998</v>
      </c>
      <c r="BB27" s="12">
        <f>VLOOKUP(A27,'Données projet'!$A$87:$I$107,9,0)</f>
        <v>2.5641025599999923</v>
      </c>
      <c r="BC27" s="12">
        <f t="array" ref="BC27">INDEX(BB:BB,MIN(IF(ISNUMBER(BB27:BB223),ROW(BB27:BB223),"")))</f>
        <v>2.5641025599999923</v>
      </c>
      <c r="BD27" s="12">
        <f>IF('Données projet'!$A$88&gt;35,BD26+BC27-BL26,IF(A27&lt;'Données projet'!$A$88,$BA$205^A27,IF(A27='Données projet'!$A$88,'Données projet'!$B$88,BD26+BC27-BL26)))</f>
        <v>320.51282049999992</v>
      </c>
      <c r="BE27" s="13">
        <f>BD27*VLOOKUP('Données projet'!$B$11,Paramètres!$A$1:$I$89,3,0)*VLOOKUP('Données projet'!$B$11,Paramètres!$A$1:$I$89,5,0)</f>
        <v>140.99999999435997</v>
      </c>
      <c r="BF27" s="13">
        <f t="shared" si="37"/>
        <v>36.525996469139713</v>
      </c>
      <c r="BG27" s="20">
        <f t="shared" si="7"/>
        <v>309.1911105072619</v>
      </c>
      <c r="BH27" s="59">
        <f t="shared" si="8"/>
        <v>558.00606947280107</v>
      </c>
      <c r="BI27" s="59">
        <f ca="1">AVERAGE(OFFSET($BH$3,0,0,'Données projet'!$E$11+1,1))-AVERAGE(OFFSET($H$3,0,0,'Données projet'!$E$11+1,1))</f>
        <v>180.42749272334603</v>
      </c>
      <c r="BJ27" s="59">
        <f t="shared" si="38"/>
        <v>346.61476512497495</v>
      </c>
      <c r="BK27" s="15" t="str">
        <f>IF(ISNA(VLOOKUP(A27,'Données projet'!$A$87:$I$107,3,0)),0,VLOOKUP(A27,'Données projet'!$A$87:$I$107,3,0))</f>
        <v>CR</v>
      </c>
      <c r="BL27" s="15">
        <f>IF(ISNA(VLOOKUP(A27,'Données projet'!$A$87:$I$107,4,0)),0,VLOOKUP(A27,'Données projet'!$A$87:$I$107,4,0))</f>
        <v>320.51282049999998</v>
      </c>
      <c r="BM27" s="16">
        <f>IF(ISNA(VLOOKUP(A27,'Données projet'!$A$87:$I$107,5,0)),0%,VLOOKUP(A27,'Données projet'!$A$87:$I$107,5,0)*VLOOKUP('Données projet'!$B$11,Paramètres!$A$1:$I$89,7,0))</f>
        <v>0.46199999999999997</v>
      </c>
      <c r="BN27" s="16">
        <f>IF(ISNA(VLOOKUP(A27,'Données projet'!$A$87:$I$107,6,0)),0%,VLOOKUP(A27,'Données projet'!$A$87:$I$107,6,0)*VLOOKUP('Données projet'!$B$11,Paramètres!$A$1:$I$89,7,0))</f>
        <v>0.126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72.012551460654919</v>
      </c>
      <c r="BQ27" s="21">
        <f>EXP(-LN(2)/25)*BQ26+(1-EXP(-LN(2)/25))/(LN(2)/25)*Calculateur!BL27*Calculateur!BN27*VLOOKUP('Données projet'!$B$11,Paramètres!$A$1:$I$89,3,0)*0.475*44/12</f>
        <v>19.562457438169371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91.575008898824294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59.858625172419771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7.9999999999999982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4.0628205128205126</v>
      </c>
      <c r="BY27" s="12">
        <f>IF('Données projet'!$A$114&gt;35,BY26+BX27-CG26,IF(A27&lt;'Données projet'!$A$114,$BV$205^A27,IF(A27='Données projet'!$A$114,'Données projet'!$B$114,BY26+BX27-CG26)))</f>
        <v>46.640061345320483</v>
      </c>
      <c r="BZ27" s="13">
        <f>BY27*VLOOKUP('Données projet'!$B$12,Paramètres!$A$1:$I$89,3,0)*VLOOKUP('Données projet'!$B$12,Paramètres!$A$1:$I$89,5,0)</f>
        <v>42.199927505245967</v>
      </c>
      <c r="CA27" s="13">
        <f t="shared" si="39"/>
        <v>12.579908645827834</v>
      </c>
      <c r="CB27" s="20">
        <f t="shared" si="10"/>
        <v>95.408214629786869</v>
      </c>
      <c r="CC27" s="59">
        <f t="shared" si="11"/>
        <v>344.22317359532599</v>
      </c>
      <c r="CD27" s="59">
        <f ca="1">AVERAGE(OFFSET($CC$3,0,0,'Données projet'!$E$12+1,1))-AVERAGE(OFFSET($H$3,0,0,'Données projet'!$E$12+1,1))</f>
        <v>553.16421218123958</v>
      </c>
      <c r="CE27" s="59">
        <f t="shared" si="40"/>
        <v>291.73668613844416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59.858625172419771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7.9999999999999982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4.0628205128205126</v>
      </c>
      <c r="CT27" s="12">
        <f>IF('Données projet'!$A$140&gt;35,CT26+CS27-DB26,IF(A27&lt;'Données projet'!$A$140,$CQ$205^A27,IF(A27='Données projet'!$A$140,'Données projet'!$B$140,CT26+CS27-DB26)))</f>
        <v>46.640061345320483</v>
      </c>
      <c r="CU27" s="17">
        <f>CT27*VLOOKUP('Données projet'!$B$13,Paramètres!$A$1:$I$89,3,0)*VLOOKUP('Données projet'!$B$13,Paramètres!$A$1:$I$89,5,0)</f>
        <v>47.293022204154973</v>
      </c>
      <c r="CV27" s="13">
        <f t="shared" si="41"/>
        <v>13.912422373299071</v>
      </c>
      <c r="CW27" s="20">
        <f t="shared" si="13"/>
        <v>106.5994826390658</v>
      </c>
      <c r="CX27" s="59">
        <f t="shared" si="14"/>
        <v>355.41444160460492</v>
      </c>
      <c r="CY27" s="59">
        <f ca="1">AVERAGE(OFFSET($CX$3,0,0,'Données projet'!$E$13+1,1))-AVERAGE(OFFSET($H$3,0,0,'Données projet'!$E$13+1,1))</f>
        <v>611.82989382187804</v>
      </c>
      <c r="CZ27" s="59">
        <f t="shared" si="42"/>
        <v>320.34124600136363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59.858625172419771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7.9999999999999982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4.0628205128205126</v>
      </c>
      <c r="DO27" s="12">
        <f>IF('Données projet'!$A$166&gt;35,DO26+DN27-DW26,IF(A27&lt;'Données projet'!$A$166,$DL$205^A27,IF(A27='Données projet'!$A$166,'Données projet'!$B$166,DO26+DN27-DW26)))</f>
        <v>46.640061345320483</v>
      </c>
      <c r="DP27" s="17">
        <f>DO27*VLOOKUP('Données projet'!$B$14,Paramètres!$A$1:$I$89,3,0)*VLOOKUP('Données projet'!$B$14,Paramètres!$A$1:$I$89,5,0)</f>
        <v>50.203362032102966</v>
      </c>
      <c r="DQ27" s="13">
        <f t="shared" si="43"/>
        <v>14.666266381853569</v>
      </c>
      <c r="DR27" s="20">
        <f t="shared" si="16"/>
        <v>112.98126948764094</v>
      </c>
      <c r="DS27" s="59">
        <f t="shared" si="17"/>
        <v>361.79622845318011</v>
      </c>
      <c r="DT27" s="59">
        <f ca="1">AVERAGE(OFFSET($DS$3,0,0,'Données projet'!$E$14+1,1))-AVERAGE(OFFSET($H$3,0,0,'Données projet'!$E$14+1,1))</f>
        <v>645.29541304800614</v>
      </c>
      <c r="DU27" s="59">
        <f t="shared" si="44"/>
        <v>336.65580771733323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59.858625172419771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7.9999999999999982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126.19999999999997</v>
      </c>
      <c r="EK27" s="17">
        <f>EJ27*VLOOKUP('Données projet'!$B$15,Paramètres!$A$1:$I$89,3,0)*VLOOKUP('Données projet'!$B$15,Paramètres!$A$1:$I$89,5,0)</f>
        <v>92.529839999999979</v>
      </c>
      <c r="EL27" s="13">
        <f t="shared" si="45"/>
        <v>25.174373611210889</v>
      </c>
      <c r="EM27" s="20">
        <f t="shared" si="19"/>
        <v>205.0015053728589</v>
      </c>
      <c r="EN27" s="59">
        <f t="shared" si="20"/>
        <v>453.81646433839808</v>
      </c>
      <c r="EO27" s="59">
        <f ca="1">AVERAGE(OFFSET($EN$3,0,0,'Données projet'!$E$15+1,1))-AVERAGE(OFFSET($H$3,0,0,'Données projet'!$E$15+1,1))</f>
        <v>343.31122043016137</v>
      </c>
      <c r="EP27" s="59">
        <f t="shared" si="46"/>
        <v>333.61098411258877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59.858625172419771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7.9999999999999982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126.19999999999997</v>
      </c>
      <c r="FF27" s="17">
        <f>FE27*VLOOKUP('Données projet'!$B$16,Paramètres!$A$1:$I$89,3,0)*VLOOKUP('Données projet'!$B$16,Paramètres!$A$1:$I$89,5,0)</f>
        <v>100.40472</v>
      </c>
      <c r="FG27" s="13">
        <f t="shared" si="47"/>
        <v>27.058393830330502</v>
      </c>
      <c r="FH27" s="20">
        <f t="shared" si="22"/>
        <v>221.99825658782561</v>
      </c>
      <c r="FI27" s="59">
        <f t="shared" si="23"/>
        <v>470.81321555336478</v>
      </c>
      <c r="FJ27" s="59">
        <f ca="1">AVERAGE(OFFSET($FI$3,0,0,'Données projet'!$E$16+1,1))-AVERAGE(OFFSET($H$3,0,0,'Données projet'!$E$16+1,1))</f>
        <v>368.12945163484585</v>
      </c>
      <c r="FK27" s="59">
        <f t="shared" si="48"/>
        <v>357.27183934545121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59.858625172419771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7.9999999999999982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59.858625172419771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7.9999999999999982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3.0869565217391299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11.318840579710143</v>
      </c>
      <c r="H28" s="66">
        <f t="shared" si="1"/>
        <v>211.39130434782609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60.034555352960787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4.8773333333333335</v>
      </c>
      <c r="N28" s="13">
        <f>IF('Données projet'!$A$36&gt;35,N27+M28-V27,IF(A28&lt;'Données projet'!$A$36,$K$205^A28,IF(A28='Données projet'!$A$36,'Données projet'!$B$36,N27+M28-V27)))</f>
        <v>63.74112785186194</v>
      </c>
      <c r="O28" s="13">
        <f>N28*VLOOKUP('Données projet'!$B$9,Paramètres!$A$1:$I$89,3,0)*VLOOKUP('Données projet'!$B$9,Paramètres!$A$1:$I$89,5,0)</f>
        <v>29.830847834671388</v>
      </c>
      <c r="P28" s="13">
        <f t="shared" si="33"/>
        <v>9.2590533440717326</v>
      </c>
      <c r="Q28" s="20">
        <f t="shared" si="2"/>
        <v>68.081577886310939</v>
      </c>
      <c r="R28" s="59">
        <f t="shared" si="0"/>
        <v>318.76383640272275</v>
      </c>
      <c r="S28" s="59">
        <f ca="1">AVERAGE(OFFSET($R$3,0,0,'Données projet'!$E$9+1,1))-AVERAGE(OFFSET($H$3,0,0,'Données projet'!$E$9+1,1))</f>
        <v>320.30433416149219</v>
      </c>
      <c r="T28" s="59">
        <f t="shared" si="34"/>
        <v>201.33422682092797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60.034555352960787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AF28" s="12">
        <f>VLOOKUP(A28,'Données projet'!$A$61:$I$81,2,0)</f>
        <v>281</v>
      </c>
      <c r="AG28" s="12">
        <f>VLOOKUP(A28,'Données projet'!$A$61:$I$81,9,0)</f>
        <v>25</v>
      </c>
      <c r="AH28" s="12">
        <f t="array" ref="AH28">INDEX(AG:AG,MIN(IF(ISNUMBER(AG28:AG224),ROW(AG28:AG224),"")))</f>
        <v>25</v>
      </c>
      <c r="AI28" s="13">
        <f>IF('Données projet'!$A$62&gt;35,AI27+AH28-AQ27,IF(A28&lt;'Données projet'!$A$62,$AF$205^A28,IF(A28='Données projet'!$A$62,'Données projet'!$B$62,AI27+AH28-AQ27)))</f>
        <v>281</v>
      </c>
      <c r="AJ28" s="13">
        <f>AI28*VLOOKUP('Données projet'!$B$10,Paramètres!$A$1:$I$89,3,0)*VLOOKUP('Données projet'!$B$10,Paramètres!$A$1:$I$89,5,0)</f>
        <v>168.03800000000004</v>
      </c>
      <c r="AK28" s="13">
        <f t="shared" si="35"/>
        <v>42.650304418351887</v>
      </c>
      <c r="AL28" s="20">
        <f t="shared" si="4"/>
        <v>366.94879686196288</v>
      </c>
      <c r="AM28" s="59">
        <f t="shared" si="5"/>
        <v>617.63105537837464</v>
      </c>
      <c r="AN28" s="59">
        <f ca="1">AVERAGE(OFFSET($AM$3,0,0,'Données projet'!$E$10+1,1))-AVERAGE(OFFSET($H$3,0,0,'Données projet'!$E$10+1,1))</f>
        <v>569.80473816957431</v>
      </c>
      <c r="AO28" s="59">
        <f t="shared" si="36"/>
        <v>495.56567790763199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70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0.45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46.558200718231816</v>
      </c>
      <c r="AW28" s="21">
        <f>EXP(-LN(2)/2)*AW27+(1-EXP(-LN(2)/2))/(LN(2)/2)*AQ28*AT28*VLOOKUP('Données projet'!$B$10,Paramètres!$A$1:$I$89,3,0)*0.475*44/12</f>
        <v>0.44433041226054287</v>
      </c>
      <c r="AX28" s="21">
        <f t="shared" si="6"/>
        <v>47.002531130492358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60.034555352960787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-5.6843418860808015E-14</v>
      </c>
      <c r="BE28" s="13">
        <f>BD28*VLOOKUP('Données projet'!$B$11,Paramètres!$A$1:$I$89,3,0)*VLOOKUP('Données projet'!$B$11,Paramètres!$A$1:$I$89,5,0)</f>
        <v>-2.5006556825246661E-14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180.42749272334603</v>
      </c>
      <c r="BJ28" s="59">
        <f t="shared" si="38"/>
        <v>346.61476512497495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70.600429249830796</v>
      </c>
      <c r="BQ28" s="21">
        <f>EXP(-LN(2)/25)*BQ27+(1-EXP(-LN(2)/25))/(LN(2)/25)*Calculateur!BL28*Calculateur!BN28*VLOOKUP('Données projet'!$B$11,Paramètres!$A$1:$I$89,3,0)*0.475*44/12</f>
        <v>19.027521010777704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89.6279502606085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60.034555352960787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4.0628205128205126</v>
      </c>
      <c r="BY28" s="12">
        <f>IF('Données projet'!$A$114&gt;35,BY27+BX28-CG27,IF(A28&lt;'Données projet'!$A$114,$BV$205^A28,IF(A28='Données projet'!$A$114,'Données projet'!$B$114,BY27+BX28-CG27)))</f>
        <v>54.738229068051083</v>
      </c>
      <c r="BZ28" s="13">
        <f>BY28*VLOOKUP('Données projet'!$B$12,Paramètres!$A$1:$I$89,3,0)*VLOOKUP('Données projet'!$B$12,Paramètres!$A$1:$I$89,5,0)</f>
        <v>49.527149660772622</v>
      </c>
      <c r="CA28" s="13">
        <f t="shared" si="39"/>
        <v>14.49157655143614</v>
      </c>
      <c r="CB28" s="20">
        <f t="shared" si="10"/>
        <v>111.49928148626357</v>
      </c>
      <c r="CC28" s="59">
        <f t="shared" si="11"/>
        <v>362.18154000267538</v>
      </c>
      <c r="CD28" s="59">
        <f ca="1">AVERAGE(OFFSET($CC$3,0,0,'Données projet'!$E$12+1,1))-AVERAGE(OFFSET($H$3,0,0,'Données projet'!$E$12+1,1))</f>
        <v>553.16421218123958</v>
      </c>
      <c r="CE28" s="59">
        <f t="shared" si="40"/>
        <v>291.73668613844416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60.034555352960787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4.0628205128205126</v>
      </c>
      <c r="CT28" s="12">
        <f>IF('Données projet'!$A$140&gt;35,CT27+CS28-DB27,IF(A28&lt;'Données projet'!$A$140,$CQ$205^A28,IF(A28='Données projet'!$A$140,'Données projet'!$B$140,CT27+CS28-DB27)))</f>
        <v>54.738229068051083</v>
      </c>
      <c r="CU28" s="17">
        <f>CT28*VLOOKUP('Données projet'!$B$13,Paramètres!$A$1:$I$89,3,0)*VLOOKUP('Données projet'!$B$13,Paramètres!$A$1:$I$89,5,0)</f>
        <v>55.504564275003808</v>
      </c>
      <c r="CV28" s="13">
        <f t="shared" si="41"/>
        <v>16.026581711739372</v>
      </c>
      <c r="CW28" s="20">
        <f t="shared" si="13"/>
        <v>124.58341259357769</v>
      </c>
      <c r="CX28" s="59">
        <f t="shared" si="14"/>
        <v>375.26567110998951</v>
      </c>
      <c r="CY28" s="59">
        <f ca="1">AVERAGE(OFFSET($CX$3,0,0,'Données projet'!$E$13+1,1))-AVERAGE(OFFSET($H$3,0,0,'Données projet'!$E$13+1,1))</f>
        <v>611.82989382187804</v>
      </c>
      <c r="CZ28" s="59">
        <f t="shared" si="42"/>
        <v>320.34124600136363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60.034555352960787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4.0628205128205126</v>
      </c>
      <c r="DO28" s="12">
        <f>IF('Données projet'!$A$166&gt;35,DO27+DN28-DW27,IF(A28&lt;'Données projet'!$A$166,$DL$205^A28,IF(A28='Données projet'!$A$166,'Données projet'!$B$166,DO27+DN28-DW27)))</f>
        <v>54.738229068051083</v>
      </c>
      <c r="DP28" s="17">
        <f>DO28*VLOOKUP('Données projet'!$B$14,Paramètres!$A$1:$I$89,3,0)*VLOOKUP('Données projet'!$B$14,Paramètres!$A$1:$I$89,5,0)</f>
        <v>58.920229768850184</v>
      </c>
      <c r="DQ28" s="13">
        <f t="shared" si="43"/>
        <v>16.894981353213087</v>
      </c>
      <c r="DR28" s="20">
        <f t="shared" si="16"/>
        <v>132.04482603759354</v>
      </c>
      <c r="DS28" s="59">
        <f t="shared" si="17"/>
        <v>382.72708455400533</v>
      </c>
      <c r="DT28" s="59">
        <f ca="1">AVERAGE(OFFSET($DS$3,0,0,'Données projet'!$E$14+1,1))-AVERAGE(OFFSET($H$3,0,0,'Données projet'!$E$14+1,1))</f>
        <v>645.29541304800614</v>
      </c>
      <c r="DU28" s="59">
        <f t="shared" si="44"/>
        <v>336.65580771733323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60.034555352960787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EG28" s="12">
        <f>VLOOKUP(A28,'Données projet'!$A$191:$I$211,2,0)</f>
        <v>141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140.99999999999997</v>
      </c>
      <c r="EK28" s="17">
        <f>EJ28*VLOOKUP('Données projet'!$B$15,Paramètres!$A$1:$I$89,3,0)*VLOOKUP('Données projet'!$B$15,Paramètres!$A$1:$I$89,5,0)</f>
        <v>103.38119999999998</v>
      </c>
      <c r="EL28" s="13">
        <f t="shared" si="45"/>
        <v>27.765956260923325</v>
      </c>
      <c r="EM28" s="20">
        <f t="shared" si="19"/>
        <v>228.41463048777476</v>
      </c>
      <c r="EN28" s="59">
        <f t="shared" si="20"/>
        <v>479.09688900418655</v>
      </c>
      <c r="EO28" s="59">
        <f ca="1">AVERAGE(OFFSET($EN$3,0,0,'Données projet'!$E$15+1,1))-AVERAGE(OFFSET($H$3,0,0,'Données projet'!$E$15+1,1))</f>
        <v>343.31122043016137</v>
      </c>
      <c r="EP28" s="59">
        <f t="shared" si="46"/>
        <v>333.61098411258877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60.034555352960787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FB28" s="12">
        <f>VLOOKUP(A28,'Données projet'!$A$217:$I$237,2,0)</f>
        <v>141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140.99999999999997</v>
      </c>
      <c r="FF28" s="17">
        <f>FE28*VLOOKUP('Données projet'!$B$16,Paramètres!$A$1:$I$89,3,0)*VLOOKUP('Données projet'!$B$16,Paramètres!$A$1:$I$89,5,0)</f>
        <v>112.17959999999998</v>
      </c>
      <c r="FG28" s="13">
        <f t="shared" si="47"/>
        <v>29.8439274472838</v>
      </c>
      <c r="FH28" s="20">
        <f t="shared" si="22"/>
        <v>247.35764363735257</v>
      </c>
      <c r="FI28" s="59">
        <f t="shared" si="23"/>
        <v>498.03990215376439</v>
      </c>
      <c r="FJ28" s="59">
        <f ca="1">AVERAGE(OFFSET($FI$3,0,0,'Données projet'!$E$16+1,1))-AVERAGE(OFFSET($H$3,0,0,'Données projet'!$E$16+1,1))</f>
        <v>368.12945163484585</v>
      </c>
      <c r="FK28" s="59">
        <f t="shared" si="48"/>
        <v>357.27183934545121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60.034555352960787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60.034555352960787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3.0869565217391299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11.318840579710143</v>
      </c>
      <c r="H29" s="66">
        <f t="shared" si="1"/>
        <v>211.39130434782609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60.207433538190379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4.8773333333333335</v>
      </c>
      <c r="N29" s="13">
        <f>IF('Données projet'!$A$36&gt;35,N28+M29-V28,IF(A29&lt;'Données projet'!$A$36,$K$205^A29,IF(A29='Données projet'!$A$36,'Données projet'!$B$36,N28+M29-V28)))</f>
        <v>75.265600935153429</v>
      </c>
      <c r="O29" s="13">
        <f>N29*VLOOKUP('Données projet'!$B$9,Paramètres!$A$1:$I$89,3,0)*VLOOKUP('Données projet'!$B$9,Paramètres!$A$1:$I$89,5,0)</f>
        <v>35.224301237651801</v>
      </c>
      <c r="P29" s="13">
        <f t="shared" si="33"/>
        <v>10.723634361125281</v>
      </c>
      <c r="Q29" s="20">
        <f t="shared" si="2"/>
        <v>80.025987834536735</v>
      </c>
      <c r="R29" s="59">
        <f t="shared" si="0"/>
        <v>332.56435525234588</v>
      </c>
      <c r="S29" s="59">
        <f ca="1">AVERAGE(OFFSET($R$3,0,0,'Données projet'!$E$9+1,1))-AVERAGE(OFFSET($H$3,0,0,'Données projet'!$E$9+1,1))</f>
        <v>320.30433416149219</v>
      </c>
      <c r="T29" s="59">
        <f t="shared" si="34"/>
        <v>201.33422682092797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60.207433538190379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26.6</v>
      </c>
      <c r="AI29" s="13">
        <f>IF('Données projet'!$A$62&gt;35,AI28+AH29-AQ28,IF(A29&lt;'Données projet'!$A$62,$AF$205^A29,IF(A29='Données projet'!$A$62,'Données projet'!$B$62,AI28+AH29-AQ28)))</f>
        <v>237.60000000000002</v>
      </c>
      <c r="AJ29" s="13">
        <f>AI29*VLOOKUP('Données projet'!$B$10,Paramètres!$A$1:$I$89,3,0)*VLOOKUP('Données projet'!$B$10,Paramètres!$A$1:$I$89,5,0)</f>
        <v>142.08480000000003</v>
      </c>
      <c r="AK29" s="13">
        <f t="shared" si="35"/>
        <v>36.774192249654888</v>
      </c>
      <c r="AL29" s="20">
        <f t="shared" si="4"/>
        <v>311.51274483481569</v>
      </c>
      <c r="AM29" s="59">
        <f t="shared" si="5"/>
        <v>564.05111225262488</v>
      </c>
      <c r="AN29" s="59">
        <f ca="1">AVERAGE(OFFSET($AM$3,0,0,'Données projet'!$E$10+1,1))-AVERAGE(OFFSET($H$3,0,0,'Données projet'!$E$10+1,1))</f>
        <v>569.80473816957431</v>
      </c>
      <c r="AO29" s="59">
        <f t="shared" si="36"/>
        <v>495.56567790763199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45.285064271202401</v>
      </c>
      <c r="AW29" s="21">
        <f>EXP(-LN(2)/2)*AW28+(1-EXP(-LN(2)/2))/(LN(2)/2)*AQ29*AT29*VLOOKUP('Données projet'!$B$10,Paramètres!$A$1:$I$89,3,0)*0.475*44/12</f>
        <v>0.31418904759684418</v>
      </c>
      <c r="AX29" s="21">
        <f t="shared" si="6"/>
        <v>45.599253318799242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60.207433538190379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-5.6843418860808015E-14</v>
      </c>
      <c r="BE29" s="13">
        <f>BD29*VLOOKUP('Données projet'!$B$11,Paramètres!$A$1:$I$89,3,0)*VLOOKUP('Données projet'!$B$11,Paramètres!$A$1:$I$89,5,0)</f>
        <v>-2.5006556825246661E-14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180.42749272334603</v>
      </c>
      <c r="BJ29" s="59">
        <f t="shared" si="38"/>
        <v>346.61476512497495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69.21599789425143</v>
      </c>
      <c r="BQ29" s="21">
        <f>EXP(-LN(2)/25)*BQ28+(1-EXP(-LN(2)/25))/(LN(2)/25)*Calculateur!BL29*Calculateur!BN29*VLOOKUP('Données projet'!$B$11,Paramètres!$A$1:$I$89,3,0)*0.475*44/12</f>
        <v>18.507212448124147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87.72321034237558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60.207433538190379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4.0628205128205126</v>
      </c>
      <c r="BY29" s="12">
        <f>IF('Données projet'!$A$114&gt;35,BY28+BX29-CG28,IF(A29&lt;'Données projet'!$A$114,$BV$205^A29,IF(A29='Données projet'!$A$114,'Données projet'!$B$114,BY28+BX29-CG28)))</f>
        <v>64.242491006222849</v>
      </c>
      <c r="BZ29" s="13">
        <f>BY29*VLOOKUP('Données projet'!$B$12,Paramètres!$A$1:$I$89,3,0)*VLOOKUP('Données projet'!$B$12,Paramètres!$A$1:$I$89,5,0)</f>
        <v>58.126605862430431</v>
      </c>
      <c r="CA29" s="13">
        <f t="shared" si="39"/>
        <v>16.69374530917462</v>
      </c>
      <c r="CB29" s="20">
        <f t="shared" si="10"/>
        <v>130.31211162387879</v>
      </c>
      <c r="CC29" s="59">
        <f t="shared" si="11"/>
        <v>382.85047904168795</v>
      </c>
      <c r="CD29" s="59">
        <f ca="1">AVERAGE(OFFSET($CC$3,0,0,'Données projet'!$E$12+1,1))-AVERAGE(OFFSET($H$3,0,0,'Données projet'!$E$12+1,1))</f>
        <v>553.16421218123958</v>
      </c>
      <c r="CE29" s="59">
        <f t="shared" si="40"/>
        <v>291.73668613844416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60.207433538190379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4.0628205128205126</v>
      </c>
      <c r="CT29" s="12">
        <f>IF('Données projet'!$A$140&gt;35,CT28+CS29-DB28,IF(A29&lt;'Données projet'!$A$140,$CQ$205^A29,IF(A29='Données projet'!$A$140,'Données projet'!$B$140,CT28+CS29-DB28)))</f>
        <v>64.242491006222849</v>
      </c>
      <c r="CU29" s="17">
        <f>CT29*VLOOKUP('Données projet'!$B$13,Paramètres!$A$1:$I$89,3,0)*VLOOKUP('Données projet'!$B$13,Paramètres!$A$1:$I$89,5,0)</f>
        <v>65.141885880309971</v>
      </c>
      <c r="CV29" s="13">
        <f t="shared" si="41"/>
        <v>18.462012902656809</v>
      </c>
      <c r="CW29" s="20">
        <f t="shared" si="13"/>
        <v>145.61012371366715</v>
      </c>
      <c r="CX29" s="59">
        <f t="shared" si="14"/>
        <v>398.14849113147631</v>
      </c>
      <c r="CY29" s="59">
        <f ca="1">AVERAGE(OFFSET($CX$3,0,0,'Données projet'!$E$13+1,1))-AVERAGE(OFFSET($H$3,0,0,'Données projet'!$E$13+1,1))</f>
        <v>611.82989382187804</v>
      </c>
      <c r="CZ29" s="59">
        <f t="shared" si="42"/>
        <v>320.34124600136363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60.207433538190379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4.0628205128205126</v>
      </c>
      <c r="DO29" s="12">
        <f>IF('Données projet'!$A$166&gt;35,DO28+DN29-DW28,IF(A29&lt;'Données projet'!$A$166,$DL$205^A29,IF(A29='Données projet'!$A$166,'Données projet'!$B$166,DO28+DN29-DW28)))</f>
        <v>64.242491006222849</v>
      </c>
      <c r="DP29" s="17">
        <f>DO29*VLOOKUP('Données projet'!$B$14,Paramètres!$A$1:$I$89,3,0)*VLOOKUP('Données projet'!$B$14,Paramètres!$A$1:$I$89,5,0)</f>
        <v>69.150617319098274</v>
      </c>
      <c r="DQ29" s="13">
        <f t="shared" si="43"/>
        <v>19.462376278572883</v>
      </c>
      <c r="DR29" s="20">
        <f t="shared" si="16"/>
        <v>154.33429718261061</v>
      </c>
      <c r="DS29" s="59">
        <f t="shared" si="17"/>
        <v>406.87266460041974</v>
      </c>
      <c r="DT29" s="59">
        <f ca="1">AVERAGE(OFFSET($DS$3,0,0,'Données projet'!$E$14+1,1))-AVERAGE(OFFSET($H$3,0,0,'Données projet'!$E$14+1,1))</f>
        <v>645.29541304800614</v>
      </c>
      <c r="DU29" s="59">
        <f t="shared" si="44"/>
        <v>336.65580771733323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60.207433538190379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120.19999999999996</v>
      </c>
      <c r="EK29" s="17">
        <f>EJ29*VLOOKUP('Données projet'!$B$15,Paramètres!$A$1:$I$89,3,0)*VLOOKUP('Données projet'!$B$15,Paramètres!$A$1:$I$89,5,0)</f>
        <v>88.130639999999971</v>
      </c>
      <c r="EL29" s="13">
        <f t="shared" si="45"/>
        <v>24.113831111728981</v>
      </c>
      <c r="EM29" s="20">
        <f t="shared" si="19"/>
        <v>195.49245385292792</v>
      </c>
      <c r="EN29" s="59">
        <f t="shared" si="20"/>
        <v>448.03082127073708</v>
      </c>
      <c r="EO29" s="59">
        <f ca="1">AVERAGE(OFFSET($EN$3,0,0,'Données projet'!$E$15+1,1))-AVERAGE(OFFSET($H$3,0,0,'Données projet'!$E$15+1,1))</f>
        <v>343.31122043016137</v>
      </c>
      <c r="EP29" s="59">
        <f t="shared" si="46"/>
        <v>333.61098411258877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60.207433538190379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120.19999999999996</v>
      </c>
      <c r="FF29" s="17">
        <f>FE29*VLOOKUP('Données projet'!$B$16,Paramètres!$A$1:$I$89,3,0)*VLOOKUP('Données projet'!$B$16,Paramètres!$A$1:$I$89,5,0)</f>
        <v>95.631119999999967</v>
      </c>
      <c r="FG29" s="13">
        <f t="shared" si="47"/>
        <v>25.918481589892234</v>
      </c>
      <c r="FH29" s="20">
        <f t="shared" si="22"/>
        <v>211.69888943572892</v>
      </c>
      <c r="FI29" s="59">
        <f t="shared" si="23"/>
        <v>464.23725685353804</v>
      </c>
      <c r="FJ29" s="59">
        <f ca="1">AVERAGE(OFFSET($FI$3,0,0,'Données projet'!$E$16+1,1))-AVERAGE(OFFSET($H$3,0,0,'Données projet'!$E$16+1,1))</f>
        <v>368.12945163484585</v>
      </c>
      <c r="FK29" s="59">
        <f t="shared" si="48"/>
        <v>357.27183934545121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60.207433538190379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60.207433538190379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3.0869565217391299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11.318840579710143</v>
      </c>
      <c r="H30" s="66">
        <f t="shared" si="1"/>
        <v>211.39130434782609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60.377312673403964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4.8773333333333335</v>
      </c>
      <c r="N30" s="13">
        <f>IF('Données projet'!$A$36&gt;35,N29+M30-V29,IF(A30&lt;'Données projet'!$A$36,$K$205^A30,IF(A30='Données projet'!$A$36,'Données projet'!$B$36,N29+M30-V29)))</f>
        <v>88.873712703913057</v>
      </c>
      <c r="O30" s="13">
        <f>N30*VLOOKUP('Données projet'!$B$9,Paramètres!$A$1:$I$89,3,0)*VLOOKUP('Données projet'!$B$9,Paramètres!$A$1:$I$89,5,0)</f>
        <v>41.592897545431306</v>
      </c>
      <c r="P30" s="13">
        <f t="shared" si="33"/>
        <v>12.419880266132731</v>
      </c>
      <c r="Q30" s="20">
        <f t="shared" si="2"/>
        <v>94.072254688474018</v>
      </c>
      <c r="R30" s="59">
        <f t="shared" si="0"/>
        <v>348.45573449095525</v>
      </c>
      <c r="S30" s="59">
        <f ca="1">AVERAGE(OFFSET($R$3,0,0,'Données projet'!$E$9+1,1))-AVERAGE(OFFSET($H$3,0,0,'Données projet'!$E$9+1,1))</f>
        <v>320.30433416149219</v>
      </c>
      <c r="T30" s="59">
        <f t="shared" si="34"/>
        <v>201.33422682092797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60.377312673403964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26.6</v>
      </c>
      <c r="AI30" s="13">
        <f>IF('Données projet'!$A$62&gt;35,AI29+AH30-AQ29,IF(A30&lt;'Données projet'!$A$62,$AF$205^A30,IF(A30='Données projet'!$A$62,'Données projet'!$B$62,AI29+AH30-AQ29)))</f>
        <v>264.20000000000005</v>
      </c>
      <c r="AJ30" s="13">
        <f>AI30*VLOOKUP('Données projet'!$B$10,Paramètres!$A$1:$I$89,3,0)*VLOOKUP('Données projet'!$B$10,Paramètres!$A$1:$I$89,5,0)</f>
        <v>157.99160000000003</v>
      </c>
      <c r="AK30" s="13">
        <f t="shared" si="35"/>
        <v>40.389182682530297</v>
      </c>
      <c r="AL30" s="20">
        <f t="shared" si="4"/>
        <v>345.513196505407</v>
      </c>
      <c r="AM30" s="59">
        <f t="shared" si="5"/>
        <v>599.89667630788824</v>
      </c>
      <c r="AN30" s="59">
        <f ca="1">AVERAGE(OFFSET($AM$3,0,0,'Données projet'!$E$10+1,1))-AVERAGE(OFFSET($H$3,0,0,'Données projet'!$E$10+1,1))</f>
        <v>569.80473816957431</v>
      </c>
      <c r="AO30" s="59">
        <f t="shared" si="36"/>
        <v>495.56567790763199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44.04674180726834</v>
      </c>
      <c r="AW30" s="21">
        <f>EXP(-LN(2)/2)*AW29+(1-EXP(-LN(2)/2))/(LN(2)/2)*AQ30*AT30*VLOOKUP('Données projet'!$B$10,Paramètres!$A$1:$I$89,3,0)*0.475*44/12</f>
        <v>0.22216520613027149</v>
      </c>
      <c r="AX30" s="21">
        <f t="shared" si="6"/>
        <v>44.268907013398611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60.377312673403964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-5.6843418860808015E-14</v>
      </c>
      <c r="BE30" s="13">
        <f>BD30*VLOOKUP('Données projet'!$B$11,Paramètres!$A$1:$I$89,3,0)*VLOOKUP('Données projet'!$B$11,Paramètres!$A$1:$I$89,5,0)</f>
        <v>-2.5006556825246661E-14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180.42749272334603</v>
      </c>
      <c r="BJ30" s="59">
        <f t="shared" si="38"/>
        <v>346.61476512497495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67.85871439313523</v>
      </c>
      <c r="BQ30" s="21">
        <f>EXP(-LN(2)/25)*BQ29+(1-EXP(-LN(2)/25))/(LN(2)/25)*Calculateur!BL30*Calculateur!BN30*VLOOKUP('Données projet'!$B$11,Paramètres!$A$1:$I$89,3,0)*0.475*44/12</f>
        <v>18.001131750478187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85.859846143613424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60.377312673403964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4.0628205128205126</v>
      </c>
      <c r="BY30" s="12">
        <f>IF('Données projet'!$A$114&gt;35,BY29+BX30-CG29,IF(A30&lt;'Données projet'!$A$114,$BV$205^A30,IF(A30='Données projet'!$A$114,'Données projet'!$B$114,BY29+BX30-CG29)))</f>
        <v>75.396988922564091</v>
      </c>
      <c r="BZ30" s="13">
        <f>BY30*VLOOKUP('Données projet'!$B$12,Paramètres!$A$1:$I$89,3,0)*VLOOKUP('Données projet'!$B$12,Paramètres!$A$1:$I$89,5,0)</f>
        <v>68.219195577135991</v>
      </c>
      <c r="CA30" s="13">
        <f t="shared" si="39"/>
        <v>19.230560005562129</v>
      </c>
      <c r="CB30" s="20">
        <f t="shared" si="10"/>
        <v>152.30832430653254</v>
      </c>
      <c r="CC30" s="59">
        <f t="shared" si="11"/>
        <v>406.69180410901379</v>
      </c>
      <c r="CD30" s="59">
        <f ca="1">AVERAGE(OFFSET($CC$3,0,0,'Données projet'!$E$12+1,1))-AVERAGE(OFFSET($H$3,0,0,'Données projet'!$E$12+1,1))</f>
        <v>553.16421218123958</v>
      </c>
      <c r="CE30" s="59">
        <f t="shared" si="40"/>
        <v>291.73668613844416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60.377312673403964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4.0628205128205126</v>
      </c>
      <c r="CT30" s="12">
        <f>IF('Données projet'!$A$140&gt;35,CT29+CS30-DB29,IF(A30&lt;'Données projet'!$A$140,$CQ$205^A30,IF(A30='Données projet'!$A$140,'Données projet'!$B$140,CT29+CS30-DB29)))</f>
        <v>75.396988922564091</v>
      </c>
      <c r="CU30" s="17">
        <f>CT30*VLOOKUP('Données projet'!$B$13,Paramètres!$A$1:$I$89,3,0)*VLOOKUP('Données projet'!$B$13,Paramètres!$A$1:$I$89,5,0)</f>
        <v>76.452546767480001</v>
      </c>
      <c r="CV30" s="13">
        <f t="shared" si="41"/>
        <v>21.267537054904178</v>
      </c>
      <c r="CW30" s="20">
        <f t="shared" si="13"/>
        <v>170.19581265731912</v>
      </c>
      <c r="CX30" s="59">
        <f t="shared" si="14"/>
        <v>424.57929245980034</v>
      </c>
      <c r="CY30" s="59">
        <f ca="1">AVERAGE(OFFSET($CX$3,0,0,'Données projet'!$E$13+1,1))-AVERAGE(OFFSET($H$3,0,0,'Données projet'!$E$13+1,1))</f>
        <v>611.82989382187804</v>
      </c>
      <c r="CZ30" s="59">
        <f t="shared" si="42"/>
        <v>320.34124600136363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60.377312673403964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4.0628205128205126</v>
      </c>
      <c r="DO30" s="12">
        <f>IF('Données projet'!$A$166&gt;35,DO29+DN30-DW29,IF(A30&lt;'Données projet'!$A$166,$DL$205^A30,IF(A30='Données projet'!$A$166,'Données projet'!$B$166,DO29+DN30-DW29)))</f>
        <v>75.396988922564091</v>
      </c>
      <c r="DP30" s="17">
        <f>DO30*VLOOKUP('Données projet'!$B$14,Paramètres!$A$1:$I$89,3,0)*VLOOKUP('Données projet'!$B$14,Paramètres!$A$1:$I$89,5,0)</f>
        <v>81.157318876247984</v>
      </c>
      <c r="DQ30" s="13">
        <f t="shared" si="43"/>
        <v>22.41991763647134</v>
      </c>
      <c r="DR30" s="20">
        <f t="shared" si="16"/>
        <v>180.39702025965281</v>
      </c>
      <c r="DS30" s="59">
        <f t="shared" si="17"/>
        <v>434.78050006213402</v>
      </c>
      <c r="DT30" s="59">
        <f ca="1">AVERAGE(OFFSET($DS$3,0,0,'Données projet'!$E$14+1,1))-AVERAGE(OFFSET($H$3,0,0,'Données projet'!$E$14+1,1))</f>
        <v>645.29541304800614</v>
      </c>
      <c r="DU30" s="59">
        <f t="shared" si="44"/>
        <v>336.65580771733323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60.377312673403964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134.39999999999995</v>
      </c>
      <c r="EK30" s="17">
        <f>EJ30*VLOOKUP('Données projet'!$B$15,Paramètres!$A$1:$I$89,3,0)*VLOOKUP('Données projet'!$B$15,Paramètres!$A$1:$I$89,5,0)</f>
        <v>98.542079999999956</v>
      </c>
      <c r="EL30" s="13">
        <f t="shared" si="45"/>
        <v>26.614371888975242</v>
      </c>
      <c r="EM30" s="20">
        <f t="shared" si="19"/>
        <v>217.98082037329846</v>
      </c>
      <c r="EN30" s="59">
        <f t="shared" si="20"/>
        <v>472.3643001757797</v>
      </c>
      <c r="EO30" s="59">
        <f ca="1">AVERAGE(OFFSET($EN$3,0,0,'Données projet'!$E$15+1,1))-AVERAGE(OFFSET($H$3,0,0,'Données projet'!$E$15+1,1))</f>
        <v>343.31122043016137</v>
      </c>
      <c r="EP30" s="59">
        <f t="shared" si="46"/>
        <v>333.61098411258877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60.377312673403964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134.39999999999995</v>
      </c>
      <c r="FF30" s="17">
        <f>FE30*VLOOKUP('Données projet'!$B$16,Paramètres!$A$1:$I$89,3,0)*VLOOKUP('Données projet'!$B$16,Paramètres!$A$1:$I$89,5,0)</f>
        <v>106.92863999999996</v>
      </c>
      <c r="FG30" s="13">
        <f t="shared" si="47"/>
        <v>28.606159868782917</v>
      </c>
      <c r="FH30" s="20">
        <f t="shared" si="22"/>
        <v>236.05644310479681</v>
      </c>
      <c r="FI30" s="59">
        <f t="shared" si="23"/>
        <v>490.43992290727806</v>
      </c>
      <c r="FJ30" s="59">
        <f ca="1">AVERAGE(OFFSET($FI$3,0,0,'Données projet'!$E$16+1,1))-AVERAGE(OFFSET($H$3,0,0,'Données projet'!$E$16+1,1))</f>
        <v>368.12945163484585</v>
      </c>
      <c r="FK30" s="59">
        <f t="shared" si="48"/>
        <v>357.27183934545121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60.377312673403964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60.377312673403964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3.0869565217391299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11.318840579710143</v>
      </c>
      <c r="H31" s="66">
        <f t="shared" si="1"/>
        <v>211.39130434782609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60.544244785414442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4.8773333333333335</v>
      </c>
      <c r="N31" s="13">
        <f>IF('Données projet'!$A$36&gt;35,N30+M31-V30,IF(A31&lt;'Données projet'!$A$36,$K$205^A31,IF(A31='Données projet'!$A$36,'Données projet'!$B$36,N30+M31-V30)))</f>
        <v>104.94218755501358</v>
      </c>
      <c r="O31" s="13">
        <f>N31*VLOOKUP('Données projet'!$B$9,Paramètres!$A$1:$I$89,3,0)*VLOOKUP('Données projet'!$B$9,Paramètres!$A$1:$I$89,5,0)</f>
        <v>49.112943775746352</v>
      </c>
      <c r="P31" s="13">
        <f t="shared" si="33"/>
        <v>14.384435409721176</v>
      </c>
      <c r="Q31" s="20">
        <f t="shared" si="2"/>
        <v>110.59126874802261</v>
      </c>
      <c r="R31" s="59">
        <f t="shared" si="0"/>
        <v>366.80905518343116</v>
      </c>
      <c r="S31" s="59">
        <f ca="1">AVERAGE(OFFSET($R$3,0,0,'Données projet'!$E$9+1,1))-AVERAGE(OFFSET($H$3,0,0,'Données projet'!$E$9+1,1))</f>
        <v>320.30433416149219</v>
      </c>
      <c r="T31" s="59">
        <f t="shared" si="34"/>
        <v>201.33422682092797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60.544244785414442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26.6</v>
      </c>
      <c r="AI31" s="13">
        <f>IF('Données projet'!$A$62&gt;35,AI30+AH31-AQ30,IF(A31&lt;'Données projet'!$A$62,$AF$205^A31,IF(A31='Données projet'!$A$62,'Données projet'!$B$62,AI30+AH31-AQ30)))</f>
        <v>290.80000000000007</v>
      </c>
      <c r="AJ31" s="13">
        <f>AI31*VLOOKUP('Données projet'!$B$10,Paramètres!$A$1:$I$89,3,0)*VLOOKUP('Données projet'!$B$10,Paramètres!$A$1:$I$89,5,0)</f>
        <v>173.89840000000004</v>
      </c>
      <c r="AK31" s="13">
        <f t="shared" si="35"/>
        <v>43.961980047450574</v>
      </c>
      <c r="AL31" s="20">
        <f t="shared" si="4"/>
        <v>379.44016191597643</v>
      </c>
      <c r="AM31" s="59">
        <f t="shared" si="5"/>
        <v>635.6579483513849</v>
      </c>
      <c r="AN31" s="59">
        <f ca="1">AVERAGE(OFFSET($AM$3,0,0,'Données projet'!$E$10+1,1))-AVERAGE(OFFSET($H$3,0,0,'Données projet'!$E$10+1,1))</f>
        <v>569.80473816957431</v>
      </c>
      <c r="AO31" s="59">
        <f t="shared" si="36"/>
        <v>495.56567790763199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42.842281336231103</v>
      </c>
      <c r="AW31" s="21">
        <f>EXP(-LN(2)/2)*AW30+(1-EXP(-LN(2)/2))/(LN(2)/2)*AQ31*AT31*VLOOKUP('Données projet'!$B$10,Paramètres!$A$1:$I$89,3,0)*0.475*44/12</f>
        <v>0.15709452379842212</v>
      </c>
      <c r="AX31" s="21">
        <f t="shared" si="6"/>
        <v>42.999375860029524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60.544244785414442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-5.6843418860808015E-14</v>
      </c>
      <c r="BE31" s="13">
        <f>BD31*VLOOKUP('Données projet'!$B$11,Paramètres!$A$1:$I$89,3,0)*VLOOKUP('Données projet'!$B$11,Paramètres!$A$1:$I$89,5,0)</f>
        <v>-2.5006556825246661E-14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180.42749272334603</v>
      </c>
      <c r="BJ31" s="59">
        <f t="shared" si="38"/>
        <v>346.61476512497495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66.52804639361473</v>
      </c>
      <c r="BQ31" s="21">
        <f>EXP(-LN(2)/25)*BQ30+(1-EXP(-LN(2)/25))/(LN(2)/25)*Calculateur!BL31*Calculateur!BN31*VLOOKUP('Données projet'!$B$11,Paramètres!$A$1:$I$89,3,0)*0.475*44/12</f>
        <v>17.508889856122984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84.036936249737721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60.544244785414442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4.0628205128205126</v>
      </c>
      <c r="BY31" s="12">
        <f>IF('Données projet'!$A$114&gt;35,BY30+BX31-CG30,IF(A31&lt;'Données projet'!$A$114,$BV$205^A31,IF(A31='Données projet'!$A$114,'Données projet'!$B$114,BY30+BX31-CG30)))</f>
        <v>88.488255196060223</v>
      </c>
      <c r="BZ31" s="13">
        <f>BY31*VLOOKUP('Données projet'!$B$12,Paramètres!$A$1:$I$89,3,0)*VLOOKUP('Données projet'!$B$12,Paramètres!$A$1:$I$89,5,0)</f>
        <v>80.064173301395286</v>
      </c>
      <c r="CA31" s="13">
        <f t="shared" si="39"/>
        <v>22.15287410215139</v>
      </c>
      <c r="CB31" s="20">
        <f t="shared" si="10"/>
        <v>178.02802422784376</v>
      </c>
      <c r="CC31" s="59">
        <f t="shared" si="11"/>
        <v>434.24581066325231</v>
      </c>
      <c r="CD31" s="59">
        <f ca="1">AVERAGE(OFFSET($CC$3,0,0,'Données projet'!$E$12+1,1))-AVERAGE(OFFSET($H$3,0,0,'Données projet'!$E$12+1,1))</f>
        <v>553.16421218123958</v>
      </c>
      <c r="CE31" s="59">
        <f t="shared" si="40"/>
        <v>291.73668613844416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60.544244785414442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4.0628205128205126</v>
      </c>
      <c r="CT31" s="12">
        <f>IF('Données projet'!$A$140&gt;35,CT30+CS31-DB30,IF(A31&lt;'Données projet'!$A$140,$CQ$205^A31,IF(A31='Données projet'!$A$140,'Données projet'!$B$140,CT30+CS31-DB30)))</f>
        <v>88.488255196060223</v>
      </c>
      <c r="CU31" s="17">
        <f>CT31*VLOOKUP('Données projet'!$B$13,Paramètres!$A$1:$I$89,3,0)*VLOOKUP('Données projet'!$B$13,Paramètres!$A$1:$I$89,5,0)</f>
        <v>89.72709076880507</v>
      </c>
      <c r="CV31" s="13">
        <f t="shared" si="41"/>
        <v>24.499394230010086</v>
      </c>
      <c r="CW31" s="20">
        <f t="shared" si="13"/>
        <v>198.94446137293639</v>
      </c>
      <c r="CX31" s="59">
        <f t="shared" si="14"/>
        <v>455.16224780834489</v>
      </c>
      <c r="CY31" s="59">
        <f ca="1">AVERAGE(OFFSET($CX$3,0,0,'Données projet'!$E$13+1,1))-AVERAGE(OFFSET($H$3,0,0,'Données projet'!$E$13+1,1))</f>
        <v>611.82989382187804</v>
      </c>
      <c r="CZ31" s="59">
        <f t="shared" si="42"/>
        <v>320.34124600136363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60.544244785414442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4.0628205128205126</v>
      </c>
      <c r="DO31" s="12">
        <f>IF('Données projet'!$A$166&gt;35,DO30+DN31-DW30,IF(A31&lt;'Données projet'!$A$166,$DL$205^A31,IF(A31='Données projet'!$A$166,'Données projet'!$B$166,DO30+DN31-DW30)))</f>
        <v>88.488255196060223</v>
      </c>
      <c r="DP31" s="17">
        <f>DO31*VLOOKUP('Données projet'!$B$14,Paramètres!$A$1:$I$89,3,0)*VLOOKUP('Données projet'!$B$14,Paramètres!$A$1:$I$89,5,0)</f>
        <v>95.248757893039226</v>
      </c>
      <c r="DQ31" s="13">
        <f t="shared" si="43"/>
        <v>25.826892853754671</v>
      </c>
      <c r="DR31" s="20">
        <f t="shared" si="16"/>
        <v>210.87342505066601</v>
      </c>
      <c r="DS31" s="59">
        <f t="shared" si="17"/>
        <v>467.09121148607454</v>
      </c>
      <c r="DT31" s="59">
        <f ca="1">AVERAGE(OFFSET($DS$3,0,0,'Données projet'!$E$14+1,1))-AVERAGE(OFFSET($H$3,0,0,'Données projet'!$E$14+1,1))</f>
        <v>645.29541304800614</v>
      </c>
      <c r="DU31" s="59">
        <f t="shared" si="44"/>
        <v>336.65580771733323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60.544244785414442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148.59999999999994</v>
      </c>
      <c r="EK31" s="17">
        <f>EJ31*VLOOKUP('Données projet'!$B$15,Paramètres!$A$1:$I$89,3,0)*VLOOKUP('Données projet'!$B$15,Paramètres!$A$1:$I$89,5,0)</f>
        <v>108.95351999999995</v>
      </c>
      <c r="EL31" s="13">
        <f t="shared" si="45"/>
        <v>29.084288721109843</v>
      </c>
      <c r="EM31" s="20">
        <f t="shared" si="19"/>
        <v>240.41585018926619</v>
      </c>
      <c r="EN31" s="59">
        <f t="shared" si="20"/>
        <v>496.63363662467475</v>
      </c>
      <c r="EO31" s="59">
        <f ca="1">AVERAGE(OFFSET($EN$3,0,0,'Données projet'!$E$15+1,1))-AVERAGE(OFFSET($H$3,0,0,'Données projet'!$E$15+1,1))</f>
        <v>343.31122043016137</v>
      </c>
      <c r="EP31" s="59">
        <f t="shared" si="46"/>
        <v>333.61098411258877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60.544244785414442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148.59999999999994</v>
      </c>
      <c r="FF31" s="17">
        <f>FE31*VLOOKUP('Données projet'!$B$16,Paramètres!$A$1:$I$89,3,0)*VLOOKUP('Données projet'!$B$16,Paramètres!$A$1:$I$89,5,0)</f>
        <v>118.22615999999996</v>
      </c>
      <c r="FG31" s="13">
        <f t="shared" si="47"/>
        <v>31.260922342884676</v>
      </c>
      <c r="FH31" s="20">
        <f t="shared" si="22"/>
        <v>260.35666841385739</v>
      </c>
      <c r="FI31" s="59">
        <f t="shared" si="23"/>
        <v>516.57445484926598</v>
      </c>
      <c r="FJ31" s="59">
        <f ca="1">AVERAGE(OFFSET($FI$3,0,0,'Données projet'!$E$16+1,1))-AVERAGE(OFFSET($H$3,0,0,'Données projet'!$E$16+1,1))</f>
        <v>368.12945163484585</v>
      </c>
      <c r="FK31" s="59">
        <f t="shared" si="48"/>
        <v>357.27183934545121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60.544244785414442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60.544244785414442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3.0869565217391299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11.318840579710143</v>
      </c>
      <c r="H32" s="66">
        <f t="shared" si="1"/>
        <v>211.39130434782609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60.708280998485826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4.8773333333333335</v>
      </c>
      <c r="N32" s="13">
        <f>IF('Données projet'!$A$36&gt;35,N31+M32-V31,IF(A32&lt;'Données projet'!$A$36,$K$205^A32,IF(A32='Données projet'!$A$36,'Données projet'!$B$36,N31+M32-V31)))</f>
        <v>123.91586211236064</v>
      </c>
      <c r="O32" s="13">
        <f>N32*VLOOKUP('Données projet'!$B$9,Paramètres!$A$1:$I$89,3,0)*VLOOKUP('Données projet'!$B$9,Paramètres!$A$1:$I$89,5,0)</f>
        <v>57.992623468584782</v>
      </c>
      <c r="P32" s="13">
        <f t="shared" si="33"/>
        <v>16.659740482415152</v>
      </c>
      <c r="Q32" s="20">
        <f t="shared" si="2"/>
        <v>130.01953388132486</v>
      </c>
      <c r="R32" s="59">
        <f t="shared" si="0"/>
        <v>388.06100865355063</v>
      </c>
      <c r="S32" s="59">
        <f ca="1">AVERAGE(OFFSET($R$3,0,0,'Données projet'!$E$9+1,1))-AVERAGE(OFFSET($H$3,0,0,'Données projet'!$E$9+1,1))</f>
        <v>320.30433416149219</v>
      </c>
      <c r="T32" s="59">
        <f t="shared" si="34"/>
        <v>201.33422682092797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60.708280998485826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26.6</v>
      </c>
      <c r="AI32" s="13">
        <f>IF('Données projet'!$A$62&gt;35,AI31+AH32-AQ31,IF(A32&lt;'Données projet'!$A$62,$AF$205^A32,IF(A32='Données projet'!$A$62,'Données projet'!$B$62,AI31+AH32-AQ31)))</f>
        <v>317.40000000000009</v>
      </c>
      <c r="AJ32" s="13">
        <f>AI32*VLOOKUP('Données projet'!$B$10,Paramètres!$A$1:$I$89,3,0)*VLOOKUP('Données projet'!$B$10,Paramètres!$A$1:$I$89,5,0)</f>
        <v>189.80520000000007</v>
      </c>
      <c r="AK32" s="13">
        <f t="shared" si="35"/>
        <v>47.496882766206909</v>
      </c>
      <c r="AL32" s="20">
        <f t="shared" si="4"/>
        <v>413.30112748447715</v>
      </c>
      <c r="AM32" s="59">
        <f t="shared" si="5"/>
        <v>671.342602256703</v>
      </c>
      <c r="AN32" s="59">
        <f ca="1">AVERAGE(OFFSET($AM$3,0,0,'Données projet'!$E$10+1,1))-AVERAGE(OFFSET($H$3,0,0,'Données projet'!$E$10+1,1))</f>
        <v>569.80473816957431</v>
      </c>
      <c r="AO32" s="59">
        <f t="shared" si="36"/>
        <v>495.56567790763199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41.670756900114206</v>
      </c>
      <c r="AW32" s="21">
        <f>EXP(-LN(2)/2)*AW31+(1-EXP(-LN(2)/2))/(LN(2)/2)*AQ32*AT32*VLOOKUP('Données projet'!$B$10,Paramètres!$A$1:$I$89,3,0)*0.475*44/12</f>
        <v>0.11108260306513576</v>
      </c>
      <c r="AX32" s="21">
        <f t="shared" si="6"/>
        <v>41.781839503179341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60.708280998485826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-5.6843418860808015E-14</v>
      </c>
      <c r="BE32" s="13">
        <f>BD32*VLOOKUP('Données projet'!$B$11,Paramètres!$A$1:$I$89,3,0)*VLOOKUP('Données projet'!$B$11,Paramètres!$A$1:$I$89,5,0)</f>
        <v>-2.5006556825246661E-14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180.42749272334603</v>
      </c>
      <c r="BJ32" s="59">
        <f t="shared" si="38"/>
        <v>346.61476512497495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65.223471981937493</v>
      </c>
      <c r="BQ32" s="21">
        <f>EXP(-LN(2)/25)*BQ31+(1-EXP(-LN(2)/25))/(LN(2)/25)*Calculateur!BL32*Calculateur!BN32*VLOOKUP('Données projet'!$B$11,Paramètres!$A$1:$I$89,3,0)*0.475*44/12</f>
        <v>17.030108342254799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82.253580324192285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60.708280998485826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4.0628205128205126</v>
      </c>
      <c r="BY32" s="12">
        <f>IF('Données projet'!$A$114&gt;35,BY31+BX32-CG31,IF(A32&lt;'Données projet'!$A$114,$BV$205^A32,IF(A32='Données projet'!$A$114,'Données projet'!$B$114,BY31+BX32-CG31)))</f>
        <v>103.85257315361756</v>
      </c>
      <c r="BZ32" s="13">
        <f>BY32*VLOOKUP('Données projet'!$B$12,Paramètres!$A$1:$I$89,3,0)*VLOOKUP('Données projet'!$B$12,Paramètres!$A$1:$I$89,5,0)</f>
        <v>93.965808189393158</v>
      </c>
      <c r="CA32" s="13">
        <f t="shared" si="39"/>
        <v>25.519268853524185</v>
      </c>
      <c r="CB32" s="20">
        <f t="shared" si="10"/>
        <v>208.10317584974769</v>
      </c>
      <c r="CC32" s="59">
        <f t="shared" si="11"/>
        <v>466.14465062197348</v>
      </c>
      <c r="CD32" s="59">
        <f ca="1">AVERAGE(OFFSET($CC$3,0,0,'Données projet'!$E$12+1,1))-AVERAGE(OFFSET($H$3,0,0,'Données projet'!$E$12+1,1))</f>
        <v>553.16421218123958</v>
      </c>
      <c r="CE32" s="59">
        <f t="shared" si="40"/>
        <v>291.73668613844416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60.708280998485826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4.0628205128205126</v>
      </c>
      <c r="CT32" s="12">
        <f>IF('Données projet'!$A$140&gt;35,CT31+CS32-DB31,IF(A32&lt;'Données projet'!$A$140,$CQ$205^A32,IF(A32='Données projet'!$A$140,'Données projet'!$B$140,CT31+CS32-DB31)))</f>
        <v>103.85257315361756</v>
      </c>
      <c r="CU32" s="17">
        <f>CT32*VLOOKUP('Données projet'!$B$13,Paramètres!$A$1:$I$89,3,0)*VLOOKUP('Données projet'!$B$13,Paramètres!$A$1:$I$89,5,0)</f>
        <v>105.30650917776822</v>
      </c>
      <c r="CV32" s="13">
        <f t="shared" si="41"/>
        <v>28.222370840964146</v>
      </c>
      <c r="CW32" s="20">
        <f t="shared" si="13"/>
        <v>232.56279936595885</v>
      </c>
      <c r="CX32" s="59">
        <f t="shared" si="14"/>
        <v>490.60427413818468</v>
      </c>
      <c r="CY32" s="59">
        <f ca="1">AVERAGE(OFFSET($CX$3,0,0,'Données projet'!$E$13+1,1))-AVERAGE(OFFSET($H$3,0,0,'Données projet'!$E$13+1,1))</f>
        <v>611.82989382187804</v>
      </c>
      <c r="CZ32" s="59">
        <f t="shared" si="42"/>
        <v>320.34124600136363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60.708280998485826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4.0628205128205126</v>
      </c>
      <c r="DO32" s="12">
        <f>IF('Données projet'!$A$166&gt;35,DO31+DN32-DW31,IF(A32&lt;'Données projet'!$A$166,$DL$205^A32,IF(A32='Données projet'!$A$166,'Données projet'!$B$166,DO31+DN32-DW31)))</f>
        <v>103.85257315361756</v>
      </c>
      <c r="DP32" s="17">
        <f>DO32*VLOOKUP('Données projet'!$B$14,Paramètres!$A$1:$I$89,3,0)*VLOOKUP('Données projet'!$B$14,Paramètres!$A$1:$I$89,5,0)</f>
        <v>111.78690974255393</v>
      </c>
      <c r="DQ32" s="13">
        <f t="shared" si="43"/>
        <v>29.751598792416779</v>
      </c>
      <c r="DR32" s="20">
        <f t="shared" si="16"/>
        <v>246.51290236507396</v>
      </c>
      <c r="DS32" s="59">
        <f t="shared" si="17"/>
        <v>504.55437713729975</v>
      </c>
      <c r="DT32" s="59">
        <f ca="1">AVERAGE(OFFSET($DS$3,0,0,'Données projet'!$E$14+1,1))-AVERAGE(OFFSET($H$3,0,0,'Données projet'!$E$14+1,1))</f>
        <v>645.29541304800614</v>
      </c>
      <c r="DU32" s="59">
        <f t="shared" si="44"/>
        <v>336.65580771733323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60.708280998485826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162.79999999999993</v>
      </c>
      <c r="EK32" s="17">
        <f>EJ32*VLOOKUP('Données projet'!$B$15,Paramètres!$A$1:$I$89,3,0)*VLOOKUP('Données projet'!$B$15,Paramètres!$A$1:$I$89,5,0)</f>
        <v>119.36495999999994</v>
      </c>
      <c r="EL32" s="13">
        <f t="shared" si="45"/>
        <v>31.526840934707504</v>
      </c>
      <c r="EM32" s="20">
        <f t="shared" si="19"/>
        <v>262.80321996128214</v>
      </c>
      <c r="EN32" s="59">
        <f t="shared" si="20"/>
        <v>520.84469473350794</v>
      </c>
      <c r="EO32" s="59">
        <f ca="1">AVERAGE(OFFSET($EN$3,0,0,'Données projet'!$E$15+1,1))-AVERAGE(OFFSET($H$3,0,0,'Données projet'!$E$15+1,1))</f>
        <v>343.31122043016137</v>
      </c>
      <c r="EP32" s="59">
        <f t="shared" si="46"/>
        <v>333.61098411258877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60.708280998485826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162.79999999999993</v>
      </c>
      <c r="FF32" s="17">
        <f>FE32*VLOOKUP('Données projet'!$B$16,Paramètres!$A$1:$I$89,3,0)*VLOOKUP('Données projet'!$B$16,Paramètres!$A$1:$I$89,5,0)</f>
        <v>129.52367999999996</v>
      </c>
      <c r="FG32" s="13">
        <f t="shared" si="47"/>
        <v>33.886272262901727</v>
      </c>
      <c r="FH32" s="20">
        <f t="shared" si="22"/>
        <v>284.60566685788712</v>
      </c>
      <c r="FI32" s="59">
        <f t="shared" si="23"/>
        <v>542.64714163011286</v>
      </c>
      <c r="FJ32" s="59">
        <f ca="1">AVERAGE(OFFSET($FI$3,0,0,'Données projet'!$E$16+1,1))-AVERAGE(OFFSET($H$3,0,0,'Données projet'!$E$16+1,1))</f>
        <v>368.12945163484585</v>
      </c>
      <c r="FK32" s="59">
        <f t="shared" si="48"/>
        <v>357.27183934545121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60.708280998485826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60.708280998485826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3.0869565217391299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11.318840579710143</v>
      </c>
      <c r="H33" s="66">
        <f t="shared" si="1"/>
        <v>211.39130434782609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60.869471549990458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K33" s="12">
        <f>VLOOKUP(A33,'Données projet'!$A$35:$I$55,2,0)</f>
        <v>146.32</v>
      </c>
      <c r="L33" s="12">
        <f>VLOOKUP(A33,'Données projet'!$A$35:$I$55,9,0)</f>
        <v>4.8773333333333335</v>
      </c>
      <c r="M33" s="12">
        <f t="array" ref="M33">INDEX(L:L,MIN(IF(ISNUMBER(L33:L229),ROW(L33:L229),"")))</f>
        <v>4.8773333333333335</v>
      </c>
      <c r="N33" s="13">
        <f>IF('Données projet'!$A$36&gt;35,N32+M33-V32,IF(A33&lt;'Données projet'!$A$36,$K$205^A33,IF(A33='Données projet'!$A$36,'Données projet'!$B$36,N32+M33-V32)))</f>
        <v>146.32</v>
      </c>
      <c r="O33" s="13">
        <f>N33*VLOOKUP('Données projet'!$B$9,Paramètres!$A$1:$I$89,3,0)*VLOOKUP('Données projet'!$B$9,Paramètres!$A$1:$I$89,5,0)</f>
        <v>68.477760000000004</v>
      </c>
      <c r="P33" s="13">
        <f t="shared" si="33"/>
        <v>19.294949369639667</v>
      </c>
      <c r="Q33" s="20">
        <f t="shared" si="2"/>
        <v>152.87080215212242</v>
      </c>
      <c r="R33" s="59">
        <f t="shared" si="0"/>
        <v>412.72553116875406</v>
      </c>
      <c r="S33" s="59">
        <f ca="1">AVERAGE(OFFSET($R$3,0,0,'Données projet'!$E$9+1,1))-AVERAGE(OFFSET($H$3,0,0,'Données projet'!$E$9+1,1))</f>
        <v>320.30433416149219</v>
      </c>
      <c r="T33" s="59">
        <f t="shared" si="34"/>
        <v>201.33422682092797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60.869471549990458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AF33" s="12">
        <f>VLOOKUP(A33,'Données projet'!$A$61:$I$81,2,0)</f>
        <v>344</v>
      </c>
      <c r="AG33" s="12">
        <f>VLOOKUP(A33,'Données projet'!$A$61:$I$81,9,0)</f>
        <v>26.6</v>
      </c>
      <c r="AH33" s="12">
        <f t="array" ref="AH33">INDEX(AG:AG,MIN(IF(ISNUMBER(AG33:AG229),ROW(AG33:AG229),"")))</f>
        <v>26.6</v>
      </c>
      <c r="AI33" s="13">
        <f>IF('Données projet'!$A$62&gt;35,AI32+AH33-AQ32,IF(A33&lt;'Données projet'!$A$62,$AF$205^A33,IF(A33='Données projet'!$A$62,'Données projet'!$B$62,AI32+AH33-AQ32)))</f>
        <v>344.00000000000011</v>
      </c>
      <c r="AJ33" s="13">
        <f>AI33*VLOOKUP('Données projet'!$B$10,Paramètres!$A$1:$I$89,3,0)*VLOOKUP('Données projet'!$B$10,Paramètres!$A$1:$I$89,5,0)</f>
        <v>205.7120000000001</v>
      </c>
      <c r="AK33" s="13">
        <f t="shared" si="35"/>
        <v>50.997427696933762</v>
      </c>
      <c r="AL33" s="20">
        <f t="shared" si="4"/>
        <v>447.10225323882645</v>
      </c>
      <c r="AM33" s="59">
        <f t="shared" si="5"/>
        <v>706.95698225545812</v>
      </c>
      <c r="AN33" s="59">
        <f ca="1">AVERAGE(OFFSET($AM$3,0,0,'Données projet'!$E$10+1,1))-AVERAGE(OFFSET($H$3,0,0,'Données projet'!$E$10+1,1))</f>
        <v>569.80473816957431</v>
      </c>
      <c r="AO33" s="59">
        <f t="shared" si="36"/>
        <v>495.56567790763199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0.45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65.421373283636711</v>
      </c>
      <c r="AW33" s="21">
        <f>EXP(-LN(2)/2)*AW32+(1-EXP(-LN(2)/2))/(LN(2)/2)*AQ33*AT33*VLOOKUP('Données projet'!$B$10,Paramètres!$A$1:$I$89,3,0)*0.475*44/12</f>
        <v>7.8547261899211074E-2</v>
      </c>
      <c r="AX33" s="21">
        <f t="shared" si="6"/>
        <v>65.499920545535929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60.869471549990458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-5.6843418860808015E-14</v>
      </c>
      <c r="BE33" s="13">
        <f>BD33*VLOOKUP('Données projet'!$B$11,Paramètres!$A$1:$I$89,3,0)*VLOOKUP('Données projet'!$B$11,Paramètres!$A$1:$I$89,5,0)</f>
        <v>-2.5006556825246661E-14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180.42749272334603</v>
      </c>
      <c r="BJ33" s="59">
        <f t="shared" si="38"/>
        <v>346.61476512497495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63.944479478761423</v>
      </c>
      <c r="BQ33" s="21">
        <f>EXP(-LN(2)/25)*BQ32+(1-EXP(-LN(2)/25))/(LN(2)/25)*Calculateur!BL33*Calculateur!BN33*VLOOKUP('Données projet'!$B$11,Paramètres!$A$1:$I$89,3,0)*0.475*44/12</f>
        <v>16.564419134061367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80.50889861282279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60.869471549990458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BV33" s="12">
        <f>VLOOKUP(A33,'Données projet'!$A$113:$I$133,2,0)</f>
        <v>121.88461538461537</v>
      </c>
      <c r="BW33" s="12">
        <f>VLOOKUP(A33,'Données projet'!$A$113:$I$133,9,0)</f>
        <v>4.0628205128205126</v>
      </c>
      <c r="BX33" s="12">
        <f t="array" ref="BX33">INDEX(BW:BW,MIN(IF(ISNUMBER(BW33:BW229),ROW(BW33:BW229),"")))</f>
        <v>4.0628205128205126</v>
      </c>
      <c r="BY33" s="12">
        <f>IF('Données projet'!$A$114&gt;35,BY32+BX33-CG32,IF(A33&lt;'Données projet'!$A$114,$BV$205^A33,IF(A33='Données projet'!$A$114,'Données projet'!$B$114,BY32+BX33-CG32)))</f>
        <v>121.88461538461537</v>
      </c>
      <c r="BZ33" s="13">
        <f>BY33*VLOOKUP('Données projet'!$B$12,Paramètres!$A$1:$I$89,3,0)*VLOOKUP('Données projet'!$B$12,Paramètres!$A$1:$I$89,5,0)</f>
        <v>110.2812</v>
      </c>
      <c r="CA33" s="13">
        <f t="shared" si="39"/>
        <v>29.397227638069996</v>
      </c>
      <c r="CB33" s="20">
        <f t="shared" si="10"/>
        <v>243.27326146963856</v>
      </c>
      <c r="CC33" s="59">
        <f t="shared" si="11"/>
        <v>503.12799048627022</v>
      </c>
      <c r="CD33" s="59">
        <f ca="1">AVERAGE(OFFSET($CC$3,0,0,'Données projet'!$E$12+1,1))-AVERAGE(OFFSET($H$3,0,0,'Données projet'!$E$12+1,1))</f>
        <v>553.16421218123958</v>
      </c>
      <c r="CE33" s="59">
        <f t="shared" si="40"/>
        <v>291.73668613844416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60.869471549990458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CQ33" s="12">
        <f>VLOOKUP(A33,'Données projet'!$A$139:$I$159,2,0)</f>
        <v>121.88461538461537</v>
      </c>
      <c r="CR33" s="12">
        <f>VLOOKUP(A33,'Données projet'!$A$139:$I$159,9,0)</f>
        <v>4.0628205128205126</v>
      </c>
      <c r="CS33" s="12">
        <f t="array" ref="CS33">INDEX(CR:CR,MIN(IF(ISNUMBER(CR33:CR229),ROW(CR33:CR229),"")))</f>
        <v>4.0628205128205126</v>
      </c>
      <c r="CT33" s="12">
        <f>IF('Données projet'!$A$140&gt;35,CT32+CS33-DB32,IF(A33&lt;'Données projet'!$A$140,$CQ$205^A33,IF(A33='Données projet'!$A$140,'Données projet'!$B$140,CT32+CS33-DB32)))</f>
        <v>121.88461538461537</v>
      </c>
      <c r="CU33" s="17">
        <f>CT33*VLOOKUP('Données projet'!$B$13,Paramètres!$A$1:$I$89,3,0)*VLOOKUP('Données projet'!$B$13,Paramètres!$A$1:$I$89,5,0)</f>
        <v>123.59099999999999</v>
      </c>
      <c r="CV33" s="13">
        <f t="shared" si="41"/>
        <v>32.511098372760657</v>
      </c>
      <c r="CW33" s="20">
        <f t="shared" si="13"/>
        <v>271.87782133255809</v>
      </c>
      <c r="CX33" s="59">
        <f t="shared" si="14"/>
        <v>531.73255034918975</v>
      </c>
      <c r="CY33" s="59">
        <f ca="1">AVERAGE(OFFSET($CX$3,0,0,'Données projet'!$E$13+1,1))-AVERAGE(OFFSET($H$3,0,0,'Données projet'!$E$13+1,1))</f>
        <v>611.82989382187804</v>
      </c>
      <c r="CZ33" s="59">
        <f t="shared" si="42"/>
        <v>320.34124600136363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60.869471549990458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DL33" s="12">
        <f>VLOOKUP(A33,'Données projet'!$A$165:$I$185,2,0)</f>
        <v>121.88461538461537</v>
      </c>
      <c r="DM33" s="12">
        <f>VLOOKUP(A33,'Données projet'!$A$165:$I$185,9,0)</f>
        <v>4.0628205128205126</v>
      </c>
      <c r="DN33" s="12">
        <f t="array" ref="DN33">INDEX(DM:DM,MIN(IF(ISNUMBER(DM33:DM229),ROW(DM33:DM229),"")))</f>
        <v>4.0628205128205126</v>
      </c>
      <c r="DO33" s="12">
        <f>IF('Données projet'!$A$166&gt;35,DO32+DN33-DW32,IF(A33&lt;'Données projet'!$A$166,$DL$205^A33,IF(A33='Données projet'!$A$166,'Données projet'!$B$166,DO32+DN33-DW32)))</f>
        <v>121.88461538461537</v>
      </c>
      <c r="DP33" s="17">
        <f>DO33*VLOOKUP('Données projet'!$B$14,Paramètres!$A$1:$I$89,3,0)*VLOOKUP('Données projet'!$B$14,Paramètres!$A$1:$I$89,5,0)</f>
        <v>131.19659999999999</v>
      </c>
      <c r="DQ33" s="13">
        <f t="shared" si="43"/>
        <v>34.272710841259901</v>
      </c>
      <c r="DR33" s="20">
        <f t="shared" si="16"/>
        <v>288.19238304852763</v>
      </c>
      <c r="DS33" s="59">
        <f t="shared" si="17"/>
        <v>548.04711206515935</v>
      </c>
      <c r="DT33" s="59">
        <f ca="1">AVERAGE(OFFSET($DS$3,0,0,'Données projet'!$E$14+1,1))-AVERAGE(OFFSET($H$3,0,0,'Données projet'!$E$14+1,1))</f>
        <v>645.29541304800614</v>
      </c>
      <c r="DU33" s="59">
        <f t="shared" si="44"/>
        <v>336.65580771733323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60.869471549990458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EG33" s="12">
        <f>VLOOKUP(A33,'Données projet'!$A$191:$I$211,2,0)</f>
        <v>177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176.99999999999991</v>
      </c>
      <c r="EK33" s="17">
        <f>EJ33*VLOOKUP('Données projet'!$B$15,Paramètres!$A$1:$I$89,3,0)*VLOOKUP('Données projet'!$B$15,Paramètres!$A$1:$I$89,5,0)</f>
        <v>129.77639999999994</v>
      </c>
      <c r="EL33" s="13">
        <f t="shared" si="45"/>
        <v>33.94468676198089</v>
      </c>
      <c r="EM33" s="20">
        <f t="shared" si="19"/>
        <v>285.14755944378322</v>
      </c>
      <c r="EN33" s="59">
        <f t="shared" si="20"/>
        <v>545.00228846041489</v>
      </c>
      <c r="EO33" s="59">
        <f ca="1">AVERAGE(OFFSET($EN$3,0,0,'Données projet'!$E$15+1,1))-AVERAGE(OFFSET($H$3,0,0,'Données projet'!$E$15+1,1))</f>
        <v>343.31122043016137</v>
      </c>
      <c r="EP33" s="59">
        <f t="shared" si="46"/>
        <v>333.61098411258877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60.869471549990458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FB33" s="12">
        <f>VLOOKUP(A33,'Données projet'!$A$217:$I$237,2,0)</f>
        <v>177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176.99999999999991</v>
      </c>
      <c r="FF33" s="17">
        <f>FE33*VLOOKUP('Données projet'!$B$16,Paramètres!$A$1:$I$89,3,0)*VLOOKUP('Données projet'!$B$16,Paramètres!$A$1:$I$89,5,0)</f>
        <v>140.82119999999992</v>
      </c>
      <c r="FG33" s="13">
        <f t="shared" si="47"/>
        <v>36.485066799987997</v>
      </c>
      <c r="FH33" s="20">
        <f t="shared" si="22"/>
        <v>308.80841467664561</v>
      </c>
      <c r="FI33" s="59">
        <f t="shared" si="23"/>
        <v>568.66314369327733</v>
      </c>
      <c r="FJ33" s="59">
        <f ca="1">AVERAGE(OFFSET($FI$3,0,0,'Données projet'!$E$16+1,1))-AVERAGE(OFFSET($H$3,0,0,'Données projet'!$E$16+1,1))</f>
        <v>368.12945163484585</v>
      </c>
      <c r="FK33" s="59">
        <f t="shared" si="48"/>
        <v>357.27183934545121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60.869471549990458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60.869471549990458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3.0869565217391299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11.318840579710143</v>
      </c>
      <c r="H34" s="66">
        <f t="shared" si="1"/>
        <v>211.39130434782609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61.027865805794562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16.511666666666667</v>
      </c>
      <c r="N34" s="13">
        <f>IF('Données projet'!$A$36&gt;35,N33+M34-V33,IF(A34&lt;'Données projet'!$A$36,$K$205^A34,IF(A34='Données projet'!$A$36,'Données projet'!$B$36,N33+M34-V33)))</f>
        <v>162.83166666666665</v>
      </c>
      <c r="O34" s="13">
        <f>N34*VLOOKUP('Données projet'!$B$9,Paramètres!$A$1:$I$89,3,0)*VLOOKUP('Données projet'!$B$9,Paramètres!$A$1:$I$89,5,0)</f>
        <v>76.205219999999997</v>
      </c>
      <c r="P34" s="13">
        <f t="shared" si="33"/>
        <v>21.206732805864224</v>
      </c>
      <c r="Q34" s="20">
        <f t="shared" si="2"/>
        <v>169.65915113688018</v>
      </c>
      <c r="R34" s="59">
        <f t="shared" si="0"/>
        <v>430.09465909146024</v>
      </c>
      <c r="S34" s="59">
        <f ca="1">AVERAGE(OFFSET($R$3,0,0,'Données projet'!$E$9+1,1))-AVERAGE(OFFSET($H$3,0,0,'Données projet'!$E$9+1,1))</f>
        <v>320.30433416149219</v>
      </c>
      <c r="T34" s="59">
        <f t="shared" si="34"/>
        <v>201.33422682092797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61.027865805794562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26.8</v>
      </c>
      <c r="AI34" s="13">
        <f>IF('Données projet'!$A$62&gt;35,AI33+AH34-AQ33,IF(A34&lt;'Données projet'!$A$62,$AF$205^A34,IF(A34='Données projet'!$A$62,'Données projet'!$B$62,AI33+AH34-AQ33)))</f>
        <v>300.80000000000013</v>
      </c>
      <c r="AJ34" s="13">
        <f>AI34*VLOOKUP('Données projet'!$B$10,Paramètres!$A$1:$I$89,3,0)*VLOOKUP('Données projet'!$B$10,Paramètres!$A$1:$I$89,5,0)</f>
        <v>179.87840000000008</v>
      </c>
      <c r="AK34" s="13">
        <f t="shared" si="35"/>
        <v>45.295131342961916</v>
      </c>
      <c r="AL34" s="20">
        <f t="shared" si="4"/>
        <v>392.17723375565879</v>
      </c>
      <c r="AM34" s="59">
        <f t="shared" si="5"/>
        <v>652.61274171023888</v>
      </c>
      <c r="AN34" s="59">
        <f ca="1">AVERAGE(OFFSET($AM$3,0,0,'Données projet'!$E$10+1,1))-AVERAGE(OFFSET($H$3,0,0,'Données projet'!$E$10+1,1))</f>
        <v>569.80473816957431</v>
      </c>
      <c r="AO34" s="59">
        <f t="shared" si="36"/>
        <v>495.56567790763199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63.632422390835167</v>
      </c>
      <c r="AW34" s="21">
        <f>EXP(-LN(2)/2)*AW33+(1-EXP(-LN(2)/2))/(LN(2)/2)*AQ34*AT34*VLOOKUP('Données projet'!$B$10,Paramètres!$A$1:$I$89,3,0)*0.475*44/12</f>
        <v>5.5541301532567887E-2</v>
      </c>
      <c r="AX34" s="21">
        <f t="shared" si="6"/>
        <v>63.687963692367738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61.027865805794562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-5.6843418860808015E-14</v>
      </c>
      <c r="BE34" s="13">
        <f>BD34*VLOOKUP('Données projet'!$B$11,Paramètres!$A$1:$I$89,3,0)*VLOOKUP('Données projet'!$B$11,Paramètres!$A$1:$I$89,5,0)</f>
        <v>-2.5006556825246661E-14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180.42749272334603</v>
      </c>
      <c r="BJ34" s="59">
        <f t="shared" si="38"/>
        <v>346.61476512497495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62.69056723846424</v>
      </c>
      <c r="BQ34" s="21">
        <f>EXP(-LN(2)/25)*BQ33+(1-EXP(-LN(2)/25))/(LN(2)/25)*Calculateur!BL34*Calculateur!BN34*VLOOKUP('Données projet'!$B$11,Paramètres!$A$1:$I$89,3,0)*0.475*44/12</f>
        <v>16.111464221755515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78.802031460219752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61.027865805794562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15.881076923076924</v>
      </c>
      <c r="BY34" s="12">
        <f>IF('Données projet'!$A$114&gt;35,BY33+BX34-CG33,IF(A34&lt;'Données projet'!$A$114,$BV$205^A34,IF(A34='Données projet'!$A$114,'Données projet'!$B$114,BY33+BX34-CG33)))</f>
        <v>137.76569230769229</v>
      </c>
      <c r="BZ34" s="13">
        <f>BY34*VLOOKUP('Données projet'!$B$12,Paramètres!$A$1:$I$89,3,0)*VLOOKUP('Données projet'!$B$12,Paramètres!$A$1:$I$89,5,0)</f>
        <v>124.65039839999997</v>
      </c>
      <c r="CA34" s="13">
        <f t="shared" si="39"/>
        <v>32.757216606444366</v>
      </c>
      <c r="CB34" s="20">
        <f t="shared" si="10"/>
        <v>274.15159613622387</v>
      </c>
      <c r="CC34" s="59">
        <f t="shared" si="11"/>
        <v>534.5871040908039</v>
      </c>
      <c r="CD34" s="59">
        <f ca="1">AVERAGE(OFFSET($CC$3,0,0,'Données projet'!$E$12+1,1))-AVERAGE(OFFSET($H$3,0,0,'Données projet'!$E$12+1,1))</f>
        <v>553.16421218123958</v>
      </c>
      <c r="CE34" s="59">
        <f t="shared" si="40"/>
        <v>291.73668613844416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61.027865805794562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15.881076923076924</v>
      </c>
      <c r="CT34" s="12">
        <f>IF('Données projet'!$A$140&gt;35,CT33+CS34-DB33,IF(A34&lt;'Données projet'!$A$140,$CQ$205^A34,IF(A34='Données projet'!$A$140,'Données projet'!$B$140,CT33+CS34-DB33)))</f>
        <v>137.76569230769229</v>
      </c>
      <c r="CU34" s="17">
        <f>CT34*VLOOKUP('Données projet'!$B$13,Paramètres!$A$1:$I$89,3,0)*VLOOKUP('Données projet'!$B$13,Paramètres!$A$1:$I$89,5,0)</f>
        <v>139.694412</v>
      </c>
      <c r="CV34" s="13">
        <f t="shared" si="41"/>
        <v>36.226990674820662</v>
      </c>
      <c r="CW34" s="20">
        <f t="shared" si="13"/>
        <v>306.39644299197931</v>
      </c>
      <c r="CX34" s="59">
        <f t="shared" si="14"/>
        <v>566.83195094655935</v>
      </c>
      <c r="CY34" s="59">
        <f ca="1">AVERAGE(OFFSET($CX$3,0,0,'Données projet'!$E$13+1,1))-AVERAGE(OFFSET($H$3,0,0,'Données projet'!$E$13+1,1))</f>
        <v>611.82989382187804</v>
      </c>
      <c r="CZ34" s="59">
        <f t="shared" si="42"/>
        <v>320.34124600136363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61.027865805794562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15.881076923076924</v>
      </c>
      <c r="DO34" s="12">
        <f>IF('Données projet'!$A$166&gt;35,DO33+DN34-DW33,IF(A34&lt;'Données projet'!$A$166,$DL$205^A34,IF(A34='Données projet'!$A$166,'Données projet'!$B$166,DO33+DN34-DW33)))</f>
        <v>137.76569230769229</v>
      </c>
      <c r="DP34" s="17">
        <f>DO34*VLOOKUP('Données projet'!$B$14,Paramètres!$A$1:$I$89,3,0)*VLOOKUP('Données projet'!$B$14,Paramètres!$A$1:$I$89,5,0)</f>
        <v>148.29099119999998</v>
      </c>
      <c r="DQ34" s="13">
        <f t="shared" si="43"/>
        <v>38.18994860805492</v>
      </c>
      <c r="DR34" s="20">
        <f t="shared" si="16"/>
        <v>324.78763683236224</v>
      </c>
      <c r="DS34" s="59">
        <f t="shared" si="17"/>
        <v>585.22314478694227</v>
      </c>
      <c r="DT34" s="59">
        <f ca="1">AVERAGE(OFFSET($DS$3,0,0,'Données projet'!$E$14+1,1))-AVERAGE(OFFSET($H$3,0,0,'Données projet'!$E$14+1,1))</f>
        <v>645.29541304800614</v>
      </c>
      <c r="DU34" s="59">
        <f t="shared" si="44"/>
        <v>336.65580771733323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61.027865805794562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154.79999999999993</v>
      </c>
      <c r="EK34" s="17">
        <f>EJ34*VLOOKUP('Données projet'!$B$15,Paramètres!$A$1:$I$89,3,0)*VLOOKUP('Données projet'!$B$15,Paramètres!$A$1:$I$89,5,0)</f>
        <v>113.49935999999994</v>
      </c>
      <c r="EL34" s="13">
        <f t="shared" si="45"/>
        <v>30.153952354272999</v>
      </c>
      <c r="EM34" s="20">
        <f t="shared" si="19"/>
        <v>250.19618568369199</v>
      </c>
      <c r="EN34" s="59">
        <f t="shared" si="20"/>
        <v>510.63169363827205</v>
      </c>
      <c r="EO34" s="59">
        <f ca="1">AVERAGE(OFFSET($EN$3,0,0,'Données projet'!$E$15+1,1))-AVERAGE(OFFSET($H$3,0,0,'Données projet'!$E$15+1,1))</f>
        <v>343.31122043016137</v>
      </c>
      <c r="EP34" s="59">
        <f t="shared" si="46"/>
        <v>333.61098411258877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61.027865805794562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154.79999999999993</v>
      </c>
      <c r="FF34" s="17">
        <f>FE34*VLOOKUP('Données projet'!$B$16,Paramètres!$A$1:$I$89,3,0)*VLOOKUP('Données projet'!$B$16,Paramètres!$A$1:$I$89,5,0)</f>
        <v>123.15887999999995</v>
      </c>
      <c r="FG34" s="13">
        <f t="shared" si="47"/>
        <v>32.410638331814873</v>
      </c>
      <c r="FH34" s="20">
        <f t="shared" si="22"/>
        <v>270.95024442791083</v>
      </c>
      <c r="FI34" s="59">
        <f t="shared" si="23"/>
        <v>531.38575238249086</v>
      </c>
      <c r="FJ34" s="59">
        <f ca="1">AVERAGE(OFFSET($FI$3,0,0,'Données projet'!$E$16+1,1))-AVERAGE(OFFSET($H$3,0,0,'Données projet'!$E$16+1,1))</f>
        <v>368.12945163484585</v>
      </c>
      <c r="FK34" s="59">
        <f t="shared" si="48"/>
        <v>357.27183934545121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61.027865805794562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61.027865805794562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3.0869565217391299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11.318840579710143</v>
      </c>
      <c r="H35" s="66">
        <f t="shared" si="1"/>
        <v>211.39130434782609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61.183512275376977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16.511666666666667</v>
      </c>
      <c r="N35" s="13">
        <f>IF('Données projet'!$A$36&gt;35,N34+M35-V34,IF(A35&lt;'Données projet'!$A$36,$K$205^A35,IF(A35='Données projet'!$A$36,'Données projet'!$B$36,N34+M35-V34)))</f>
        <v>179.34333333333331</v>
      </c>
      <c r="O35" s="13">
        <f>N35*VLOOKUP('Données projet'!$B$9,Paramètres!$A$1:$I$89,3,0)*VLOOKUP('Données projet'!$B$9,Paramètres!$A$1:$I$89,5,0)</f>
        <v>83.932679999999991</v>
      </c>
      <c r="P35" s="13">
        <f t="shared" si="33"/>
        <v>23.096042840744811</v>
      </c>
      <c r="Q35" s="20">
        <f t="shared" ref="Q35:Q66" si="53">(O35+P35)*0.475*44/12</f>
        <v>186.40835894763052</v>
      </c>
      <c r="R35" s="59">
        <f t="shared" si="0"/>
        <v>447.41457062401281</v>
      </c>
      <c r="S35" s="59">
        <f ca="1">AVERAGE(OFFSET($R$3,0,0,'Données projet'!$E$9+1,1))-AVERAGE(OFFSET($H$3,0,0,'Données projet'!$E$9+1,1))</f>
        <v>320.30433416149219</v>
      </c>
      <c r="T35" s="59">
        <f t="shared" si="34"/>
        <v>201.33422682092797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61.183512275376977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26.8</v>
      </c>
      <c r="AI35" s="13">
        <f>IF('Données projet'!$A$62&gt;35,AI34+AH35-AQ34,IF(A35&lt;'Données projet'!$A$62,$AF$205^A35,IF(A35='Données projet'!$A$62,'Données projet'!$B$62,AI34+AH35-AQ34)))</f>
        <v>327.60000000000014</v>
      </c>
      <c r="AJ35" s="13">
        <f>AI35*VLOOKUP('Données projet'!$B$10,Paramètres!$A$1:$I$89,3,0)*VLOOKUP('Données projet'!$B$10,Paramètres!$A$1:$I$89,5,0)</f>
        <v>195.90480000000011</v>
      </c>
      <c r="AK35" s="13">
        <f t="shared" si="35"/>
        <v>48.843085918490004</v>
      </c>
      <c r="AL35" s="20">
        <f t="shared" si="4"/>
        <v>426.2692346413703</v>
      </c>
      <c r="AM35" s="59">
        <f t="shared" si="5"/>
        <v>687.27544631775254</v>
      </c>
      <c r="AN35" s="59">
        <f ca="1">AVERAGE(OFFSET($AM$3,0,0,'Données projet'!$E$10+1,1))-AVERAGE(OFFSET($H$3,0,0,'Données projet'!$E$10+1,1))</f>
        <v>569.80473816957431</v>
      </c>
      <c r="AO35" s="59">
        <f t="shared" si="36"/>
        <v>495.56567790763199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61.892390454274121</v>
      </c>
      <c r="AW35" s="21">
        <f>EXP(-LN(2)/2)*AW34+(1-EXP(-LN(2)/2))/(LN(2)/2)*AQ35*AT35*VLOOKUP('Données projet'!$B$10,Paramètres!$A$1:$I$89,3,0)*0.475*44/12</f>
        <v>3.9273630949605537E-2</v>
      </c>
      <c r="AX35" s="21">
        <f t="shared" si="6"/>
        <v>61.93166408522373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61.183512275376977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-5.6843418860808015E-14</v>
      </c>
      <c r="BE35" s="13">
        <f>BD35*VLOOKUP('Données projet'!$B$11,Paramètres!$A$1:$I$89,3,0)*VLOOKUP('Données projet'!$B$11,Paramètres!$A$1:$I$89,5,0)</f>
        <v>-2.5006556825246661E-14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180.42749272334603</v>
      </c>
      <c r="BJ35" s="59">
        <f t="shared" si="38"/>
        <v>346.61476512497495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61.461243452388338</v>
      </c>
      <c r="BQ35" s="21">
        <f>EXP(-LN(2)/25)*BQ34+(1-EXP(-LN(2)/25))/(LN(2)/25)*Calculateur!BL35*Calculateur!BN35*VLOOKUP('Données projet'!$B$11,Paramètres!$A$1:$I$89,3,0)*0.475*44/12</f>
        <v>15.67089538534653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77.132138837734871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61.183512275376977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15.881076923076924</v>
      </c>
      <c r="BY35" s="12">
        <f>IF('Données projet'!$A$114&gt;35,BY34+BX35-CG34,IF(A35&lt;'Données projet'!$A$114,$BV$205^A35,IF(A35='Données projet'!$A$114,'Données projet'!$B$114,BY34+BX35-CG34)))</f>
        <v>153.64676923076922</v>
      </c>
      <c r="BZ35" s="13">
        <f>BY35*VLOOKUP('Données projet'!$B$12,Paramètres!$A$1:$I$89,3,0)*VLOOKUP('Données projet'!$B$12,Paramètres!$A$1:$I$89,5,0)</f>
        <v>139.01959679999999</v>
      </c>
      <c r="CA35" s="13">
        <f t="shared" si="39"/>
        <v>36.072317111421967</v>
      </c>
      <c r="CB35" s="20">
        <f t="shared" si="10"/>
        <v>304.95175006239322</v>
      </c>
      <c r="CC35" s="59">
        <f t="shared" si="11"/>
        <v>565.95796173877557</v>
      </c>
      <c r="CD35" s="59">
        <f ca="1">AVERAGE(OFFSET($CC$3,0,0,'Données projet'!$E$12+1,1))-AVERAGE(OFFSET($H$3,0,0,'Données projet'!$E$12+1,1))</f>
        <v>553.16421218123958</v>
      </c>
      <c r="CE35" s="59">
        <f t="shared" si="40"/>
        <v>291.73668613844416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61.183512275376977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15.881076923076924</v>
      </c>
      <c r="CT35" s="12">
        <f>IF('Données projet'!$A$140&gt;35,CT34+CS35-DB34,IF(A35&lt;'Données projet'!$A$140,$CQ$205^A35,IF(A35='Données projet'!$A$140,'Données projet'!$B$140,CT34+CS35-DB34)))</f>
        <v>153.64676923076922</v>
      </c>
      <c r="CU35" s="17">
        <f>CT35*VLOOKUP('Données projet'!$B$13,Paramètres!$A$1:$I$89,3,0)*VLOOKUP('Données projet'!$B$13,Paramètres!$A$1:$I$89,5,0)</f>
        <v>155.79782400000002</v>
      </c>
      <c r="CV35" s="13">
        <f t="shared" si="41"/>
        <v>39.893239749727989</v>
      </c>
      <c r="CW35" s="20">
        <f t="shared" si="13"/>
        <v>340.82860269744293</v>
      </c>
      <c r="CX35" s="59">
        <f t="shared" si="14"/>
        <v>601.83481437382522</v>
      </c>
      <c r="CY35" s="59">
        <f ca="1">AVERAGE(OFFSET($CX$3,0,0,'Données projet'!$E$13+1,1))-AVERAGE(OFFSET($H$3,0,0,'Données projet'!$E$13+1,1))</f>
        <v>611.82989382187804</v>
      </c>
      <c r="CZ35" s="59">
        <f t="shared" si="42"/>
        <v>320.34124600136363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61.183512275376977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15.881076923076924</v>
      </c>
      <c r="DO35" s="12">
        <f>IF('Données projet'!$A$166&gt;35,DO34+DN35-DW34,IF(A35&lt;'Données projet'!$A$166,$DL$205^A35,IF(A35='Données projet'!$A$166,'Données projet'!$B$166,DO34+DN35-DW34)))</f>
        <v>153.64676923076922</v>
      </c>
      <c r="DP35" s="17">
        <f>DO35*VLOOKUP('Données projet'!$B$14,Paramètres!$A$1:$I$89,3,0)*VLOOKUP('Données projet'!$B$14,Paramètres!$A$1:$I$89,5,0)</f>
        <v>165.3853824</v>
      </c>
      <c r="DQ35" s="13">
        <f t="shared" si="43"/>
        <v>42.054853231566895</v>
      </c>
      <c r="DR35" s="20">
        <f t="shared" si="16"/>
        <v>361.29174372497897</v>
      </c>
      <c r="DS35" s="59">
        <f t="shared" si="17"/>
        <v>622.29795540136126</v>
      </c>
      <c r="DT35" s="59">
        <f ca="1">AVERAGE(OFFSET($DS$3,0,0,'Données projet'!$E$14+1,1))-AVERAGE(OFFSET($H$3,0,0,'Données projet'!$E$14+1,1))</f>
        <v>645.29541304800614</v>
      </c>
      <c r="DU35" s="59">
        <f t="shared" si="44"/>
        <v>336.65580771733323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61.183512275376977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167.59999999999994</v>
      </c>
      <c r="EK35" s="17">
        <f>EJ35*VLOOKUP('Données projet'!$B$15,Paramètres!$A$1:$I$89,3,0)*VLOOKUP('Données projet'!$B$15,Paramètres!$A$1:$I$89,5,0)</f>
        <v>122.88431999999995</v>
      </c>
      <c r="EL35" s="13">
        <f t="shared" si="45"/>
        <v>32.346786815026803</v>
      </c>
      <c r="EM35" s="20">
        <f t="shared" si="19"/>
        <v>270.36084436950489</v>
      </c>
      <c r="EN35" s="59">
        <f t="shared" si="20"/>
        <v>531.36705604588724</v>
      </c>
      <c r="EO35" s="59">
        <f ca="1">AVERAGE(OFFSET($EN$3,0,0,'Données projet'!$E$15+1,1))-AVERAGE(OFFSET($H$3,0,0,'Données projet'!$E$15+1,1))</f>
        <v>343.31122043016137</v>
      </c>
      <c r="EP35" s="59">
        <f t="shared" si="46"/>
        <v>333.61098411258877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61.183512275376977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167.59999999999994</v>
      </c>
      <c r="FF35" s="17">
        <f>FE35*VLOOKUP('Données projet'!$B$16,Paramètres!$A$1:$I$89,3,0)*VLOOKUP('Données projet'!$B$16,Paramètres!$A$1:$I$89,5,0)</f>
        <v>133.34255999999996</v>
      </c>
      <c r="FG35" s="13">
        <f t="shared" si="47"/>
        <v>34.767581918978188</v>
      </c>
      <c r="FH35" s="20">
        <f t="shared" si="22"/>
        <v>292.7918305088869</v>
      </c>
      <c r="FI35" s="59">
        <f t="shared" si="23"/>
        <v>553.7980421852692</v>
      </c>
      <c r="FJ35" s="59">
        <f ca="1">AVERAGE(OFFSET($FI$3,0,0,'Données projet'!$E$16+1,1))-AVERAGE(OFFSET($H$3,0,0,'Données projet'!$E$16+1,1))</f>
        <v>368.12945163484585</v>
      </c>
      <c r="FK35" s="59">
        <f t="shared" si="48"/>
        <v>357.27183934545121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61.183512275376977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61.183512275376977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3.0869565217391299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11.318840579710143</v>
      </c>
      <c r="H36" s="66">
        <f t="shared" si="1"/>
        <v>211.39130434782609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61.336458626685513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16.511666666666667</v>
      </c>
      <c r="N36" s="13">
        <f>IF('Données projet'!$A$36&gt;35,N35+M36-V35,IF(A36&lt;'Données projet'!$A$36,$K$205^A36,IF(A36='Données projet'!$A$36,'Données projet'!$B$36,N35+M36-V35)))</f>
        <v>195.85499999999996</v>
      </c>
      <c r="O36" s="13">
        <f>N36*VLOOKUP('Données projet'!$B$9,Paramètres!$A$1:$I$89,3,0)*VLOOKUP('Données projet'!$B$9,Paramètres!$A$1:$I$89,5,0)</f>
        <v>91.660139999999984</v>
      </c>
      <c r="P36" s="13">
        <f t="shared" si="33"/>
        <v>24.96518387086504</v>
      </c>
      <c r="Q36" s="20">
        <f t="shared" si="53"/>
        <v>203.12243907508991</v>
      </c>
      <c r="R36" s="59">
        <f t="shared" si="0"/>
        <v>464.68945403960345</v>
      </c>
      <c r="S36" s="59">
        <f ca="1">AVERAGE(OFFSET($R$3,0,0,'Données projet'!$E$9+1,1))-AVERAGE(OFFSET($H$3,0,0,'Données projet'!$E$9+1,1))</f>
        <v>320.30433416149219</v>
      </c>
      <c r="T36" s="59">
        <f t="shared" si="34"/>
        <v>201.33422682092797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61.336458626685513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26.8</v>
      </c>
      <c r="AI36" s="13">
        <f>IF('Données projet'!$A$62&gt;35,AI35+AH36-AQ35,IF(A36&lt;'Données projet'!$A$62,$AF$205^A36,IF(A36='Données projet'!$A$62,'Données projet'!$B$62,AI35+AH36-AQ35)))</f>
        <v>354.40000000000015</v>
      </c>
      <c r="AJ36" s="13">
        <f>AI36*VLOOKUP('Données projet'!$B$10,Paramètres!$A$1:$I$89,3,0)*VLOOKUP('Données projet'!$B$10,Paramètres!$A$1:$I$89,5,0)</f>
        <v>211.93120000000013</v>
      </c>
      <c r="AK36" s="13">
        <f t="shared" si="35"/>
        <v>52.357376385254923</v>
      </c>
      <c r="AL36" s="20">
        <f t="shared" si="4"/>
        <v>460.30260387098588</v>
      </c>
      <c r="AM36" s="59">
        <f t="shared" si="5"/>
        <v>721.86961883549941</v>
      </c>
      <c r="AN36" s="59">
        <f ca="1">AVERAGE(OFFSET($AM$3,0,0,'Données projet'!$E$10+1,1))-AVERAGE(OFFSET($H$3,0,0,'Données projet'!$E$10+1,1))</f>
        <v>569.80473816957431</v>
      </c>
      <c r="AO36" s="59">
        <f t="shared" si="36"/>
        <v>495.56567790763199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60.199939782522641</v>
      </c>
      <c r="AW36" s="21">
        <f>EXP(-LN(2)/2)*AW35+(1-EXP(-LN(2)/2))/(LN(2)/2)*AQ36*AT36*VLOOKUP('Données projet'!$B$10,Paramètres!$A$1:$I$89,3,0)*0.475*44/12</f>
        <v>2.7770650766283943E-2</v>
      </c>
      <c r="AX36" s="21">
        <f t="shared" si="6"/>
        <v>60.227710433288927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61.336458626685513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-5.6843418860808015E-14</v>
      </c>
      <c r="BE36" s="13">
        <f>BD36*VLOOKUP('Données projet'!$B$11,Paramètres!$A$1:$I$89,3,0)*VLOOKUP('Données projet'!$B$11,Paramètres!$A$1:$I$89,5,0)</f>
        <v>-2.5006556825246661E-14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180.42749272334603</v>
      </c>
      <c r="BJ36" s="59">
        <f t="shared" si="38"/>
        <v>346.61476512497495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60.256025955943912</v>
      </c>
      <c r="BQ36" s="21">
        <f>EXP(-LN(2)/25)*BQ35+(1-EXP(-LN(2)/25))/(LN(2)/25)*Calculateur!BL36*Calculateur!BN36*VLOOKUP('Données projet'!$B$11,Paramètres!$A$1:$I$89,3,0)*0.475*44/12</f>
        <v>15.242373926937656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75.498399882881571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61.336458626685513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15.881076923076924</v>
      </c>
      <c r="BY36" s="12">
        <f>IF('Données projet'!$A$114&gt;35,BY35+BX36-CG35,IF(A36&lt;'Données projet'!$A$114,$BV$205^A36,IF(A36='Données projet'!$A$114,'Données projet'!$B$114,BY35+BX36-CG35)))</f>
        <v>169.52784615384616</v>
      </c>
      <c r="BZ36" s="13">
        <f>BY36*VLOOKUP('Données projet'!$B$12,Paramètres!$A$1:$I$89,3,0)*VLOOKUP('Données projet'!$B$12,Paramètres!$A$1:$I$89,5,0)</f>
        <v>153.3887952</v>
      </c>
      <c r="CA36" s="13">
        <f t="shared" si="39"/>
        <v>39.347697314191088</v>
      </c>
      <c r="CB36" s="20">
        <f t="shared" si="10"/>
        <v>335.68272446221619</v>
      </c>
      <c r="CC36" s="59">
        <f t="shared" si="11"/>
        <v>597.24973942672978</v>
      </c>
      <c r="CD36" s="59">
        <f ca="1">AVERAGE(OFFSET($CC$3,0,0,'Données projet'!$E$12+1,1))-AVERAGE(OFFSET($H$3,0,0,'Données projet'!$E$12+1,1))</f>
        <v>553.16421218123958</v>
      </c>
      <c r="CE36" s="59">
        <f t="shared" si="40"/>
        <v>291.73668613844416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61.336458626685513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15.881076923076924</v>
      </c>
      <c r="CT36" s="12">
        <f>IF('Données projet'!$A$140&gt;35,CT35+CS36-DB35,IF(A36&lt;'Données projet'!$A$140,$CQ$205^A36,IF(A36='Données projet'!$A$140,'Données projet'!$B$140,CT35+CS36-DB35)))</f>
        <v>169.52784615384616</v>
      </c>
      <c r="CU36" s="17">
        <f>CT36*VLOOKUP('Données projet'!$B$13,Paramètres!$A$1:$I$89,3,0)*VLOOKUP('Données projet'!$B$13,Paramètres!$A$1:$I$89,5,0)</f>
        <v>171.90123600000001</v>
      </c>
      <c r="CV36" s="13">
        <f t="shared" si="41"/>
        <v>43.515561190764792</v>
      </c>
      <c r="CW36" s="20">
        <f t="shared" si="13"/>
        <v>375.18425510724865</v>
      </c>
      <c r="CX36" s="59">
        <f t="shared" si="14"/>
        <v>636.75127007176218</v>
      </c>
      <c r="CY36" s="59">
        <f ca="1">AVERAGE(OFFSET($CX$3,0,0,'Données projet'!$E$13+1,1))-AVERAGE(OFFSET($H$3,0,0,'Données projet'!$E$13+1,1))</f>
        <v>611.82989382187804</v>
      </c>
      <c r="CZ36" s="59">
        <f t="shared" si="42"/>
        <v>320.34124600136363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61.336458626685513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15.881076923076924</v>
      </c>
      <c r="DO36" s="12">
        <f>IF('Données projet'!$A$166&gt;35,DO35+DN36-DW35,IF(A36&lt;'Données projet'!$A$166,$DL$205^A36,IF(A36='Données projet'!$A$166,'Données projet'!$B$166,DO35+DN36-DW35)))</f>
        <v>169.52784615384616</v>
      </c>
      <c r="DP36" s="17">
        <f>DO36*VLOOKUP('Données projet'!$B$14,Paramètres!$A$1:$I$89,3,0)*VLOOKUP('Données projet'!$B$14,Paramètres!$A$1:$I$89,5,0)</f>
        <v>182.47977360000002</v>
      </c>
      <c r="DQ36" s="13">
        <f t="shared" si="43"/>
        <v>45.873450004254408</v>
      </c>
      <c r="DR36" s="20">
        <f t="shared" si="16"/>
        <v>397.71519777740974</v>
      </c>
      <c r="DS36" s="59">
        <f t="shared" si="17"/>
        <v>659.28221274192333</v>
      </c>
      <c r="DT36" s="59">
        <f ca="1">AVERAGE(OFFSET($DS$3,0,0,'Données projet'!$E$14+1,1))-AVERAGE(OFFSET($H$3,0,0,'Données projet'!$E$14+1,1))</f>
        <v>645.29541304800614</v>
      </c>
      <c r="DU36" s="59">
        <f t="shared" si="44"/>
        <v>336.65580771733323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61.336458626685513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180.39999999999995</v>
      </c>
      <c r="EK36" s="17">
        <f>EJ36*VLOOKUP('Données projet'!$B$15,Paramètres!$A$1:$I$89,3,0)*VLOOKUP('Données projet'!$B$15,Paramètres!$A$1:$I$89,5,0)</f>
        <v>132.26927999999995</v>
      </c>
      <c r="EL36" s="13">
        <f t="shared" si="45"/>
        <v>34.520194019648734</v>
      </c>
      <c r="EM36" s="20">
        <f t="shared" si="19"/>
        <v>290.4916672508881</v>
      </c>
      <c r="EN36" s="59">
        <f t="shared" si="20"/>
        <v>552.05868221540163</v>
      </c>
      <c r="EO36" s="59">
        <f ca="1">AVERAGE(OFFSET($EN$3,0,0,'Données projet'!$E$15+1,1))-AVERAGE(OFFSET($H$3,0,0,'Données projet'!$E$15+1,1))</f>
        <v>343.31122043016137</v>
      </c>
      <c r="EP36" s="59">
        <f t="shared" si="46"/>
        <v>333.61098411258877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61.336458626685513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180.39999999999995</v>
      </c>
      <c r="FF36" s="17">
        <f>FE36*VLOOKUP('Données projet'!$B$16,Paramètres!$A$1:$I$89,3,0)*VLOOKUP('Données projet'!$B$16,Paramètres!$A$1:$I$89,5,0)</f>
        <v>143.52623999999997</v>
      </c>
      <c r="FG36" s="13">
        <f t="shared" si="47"/>
        <v>37.103644337236275</v>
      </c>
      <c r="FH36" s="20">
        <f t="shared" si="22"/>
        <v>314.59704855401981</v>
      </c>
      <c r="FI36" s="59">
        <f t="shared" si="23"/>
        <v>576.16406351853334</v>
      </c>
      <c r="FJ36" s="59">
        <f ca="1">AVERAGE(OFFSET($FI$3,0,0,'Données projet'!$E$16+1,1))-AVERAGE(OFFSET($H$3,0,0,'Données projet'!$E$16+1,1))</f>
        <v>368.12945163484585</v>
      </c>
      <c r="FK36" s="59">
        <f t="shared" si="48"/>
        <v>357.27183934545121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61.336458626685513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61.336458626685513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3.0869565217391299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11.318840579710143</v>
      </c>
      <c r="H37" s="66">
        <f t="shared" si="1"/>
        <v>211.39130434782609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61.48675170073566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16.511666666666667</v>
      </c>
      <c r="N37" s="13">
        <f>IF('Données projet'!$A$36&gt;35,N36+M37-V36,IF(A37&lt;'Données projet'!$A$36,$K$205^A37,IF(A37='Données projet'!$A$36,'Données projet'!$B$36,N36+M37-V36)))</f>
        <v>212.36666666666662</v>
      </c>
      <c r="O37" s="13">
        <f>N37*VLOOKUP('Données projet'!$B$9,Paramètres!$A$1:$I$89,3,0)*VLOOKUP('Données projet'!$B$9,Paramètres!$A$1:$I$89,5,0)</f>
        <v>99.387599999999978</v>
      </c>
      <c r="P37" s="13">
        <f t="shared" si="33"/>
        <v>26.816049574516668</v>
      </c>
      <c r="Q37" s="20">
        <f t="shared" si="53"/>
        <v>219.80468967561649</v>
      </c>
      <c r="R37" s="59">
        <f t="shared" si="0"/>
        <v>481.92277924498052</v>
      </c>
      <c r="S37" s="59">
        <f ca="1">AVERAGE(OFFSET($R$3,0,0,'Données projet'!$E$9+1,1))-AVERAGE(OFFSET($H$3,0,0,'Données projet'!$E$9+1,1))</f>
        <v>320.30433416149219</v>
      </c>
      <c r="T37" s="59">
        <f t="shared" si="34"/>
        <v>201.33422682092797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61.48675170073566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26.8</v>
      </c>
      <c r="AI37" s="13">
        <f>IF('Données projet'!$A$62&gt;35,AI36+AH37-AQ36,IF(A37&lt;'Données projet'!$A$62,$AF$205^A37,IF(A37='Données projet'!$A$62,'Données projet'!$B$62,AI36+AH37-AQ36)))</f>
        <v>381.20000000000016</v>
      </c>
      <c r="AJ37" s="13">
        <f>AI37*VLOOKUP('Données projet'!$B$10,Paramètres!$A$1:$I$89,3,0)*VLOOKUP('Données projet'!$B$10,Paramètres!$A$1:$I$89,5,0)</f>
        <v>227.95760000000013</v>
      </c>
      <c r="AK37" s="13">
        <f t="shared" si="35"/>
        <v>55.840837908542632</v>
      </c>
      <c r="AL37" s="20">
        <f t="shared" si="4"/>
        <v>494.28227935737863</v>
      </c>
      <c r="AM37" s="59">
        <f t="shared" si="5"/>
        <v>756.40036892674266</v>
      </c>
      <c r="AN37" s="59">
        <f ca="1">AVERAGE(OFFSET($AM$3,0,0,'Données projet'!$E$10+1,1))-AVERAGE(OFFSET($H$3,0,0,'Données projet'!$E$10+1,1))</f>
        <v>569.80473816957431</v>
      </c>
      <c r="AO37" s="59">
        <f t="shared" si="36"/>
        <v>495.56567790763199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58.553769263392319</v>
      </c>
      <c r="AW37" s="21">
        <f>EXP(-LN(2)/2)*AW36+(1-EXP(-LN(2)/2))/(LN(2)/2)*AQ37*AT37*VLOOKUP('Données projet'!$B$10,Paramètres!$A$1:$I$89,3,0)*0.475*44/12</f>
        <v>1.9636815474802768E-2</v>
      </c>
      <c r="AX37" s="21">
        <f t="shared" si="6"/>
        <v>58.573406078867123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61.48675170073566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-5.6843418860808015E-14</v>
      </c>
      <c r="BE37" s="13">
        <f>BD37*VLOOKUP('Données projet'!$B$11,Paramètres!$A$1:$I$89,3,0)*VLOOKUP('Données projet'!$B$11,Paramètres!$A$1:$I$89,5,0)</f>
        <v>-2.5006556825246661E-14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180.42749272334603</v>
      </c>
      <c r="BJ37" s="59">
        <f t="shared" si="38"/>
        <v>346.61476512497495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59.07444203949467</v>
      </c>
      <c r="BQ37" s="21">
        <f>EXP(-LN(2)/25)*BQ36+(1-EXP(-LN(2)/25))/(LN(2)/25)*Calculateur!BL37*Calculateur!BN37*VLOOKUP('Données projet'!$B$11,Paramètres!$A$1:$I$89,3,0)*0.475*44/12</f>
        <v>14.825570410343937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73.900012449838613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61.48675170073566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15.881076923076924</v>
      </c>
      <c r="BY37" s="12">
        <f>IF('Données projet'!$A$114&gt;35,BY36+BX37-CG36,IF(A37&lt;'Données projet'!$A$114,$BV$205^A37,IF(A37='Données projet'!$A$114,'Données projet'!$B$114,BY36+BX37-CG36)))</f>
        <v>185.40892307692309</v>
      </c>
      <c r="BZ37" s="13">
        <f>BY37*VLOOKUP('Données projet'!$B$12,Paramètres!$A$1:$I$89,3,0)*VLOOKUP('Données projet'!$B$12,Paramètres!$A$1:$I$89,5,0)</f>
        <v>167.75799359999999</v>
      </c>
      <c r="CA37" s="13">
        <f t="shared" si="39"/>
        <v>42.587501411283561</v>
      </c>
      <c r="CB37" s="20">
        <f t="shared" si="10"/>
        <v>366.35173714465219</v>
      </c>
      <c r="CC37" s="59">
        <f t="shared" si="11"/>
        <v>628.46982671401622</v>
      </c>
      <c r="CD37" s="59">
        <f ca="1">AVERAGE(OFFSET($CC$3,0,0,'Données projet'!$E$12+1,1))-AVERAGE(OFFSET($H$3,0,0,'Données projet'!$E$12+1,1))</f>
        <v>553.16421218123958</v>
      </c>
      <c r="CE37" s="59">
        <f t="shared" si="40"/>
        <v>291.73668613844416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61.48675170073566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15.881076923076924</v>
      </c>
      <c r="CT37" s="12">
        <f>IF('Données projet'!$A$140&gt;35,CT36+CS37-DB36,IF(A37&lt;'Données projet'!$A$140,$CQ$205^A37,IF(A37='Données projet'!$A$140,'Données projet'!$B$140,CT36+CS37-DB36)))</f>
        <v>185.40892307692309</v>
      </c>
      <c r="CU37" s="17">
        <f>CT37*VLOOKUP('Données projet'!$B$13,Paramètres!$A$1:$I$89,3,0)*VLOOKUP('Données projet'!$B$13,Paramètres!$A$1:$I$89,5,0)</f>
        <v>188.00464800000003</v>
      </c>
      <c r="CV37" s="13">
        <f t="shared" si="41"/>
        <v>47.098538164166236</v>
      </c>
      <c r="CW37" s="20">
        <f t="shared" si="13"/>
        <v>409.47138256925615</v>
      </c>
      <c r="CX37" s="59">
        <f t="shared" si="14"/>
        <v>671.58947213862018</v>
      </c>
      <c r="CY37" s="59">
        <f ca="1">AVERAGE(OFFSET($CX$3,0,0,'Données projet'!$E$13+1,1))-AVERAGE(OFFSET($H$3,0,0,'Données projet'!$E$13+1,1))</f>
        <v>611.82989382187804</v>
      </c>
      <c r="CZ37" s="59">
        <f t="shared" si="42"/>
        <v>320.34124600136363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61.48675170073566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15.881076923076924</v>
      </c>
      <c r="DO37" s="12">
        <f>IF('Données projet'!$A$166&gt;35,DO36+DN37-DW36,IF(A37&lt;'Données projet'!$A$166,$DL$205^A37,IF(A37='Données projet'!$A$166,'Données projet'!$B$166,DO36+DN37-DW36)))</f>
        <v>185.40892307692309</v>
      </c>
      <c r="DP37" s="17">
        <f>DO37*VLOOKUP('Données projet'!$B$14,Paramètres!$A$1:$I$89,3,0)*VLOOKUP('Données projet'!$B$14,Paramètres!$A$1:$I$89,5,0)</f>
        <v>199.57416480000001</v>
      </c>
      <c r="DQ37" s="13">
        <f t="shared" si="43"/>
        <v>49.650570431018217</v>
      </c>
      <c r="DR37" s="20">
        <f t="shared" si="16"/>
        <v>434.06641386069003</v>
      </c>
      <c r="DS37" s="59">
        <f t="shared" si="17"/>
        <v>696.18450343005406</v>
      </c>
      <c r="DT37" s="59">
        <f ca="1">AVERAGE(OFFSET($DS$3,0,0,'Données projet'!$E$14+1,1))-AVERAGE(OFFSET($H$3,0,0,'Données projet'!$E$14+1,1))</f>
        <v>645.29541304800614</v>
      </c>
      <c r="DU37" s="59">
        <f t="shared" si="44"/>
        <v>336.65580771733323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61.48675170073566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193.19999999999996</v>
      </c>
      <c r="EK37" s="17">
        <f>EJ37*VLOOKUP('Données projet'!$B$15,Paramètres!$A$1:$I$89,3,0)*VLOOKUP('Données projet'!$B$15,Paramètres!$A$1:$I$89,5,0)</f>
        <v>141.65423999999996</v>
      </c>
      <c r="EL37" s="13">
        <f t="shared" si="45"/>
        <v>36.675709178601934</v>
      </c>
      <c r="EM37" s="20">
        <f t="shared" si="19"/>
        <v>310.59132815273165</v>
      </c>
      <c r="EN37" s="59">
        <f t="shared" si="20"/>
        <v>572.70941772209562</v>
      </c>
      <c r="EO37" s="59">
        <f ca="1">AVERAGE(OFFSET($EN$3,0,0,'Données projet'!$E$15+1,1))-AVERAGE(OFFSET($H$3,0,0,'Données projet'!$E$15+1,1))</f>
        <v>343.31122043016137</v>
      </c>
      <c r="EP37" s="59">
        <f t="shared" si="46"/>
        <v>333.61098411258877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61.48675170073566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193.19999999999996</v>
      </c>
      <c r="FF37" s="17">
        <f>FE37*VLOOKUP('Données projet'!$B$16,Paramètres!$A$1:$I$89,3,0)*VLOOKUP('Données projet'!$B$16,Paramètres!$A$1:$I$89,5,0)</f>
        <v>153.70991999999998</v>
      </c>
      <c r="FG37" s="13">
        <f t="shared" si="47"/>
        <v>39.420475690379831</v>
      </c>
      <c r="FH37" s="20">
        <f t="shared" si="22"/>
        <v>336.3687724940782</v>
      </c>
      <c r="FI37" s="59">
        <f t="shared" si="23"/>
        <v>598.48686206344223</v>
      </c>
      <c r="FJ37" s="59">
        <f ca="1">AVERAGE(OFFSET($FI$3,0,0,'Données projet'!$E$16+1,1))-AVERAGE(OFFSET($H$3,0,0,'Données projet'!$E$16+1,1))</f>
        <v>368.12945163484585</v>
      </c>
      <c r="FK37" s="59">
        <f t="shared" si="48"/>
        <v>357.27183934545121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61.48675170073566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61.48675170073566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3.0869565217391299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11.318840579710143</v>
      </c>
      <c r="H38" s="66">
        <f t="shared" si="1"/>
        <v>211.39130434782609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61.634437525956017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16.511666666666667</v>
      </c>
      <c r="N38" s="13">
        <f>IF('Données projet'!$A$36&gt;35,N37+M38-V37,IF(A38&lt;'Données projet'!$A$36,$K$205^A38,IF(A38='Données projet'!$A$36,'Données projet'!$B$36,N37+M38-V37)))</f>
        <v>228.87833333333327</v>
      </c>
      <c r="O38" s="13">
        <f>N38*VLOOKUP('Données projet'!$B$9,Paramètres!$A$1:$I$89,3,0)*VLOOKUP('Données projet'!$B$9,Paramètres!$A$1:$I$89,5,0)</f>
        <v>107.11505999999997</v>
      </c>
      <c r="P38" s="13">
        <f t="shared" si="33"/>
        <v>28.650222425077892</v>
      </c>
      <c r="Q38" s="20">
        <f t="shared" si="53"/>
        <v>236.45786689034392</v>
      </c>
      <c r="R38" s="59">
        <f t="shared" si="0"/>
        <v>499.1174711521827</v>
      </c>
      <c r="S38" s="59">
        <f ca="1">AVERAGE(OFFSET($R$3,0,0,'Données projet'!$E$9+1,1))-AVERAGE(OFFSET($H$3,0,0,'Données projet'!$E$9+1,1))</f>
        <v>320.30433416149219</v>
      </c>
      <c r="T38" s="59">
        <f t="shared" si="34"/>
        <v>201.33422682092797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61.634437525956017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408</v>
      </c>
      <c r="AG38" s="12">
        <f>VLOOKUP(A38,'Données projet'!$A$61:$I$81,9,0)</f>
        <v>26.8</v>
      </c>
      <c r="AH38" s="12">
        <f t="array" ref="AH38">INDEX(AG:AG,MIN(IF(ISNUMBER(AG38:AG234),ROW(AG38:AG234),"")))</f>
        <v>26.8</v>
      </c>
      <c r="AI38" s="13">
        <f>IF('Données projet'!$A$62&gt;35,AI37+AH38-AQ37,IF(A38&lt;'Données projet'!$A$62,$AF$205^A38,IF(A38='Données projet'!$A$62,'Données projet'!$B$62,AI37+AH38-AQ37)))</f>
        <v>408.00000000000017</v>
      </c>
      <c r="AJ38" s="13">
        <f>AI38*VLOOKUP('Données projet'!$B$10,Paramètres!$A$1:$I$89,3,0)*VLOOKUP('Données projet'!$B$10,Paramètres!$A$1:$I$89,5,0)</f>
        <v>243.98400000000012</v>
      </c>
      <c r="AK38" s="13">
        <f t="shared" si="35"/>
        <v>59.295884425255011</v>
      </c>
      <c r="AL38" s="20">
        <f t="shared" si="4"/>
        <v>528.21246537398599</v>
      </c>
      <c r="AM38" s="59">
        <f t="shared" si="5"/>
        <v>790.8720696358248</v>
      </c>
      <c r="AN38" s="59">
        <f ca="1">AVERAGE(OFFSET($AM$3,0,0,'Données projet'!$E$10+1,1))-AVERAGE(OFFSET($H$3,0,0,'Données projet'!$E$10+1,1))</f>
        <v>569.80473816957431</v>
      </c>
      <c r="AO38" s="59">
        <f t="shared" si="36"/>
        <v>495.56567790763199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70</v>
      </c>
      <c r="AR38" s="16">
        <f>IF(ISNA(VLOOKUP(A38,'Données projet'!$A$61:$I$81,5,0)),0%,VLOOKUP(A38,'Données projet'!$A$61:$I$81,5,0)*VLOOKUP('Données projet'!$B$10,Paramètres!$A$1:$I$89,7,0))</f>
        <v>0.45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24.988494647114621</v>
      </c>
      <c r="AV38" s="21">
        <f>EXP(-LN(2)/25)*AV37+(1-EXP(-LN(2)/25))/(LN(2)/25)*Calculateur!AQ38*Calculateur!AS38*VLOOKUP('Données projet'!$B$10,Paramètres!$A$1:$I$89,3,0)*0.475*44/12</f>
        <v>56.952613363675958</v>
      </c>
      <c r="AW38" s="21">
        <f>EXP(-LN(2)/2)*AW37+(1-EXP(-LN(2)/2))/(LN(2)/2)*AQ38*AT38*VLOOKUP('Données projet'!$B$10,Paramètres!$A$1:$I$89,3,0)*0.475*44/12</f>
        <v>1.3885325383141972E-2</v>
      </c>
      <c r="AX38" s="21">
        <f t="shared" si="6"/>
        <v>81.954993336173715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61.634437525956017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-5.6843418860808015E-14</v>
      </c>
      <c r="BE38" s="13">
        <f>BD38*VLOOKUP('Données projet'!$B$11,Paramètres!$A$1:$I$89,3,0)*VLOOKUP('Données projet'!$B$11,Paramètres!$A$1:$I$89,5,0)</f>
        <v>-2.5006556825246661E-14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180.42749272334603</v>
      </c>
      <c r="BJ38" s="59">
        <f t="shared" si="38"/>
        <v>346.61476512497495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57.916028262951976</v>
      </c>
      <c r="BQ38" s="21">
        <f>EXP(-LN(2)/25)*BQ37+(1-EXP(-LN(2)/25))/(LN(2)/25)*Calculateur!BL38*Calculateur!BN38*VLOOKUP('Données projet'!$B$11,Paramètres!$A$1:$I$89,3,0)*0.475*44/12</f>
        <v>14.420164407830219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72.336192670782197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61.634437525956017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201.29</v>
      </c>
      <c r="BW38" s="12">
        <f>VLOOKUP(A38,'Données projet'!$A$113:$I$133,9,0)</f>
        <v>15.881076923076924</v>
      </c>
      <c r="BX38" s="12">
        <f t="array" ref="BX38">INDEX(BW:BW,MIN(IF(ISNUMBER(BW38:BW234),ROW(BW38:BW234),"")))</f>
        <v>15.881076923076924</v>
      </c>
      <c r="BY38" s="12">
        <f>IF('Données projet'!$A$114&gt;35,BY37+BX38-CG37,IF(A38&lt;'Données projet'!$A$114,$BV$205^A38,IF(A38='Données projet'!$A$114,'Données projet'!$B$114,BY37+BX38-CG37)))</f>
        <v>201.29000000000002</v>
      </c>
      <c r="BZ38" s="13">
        <f>BY38*VLOOKUP('Données projet'!$B$12,Paramètres!$A$1:$I$89,3,0)*VLOOKUP('Données projet'!$B$12,Paramètres!$A$1:$I$89,5,0)</f>
        <v>182.12719200000001</v>
      </c>
      <c r="CA38" s="13">
        <f t="shared" si="39"/>
        <v>45.795123112801811</v>
      </c>
      <c r="CB38" s="20">
        <f t="shared" si="10"/>
        <v>396.96469882146312</v>
      </c>
      <c r="CC38" s="59">
        <f t="shared" si="11"/>
        <v>659.62430308330181</v>
      </c>
      <c r="CD38" s="59">
        <f ca="1">AVERAGE(OFFSET($CC$3,0,0,'Données projet'!$E$12+1,1))-AVERAGE(OFFSET($H$3,0,0,'Données projet'!$E$12+1,1))</f>
        <v>553.16421218123958</v>
      </c>
      <c r="CE38" s="59">
        <f t="shared" si="40"/>
        <v>291.73668613844416</v>
      </c>
      <c r="CF38" s="15">
        <f>IF(ISNA(VLOOKUP(A38,'Données projet'!$A$113:$I$133,3,0)),0,VLOOKUP(A38,'Données projet'!$A$113:$I$133,3,0))</f>
        <v>1</v>
      </c>
      <c r="CG38" s="15">
        <f>IF(ISNA(VLOOKUP(A38,'Données projet'!$A$113:$I$133,4,0)),0,VLOOKUP(A38,'Données projet'!$A$113:$I$133,4,0))</f>
        <v>69.58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29.926269476330646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29.926269476330646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61.634437525956017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201.29</v>
      </c>
      <c r="CR38" s="12">
        <f>VLOOKUP(A38,'Données projet'!$A$139:$I$159,9,0)</f>
        <v>15.881076923076924</v>
      </c>
      <c r="CS38" s="12">
        <f t="array" ref="CS38">INDEX(CR:CR,MIN(IF(ISNUMBER(CR38:CR234),ROW(CR38:CR234),"")))</f>
        <v>15.881076923076924</v>
      </c>
      <c r="CT38" s="12">
        <f>IF('Données projet'!$A$140&gt;35,CT37+CS38-DB37,IF(A38&lt;'Données projet'!$A$140,$CQ$205^A38,IF(A38='Données projet'!$A$140,'Données projet'!$B$140,CT37+CS38-DB37)))</f>
        <v>201.29000000000002</v>
      </c>
      <c r="CU38" s="17">
        <f>CT38*VLOOKUP('Données projet'!$B$13,Paramètres!$A$1:$I$89,3,0)*VLOOKUP('Données projet'!$B$13,Paramètres!$A$1:$I$89,5,0)</f>
        <v>204.10806000000002</v>
      </c>
      <c r="CV38" s="13">
        <f t="shared" si="41"/>
        <v>50.645923855244554</v>
      </c>
      <c r="CW38" s="20">
        <f t="shared" si="13"/>
        <v>443.69652188121762</v>
      </c>
      <c r="CX38" s="59">
        <f t="shared" si="14"/>
        <v>706.35612614305637</v>
      </c>
      <c r="CY38" s="59">
        <f ca="1">AVERAGE(OFFSET($CX$3,0,0,'Données projet'!$E$13+1,1))-AVERAGE(OFFSET($H$3,0,0,'Données projet'!$E$13+1,1))</f>
        <v>611.82989382187804</v>
      </c>
      <c r="CZ38" s="59">
        <f t="shared" si="42"/>
        <v>320.34124600136363</v>
      </c>
      <c r="DA38" s="15">
        <f>IF(ISNA(VLOOKUP(A38,'Données projet'!$A$139:$I$159,3,0)),0,VLOOKUP(A38,'Données projet'!$A$139:$I$159,3,0))</f>
        <v>1</v>
      </c>
      <c r="DB38" s="15">
        <f>IF(ISNA(VLOOKUP(A38,'Données projet'!$A$139:$I$159,4,0)),0,VLOOKUP(A38,'Données projet'!$A$139:$I$159,4,0))</f>
        <v>69.58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33.538060620025725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33.538060620025725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61.634437525956017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201.29</v>
      </c>
      <c r="DM38" s="12">
        <f>VLOOKUP(A38,'Données projet'!$A$165:$I$185,9,0)</f>
        <v>15.881076923076924</v>
      </c>
      <c r="DN38" s="12">
        <f t="array" ref="DN38">INDEX(DM:DM,MIN(IF(ISNUMBER(DM38:DM234),ROW(DM38:DM234),"")))</f>
        <v>15.881076923076924</v>
      </c>
      <c r="DO38" s="12">
        <f>IF('Données projet'!$A$166&gt;35,DO37+DN38-DW37,IF(A38&lt;'Données projet'!$A$166,$DL$205^A38,IF(A38='Données projet'!$A$166,'Données projet'!$B$166,DO37+DN38-DW37)))</f>
        <v>201.29000000000002</v>
      </c>
      <c r="DP38" s="17">
        <f>DO38*VLOOKUP('Données projet'!$B$14,Paramètres!$A$1:$I$89,3,0)*VLOOKUP('Données projet'!$B$14,Paramètres!$A$1:$I$89,5,0)</f>
        <v>216.668556</v>
      </c>
      <c r="DQ38" s="13">
        <f t="shared" si="43"/>
        <v>53.390171063355339</v>
      </c>
      <c r="DR38" s="20">
        <f t="shared" si="16"/>
        <v>470.35228296867712</v>
      </c>
      <c r="DS38" s="59">
        <f t="shared" si="17"/>
        <v>733.01188723051587</v>
      </c>
      <c r="DT38" s="59">
        <f ca="1">AVERAGE(OFFSET($DS$3,0,0,'Données projet'!$E$14+1,1))-AVERAGE(OFFSET($H$3,0,0,'Données projet'!$E$14+1,1))</f>
        <v>645.29541304800614</v>
      </c>
      <c r="DU38" s="59">
        <f t="shared" si="44"/>
        <v>336.65580771733323</v>
      </c>
      <c r="DV38" s="15">
        <f>IF(ISNA(VLOOKUP(A38,'Données projet'!$A$165:$I$185,3,0)),0,VLOOKUP(A38,'Données projet'!$A$165:$I$185,3,0))</f>
        <v>1</v>
      </c>
      <c r="DW38" s="15">
        <f>IF(ISNA(VLOOKUP(A38,'Données projet'!$A$165:$I$185,4,0)),0,VLOOKUP(A38,'Données projet'!$A$165:$I$185,4,0))</f>
        <v>69.58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35.601941273565764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35.601941273565764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61.634437525956017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205.99999999999997</v>
      </c>
      <c r="EK38" s="17">
        <f>EJ38*VLOOKUP('Données projet'!$B$15,Paramètres!$A$1:$I$89,3,0)*VLOOKUP('Données projet'!$B$15,Paramètres!$A$1:$I$89,5,0)</f>
        <v>151.03919999999997</v>
      </c>
      <c r="EL38" s="13">
        <f t="shared" si="45"/>
        <v>38.814652571726079</v>
      </c>
      <c r="EM38" s="20">
        <f t="shared" si="19"/>
        <v>330.66212656242288</v>
      </c>
      <c r="EN38" s="59">
        <f t="shared" si="20"/>
        <v>593.32173082426164</v>
      </c>
      <c r="EO38" s="59">
        <f ca="1">AVERAGE(OFFSET($EN$3,0,0,'Données projet'!$E$15+1,1))-AVERAGE(OFFSET($H$3,0,0,'Données projet'!$E$15+1,1))</f>
        <v>343.31122043016137</v>
      </c>
      <c r="EP38" s="59">
        <f t="shared" si="46"/>
        <v>333.61098411258877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0.43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12.198489778217061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12.198489778217061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61.634437525956017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205.99999999999997</v>
      </c>
      <c r="FF38" s="17">
        <f>FE38*VLOOKUP('Données projet'!$B$16,Paramètres!$A$1:$I$89,3,0)*VLOOKUP('Données projet'!$B$16,Paramètres!$A$1:$I$89,5,0)</f>
        <v>163.89359999999999</v>
      </c>
      <c r="FG38" s="13">
        <f t="shared" si="47"/>
        <v>41.71949506642347</v>
      </c>
      <c r="FH38" s="20">
        <f t="shared" si="22"/>
        <v>358.10947390735419</v>
      </c>
      <c r="FI38" s="59">
        <f t="shared" si="23"/>
        <v>620.76907816919288</v>
      </c>
      <c r="FJ38" s="59">
        <f ca="1">AVERAGE(OFFSET($FI$3,0,0,'Données projet'!$E$16+1,1))-AVERAGE(OFFSET($H$3,0,0,'Données projet'!$E$16+1,1))</f>
        <v>368.12945163484585</v>
      </c>
      <c r="FK38" s="59">
        <f t="shared" si="48"/>
        <v>357.27183934545121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0.53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16.314951939891504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16.314951939891504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61.634437525956017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61.634437525956017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3.0869565217391299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11.318840579710143</v>
      </c>
      <c r="H39" s="66">
        <f t="shared" si="1"/>
        <v>211.39130434782609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61.779561332284842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16.511666666666667</v>
      </c>
      <c r="N39" s="13">
        <f>IF('Données projet'!$A$36&gt;35,N38+M39-V38,IF(A39&lt;'Données projet'!$A$36,$K$205^A39,IF(A39='Données projet'!$A$36,'Données projet'!$B$36,N38+M39-V38)))</f>
        <v>245.38999999999993</v>
      </c>
      <c r="O39" s="13">
        <f>N39*VLOOKUP('Données projet'!$B$9,Paramètres!$A$1:$I$89,3,0)*VLOOKUP('Données projet'!$B$9,Paramètres!$A$1:$I$89,5,0)</f>
        <v>114.84251999999996</v>
      </c>
      <c r="P39" s="13">
        <f t="shared" si="33"/>
        <v>30.469043629741822</v>
      </c>
      <c r="Q39" s="20">
        <f t="shared" si="53"/>
        <v>253.08430665513359</v>
      </c>
      <c r="R39" s="59">
        <f t="shared" si="0"/>
        <v>516.276031540178</v>
      </c>
      <c r="S39" s="59">
        <f ca="1">AVERAGE(OFFSET($R$3,0,0,'Données projet'!$E$9+1,1))-AVERAGE(OFFSET($H$3,0,0,'Données projet'!$E$9+1,1))</f>
        <v>320.30433416149219</v>
      </c>
      <c r="T39" s="59">
        <f t="shared" si="34"/>
        <v>201.33422682092797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61.779561332284842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25.8</v>
      </c>
      <c r="AI39" s="13">
        <f>IF('Données projet'!$A$62&gt;35,AI38+AH39-AQ38,IF(A39&lt;'Données projet'!$A$62,$AF$205^A39,IF(A39='Données projet'!$A$62,'Données projet'!$B$62,AI38+AH39-AQ38)))</f>
        <v>363.80000000000018</v>
      </c>
      <c r="AJ39" s="13">
        <f>AI39*VLOOKUP('Données projet'!$B$10,Paramètres!$A$1:$I$89,3,0)*VLOOKUP('Données projet'!$B$10,Paramètres!$A$1:$I$89,5,0)</f>
        <v>217.55240000000015</v>
      </c>
      <c r="AK39" s="13">
        <f t="shared" si="35"/>
        <v>53.58256606538</v>
      </c>
      <c r="AL39" s="20">
        <f t="shared" si="4"/>
        <v>472.22673256387026</v>
      </c>
      <c r="AM39" s="59">
        <f t="shared" si="5"/>
        <v>735.41845744891475</v>
      </c>
      <c r="AN39" s="59">
        <f ca="1">AVERAGE(OFFSET($AM$3,0,0,'Données projet'!$E$10+1,1))-AVERAGE(OFFSET($H$3,0,0,'Données projet'!$E$10+1,1))</f>
        <v>569.80473816957431</v>
      </c>
      <c r="AO39" s="59">
        <f t="shared" si="36"/>
        <v>495.56567790763199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24.498485508561465</v>
      </c>
      <c r="AV39" s="21">
        <f>EXP(-LN(2)/25)*AV38+(1-EXP(-LN(2)/25))/(LN(2)/25)*Calculateur!AQ39*Calculateur!AS39*VLOOKUP('Données projet'!$B$10,Paramètres!$A$1:$I$89,3,0)*0.475*44/12</f>
        <v>55.39524115623847</v>
      </c>
      <c r="AW39" s="21">
        <f>EXP(-LN(2)/2)*AW38+(1-EXP(-LN(2)/2))/(LN(2)/2)*AQ39*AT39*VLOOKUP('Données projet'!$B$10,Paramètres!$A$1:$I$89,3,0)*0.475*44/12</f>
        <v>9.8184077374013842E-3</v>
      </c>
      <c r="AX39" s="21">
        <f t="shared" si="6"/>
        <v>79.903545072537341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61.779561332284842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-5.6843418860808015E-14</v>
      </c>
      <c r="BE39" s="13">
        <f>BD39*VLOOKUP('Données projet'!$B$11,Paramètres!$A$1:$I$89,3,0)*VLOOKUP('Données projet'!$B$11,Paramètres!$A$1:$I$89,5,0)</f>
        <v>-2.5006556825246661E-14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180.42749272334603</v>
      </c>
      <c r="BJ39" s="59">
        <f t="shared" si="38"/>
        <v>346.61476512497495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56.780330274004648</v>
      </c>
      <c r="BQ39" s="21">
        <f>EXP(-LN(2)/25)*BQ38+(1-EXP(-LN(2)/25))/(LN(2)/25)*Calculateur!BL39*Calculateur!BN39*VLOOKUP('Données projet'!$B$11,Paramètres!$A$1:$I$89,3,0)*0.475*44/12</f>
        <v>14.025844253774613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70.806174527779262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61.779561332284842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12.86166666666667</v>
      </c>
      <c r="BY39" s="12">
        <f>IF('Données projet'!$A$114&gt;35,BY38+BX39-CG38,IF(A39&lt;'Données projet'!$A$114,$BV$205^A39,IF(A39='Données projet'!$A$114,'Données projet'!$B$114,BY38+BX39-CG38)))</f>
        <v>144.57166666666672</v>
      </c>
      <c r="BZ39" s="13">
        <f>BY39*VLOOKUP('Données projet'!$B$12,Paramètres!$A$1:$I$89,3,0)*VLOOKUP('Données projet'!$B$12,Paramètres!$A$1:$I$89,5,0)</f>
        <v>130.80844400000004</v>
      </c>
      <c r="CA39" s="13">
        <f t="shared" si="39"/>
        <v>34.183099548128496</v>
      </c>
      <c r="CB39" s="20">
        <f t="shared" si="10"/>
        <v>287.36027167965722</v>
      </c>
      <c r="CC39" s="59">
        <f t="shared" si="11"/>
        <v>550.55199656470165</v>
      </c>
      <c r="CD39" s="59">
        <f ca="1">AVERAGE(OFFSET($CC$3,0,0,'Données projet'!$E$12+1,1))-AVERAGE(OFFSET($H$3,0,0,'Données projet'!$E$12+1,1))</f>
        <v>553.16421218123958</v>
      </c>
      <c r="CE39" s="59">
        <f t="shared" si="40"/>
        <v>291.73668613844416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29.339433585121828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29.339433585121828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61.779561332284842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12.86166666666667</v>
      </c>
      <c r="CT39" s="12">
        <f>IF('Données projet'!$A$140&gt;35,CT38+CS39-DB38,IF(A39&lt;'Données projet'!$A$140,$CQ$205^A39,IF(A39='Données projet'!$A$140,'Données projet'!$B$140,CT38+CS39-DB38)))</f>
        <v>144.57166666666672</v>
      </c>
      <c r="CU39" s="17">
        <f>CT39*VLOOKUP('Données projet'!$B$13,Paramètres!$A$1:$I$89,3,0)*VLOOKUP('Données projet'!$B$13,Paramètres!$A$1:$I$89,5,0)</f>
        <v>146.59567000000007</v>
      </c>
      <c r="CV39" s="13">
        <f t="shared" si="41"/>
        <v>37.803908782741182</v>
      </c>
      <c r="CW39" s="20">
        <f t="shared" si="13"/>
        <v>321.16259971327435</v>
      </c>
      <c r="CX39" s="59">
        <f t="shared" si="14"/>
        <v>584.35432459831873</v>
      </c>
      <c r="CY39" s="59">
        <f ca="1">AVERAGE(OFFSET($CX$3,0,0,'Données projet'!$E$13+1,1))-AVERAGE(OFFSET($H$3,0,0,'Données projet'!$E$13+1,1))</f>
        <v>611.82989382187804</v>
      </c>
      <c r="CZ39" s="59">
        <f t="shared" si="42"/>
        <v>320.34124600136363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32.880399707464115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32.880399707464115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61.779561332284842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12.86166666666667</v>
      </c>
      <c r="DO39" s="12">
        <f>IF('Données projet'!$A$166&gt;35,DO38+DN39-DW38,IF(A39&lt;'Données projet'!$A$166,$DL$205^A39,IF(A39='Données projet'!$A$166,'Données projet'!$B$166,DO38+DN39-DW38)))</f>
        <v>144.57166666666672</v>
      </c>
      <c r="DP39" s="17">
        <f>DO39*VLOOKUP('Données projet'!$B$14,Paramètres!$A$1:$I$89,3,0)*VLOOKUP('Données projet'!$B$14,Paramètres!$A$1:$I$89,5,0)</f>
        <v>155.61694200000002</v>
      </c>
      <c r="DQ39" s="13">
        <f t="shared" si="43"/>
        <v>39.852311955901335</v>
      </c>
      <c r="DR39" s="20">
        <f t="shared" si="16"/>
        <v>340.44228397319483</v>
      </c>
      <c r="DS39" s="59">
        <f t="shared" si="17"/>
        <v>603.63400885823921</v>
      </c>
      <c r="DT39" s="59">
        <f ca="1">AVERAGE(OFFSET($DS$3,0,0,'Données projet'!$E$14+1,1))-AVERAGE(OFFSET($H$3,0,0,'Données projet'!$E$14+1,1))</f>
        <v>645.29541304800614</v>
      </c>
      <c r="DU39" s="59">
        <f t="shared" si="44"/>
        <v>336.65580771733323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34.903808920231135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34.903808920231135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61.779561332284842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182.39999999999998</v>
      </c>
      <c r="EK39" s="17">
        <f>EJ39*VLOOKUP('Données projet'!$B$15,Paramètres!$A$1:$I$89,3,0)*VLOOKUP('Données projet'!$B$15,Paramètres!$A$1:$I$89,5,0)</f>
        <v>133.73567999999997</v>
      </c>
      <c r="EL39" s="13">
        <f t="shared" si="45"/>
        <v>34.858136849359212</v>
      </c>
      <c r="EM39" s="20">
        <f t="shared" si="19"/>
        <v>293.6342310126339</v>
      </c>
      <c r="EN39" s="59">
        <f t="shared" si="20"/>
        <v>556.82595589767834</v>
      </c>
      <c r="EO39" s="59">
        <f ca="1">AVERAGE(OFFSET($EN$3,0,0,'Données projet'!$E$15+1,1))-AVERAGE(OFFSET($H$3,0,0,'Données projet'!$E$15+1,1))</f>
        <v>343.31122043016137</v>
      </c>
      <c r="EP39" s="59">
        <f t="shared" si="46"/>
        <v>333.61098411258877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11.959284834010315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11.959284834010315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61.779561332284842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182.39999999999998</v>
      </c>
      <c r="FF39" s="17">
        <f>FE39*VLOOKUP('Données projet'!$B$16,Paramètres!$A$1:$I$89,3,0)*VLOOKUP('Données projet'!$B$16,Paramètres!$A$1:$I$89,5,0)</f>
        <v>145.11743999999999</v>
      </c>
      <c r="FG39" s="13">
        <f t="shared" si="47"/>
        <v>37.466878406916173</v>
      </c>
      <c r="FH39" s="20">
        <f t="shared" si="22"/>
        <v>318.00102122537896</v>
      </c>
      <c r="FI39" s="59">
        <f t="shared" si="23"/>
        <v>581.1927461104234</v>
      </c>
      <c r="FJ39" s="59">
        <f ca="1">AVERAGE(OFFSET($FI$3,0,0,'Données projet'!$E$16+1,1))-AVERAGE(OFFSET($H$3,0,0,'Données projet'!$E$16+1,1))</f>
        <v>368.12945163484585</v>
      </c>
      <c r="FK39" s="59">
        <f t="shared" si="48"/>
        <v>357.27183934545121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15.995025683488322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15.995025683488322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61.779561332284842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61.779561332284842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3.0869565217391299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11.318840579710143</v>
      </c>
      <c r="H40" s="66">
        <f t="shared" si="1"/>
        <v>211.39130434782609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61.922167565022079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16.511666666666667</v>
      </c>
      <c r="N40" s="13">
        <f>IF('Données projet'!$A$36&gt;35,N39+M40-V39,IF(A40&lt;'Données projet'!$A$36,$K$205^A40,IF(A40='Données projet'!$A$36,'Données projet'!$B$36,N39+M40-V39)))</f>
        <v>261.90166666666659</v>
      </c>
      <c r="O40" s="13">
        <f>N40*VLOOKUP('Données projet'!$B$9,Paramètres!$A$1:$I$89,3,0)*VLOOKUP('Données projet'!$B$9,Paramètres!$A$1:$I$89,5,0)</f>
        <v>122.56997999999996</v>
      </c>
      <c r="P40" s="13">
        <f t="shared" si="33"/>
        <v>32.27366368975963</v>
      </c>
      <c r="Q40" s="20">
        <f t="shared" si="53"/>
        <v>269.68601275966461</v>
      </c>
      <c r="R40" s="59">
        <f t="shared" si="0"/>
        <v>533.40062716474563</v>
      </c>
      <c r="S40" s="59">
        <f ca="1">AVERAGE(OFFSET($R$3,0,0,'Données projet'!$E$9+1,1))-AVERAGE(OFFSET($H$3,0,0,'Données projet'!$E$9+1,1))</f>
        <v>320.30433416149219</v>
      </c>
      <c r="T40" s="59">
        <f t="shared" si="34"/>
        <v>201.33422682092797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61.922167565022079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25.8</v>
      </c>
      <c r="AI40" s="13">
        <f>IF('Données projet'!$A$62&gt;35,AI39+AH40-AQ39,IF(A40&lt;'Données projet'!$A$62,$AF$205^A40,IF(A40='Données projet'!$A$62,'Données projet'!$B$62,AI39+AH40-AQ39)))</f>
        <v>389.60000000000019</v>
      </c>
      <c r="AJ40" s="13">
        <f>AI40*VLOOKUP('Données projet'!$B$10,Paramètres!$A$1:$I$89,3,0)*VLOOKUP('Données projet'!$B$10,Paramètres!$A$1:$I$89,5,0)</f>
        <v>232.98080000000013</v>
      </c>
      <c r="AK40" s="13">
        <f t="shared" si="35"/>
        <v>56.926716368527195</v>
      </c>
      <c r="AL40" s="20">
        <f t="shared" si="4"/>
        <v>504.92225767518511</v>
      </c>
      <c r="AM40" s="59">
        <f t="shared" si="5"/>
        <v>768.63687208026613</v>
      </c>
      <c r="AN40" s="59">
        <f ca="1">AVERAGE(OFFSET($AM$3,0,0,'Données projet'!$E$10+1,1))-AVERAGE(OFFSET($H$3,0,0,'Données projet'!$E$10+1,1))</f>
        <v>569.80473816957431</v>
      </c>
      <c r="AO40" s="59">
        <f t="shared" si="36"/>
        <v>495.56567790763199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24.018085150339274</v>
      </c>
      <c r="AV40" s="21">
        <f>EXP(-LN(2)/25)*AV39+(1-EXP(-LN(2)/25))/(LN(2)/25)*Calculateur!AQ40*Calculateur!AS40*VLOOKUP('Données projet'!$B$10,Paramètres!$A$1:$I$89,3,0)*0.475*44/12</f>
        <v>53.880455373712003</v>
      </c>
      <c r="AW40" s="21">
        <f>EXP(-LN(2)/2)*AW39+(1-EXP(-LN(2)/2))/(LN(2)/2)*AQ40*AT40*VLOOKUP('Données projet'!$B$10,Paramètres!$A$1:$I$89,3,0)*0.475*44/12</f>
        <v>6.9426626915709859E-3</v>
      </c>
      <c r="AX40" s="21">
        <f t="shared" si="6"/>
        <v>77.905483186742842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61.922167565022079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-5.6843418860808015E-14</v>
      </c>
      <c r="BE40" s="13">
        <f>BD40*VLOOKUP('Données projet'!$B$11,Paramètres!$A$1:$I$89,3,0)*VLOOKUP('Données projet'!$B$11,Paramètres!$A$1:$I$89,5,0)</f>
        <v>-2.5006556825246661E-14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180.42749272334603</v>
      </c>
      <c r="BJ40" s="59">
        <f t="shared" si="38"/>
        <v>346.61476512497495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55.666902629913203</v>
      </c>
      <c r="BQ40" s="21">
        <f>EXP(-LN(2)/25)*BQ39+(1-EXP(-LN(2)/25))/(LN(2)/25)*Calculateur!BL40*Calculateur!BN40*VLOOKUP('Données projet'!$B$11,Paramètres!$A$1:$I$89,3,0)*0.475*44/12</f>
        <v>13.642306805068053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69.309209434981256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61.922167565022079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12.86166666666667</v>
      </c>
      <c r="BY40" s="12">
        <f>IF('Données projet'!$A$114&gt;35,BY39+BX40-CG39,IF(A40&lt;'Données projet'!$A$114,$BV$205^A40,IF(A40='Données projet'!$A$114,'Données projet'!$B$114,BY39+BX40-CG39)))</f>
        <v>157.43333333333339</v>
      </c>
      <c r="BZ40" s="13">
        <f>BY40*VLOOKUP('Données projet'!$B$12,Paramètres!$A$1:$I$89,3,0)*VLOOKUP('Données projet'!$B$12,Paramètres!$A$1:$I$89,5,0)</f>
        <v>142.44568000000007</v>
      </c>
      <c r="CA40" s="13">
        <f t="shared" si="39"/>
        <v>36.856710479085173</v>
      </c>
      <c r="CB40" s="20">
        <f t="shared" si="10"/>
        <v>312.28499675107349</v>
      </c>
      <c r="CC40" s="59">
        <f t="shared" si="11"/>
        <v>575.99961115615451</v>
      </c>
      <c r="CD40" s="59">
        <f ca="1">AVERAGE(OFFSET($CC$3,0,0,'Données projet'!$E$12+1,1))-AVERAGE(OFFSET($H$3,0,0,'Données projet'!$E$12+1,1))</f>
        <v>553.16421218123958</v>
      </c>
      <c r="CE40" s="59">
        <f t="shared" si="40"/>
        <v>291.73668613844416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28.764105187805065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28.764105187805065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61.922167565022079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12.86166666666667</v>
      </c>
      <c r="CT40" s="12">
        <f>IF('Données projet'!$A$140&gt;35,CT39+CS40-DB39,IF(A40&lt;'Données projet'!$A$140,$CQ$205^A40,IF(A40='Données projet'!$A$140,'Données projet'!$B$140,CT39+CS40-DB39)))</f>
        <v>157.43333333333339</v>
      </c>
      <c r="CU40" s="17">
        <f>CT40*VLOOKUP('Données projet'!$B$13,Paramètres!$A$1:$I$89,3,0)*VLOOKUP('Données projet'!$B$13,Paramètres!$A$1:$I$89,5,0)</f>
        <v>159.63740000000007</v>
      </c>
      <c r="CV40" s="13">
        <f t="shared" si="41"/>
        <v>40.760719168297868</v>
      </c>
      <c r="CW40" s="20">
        <f t="shared" si="13"/>
        <v>349.02672421811889</v>
      </c>
      <c r="CX40" s="59">
        <f t="shared" si="14"/>
        <v>612.74133862319991</v>
      </c>
      <c r="CY40" s="59">
        <f ca="1">AVERAGE(OFFSET($CX$3,0,0,'Données projet'!$E$13+1,1))-AVERAGE(OFFSET($H$3,0,0,'Données projet'!$E$13+1,1))</f>
        <v>611.82989382187804</v>
      </c>
      <c r="CZ40" s="59">
        <f t="shared" si="42"/>
        <v>320.34124600136363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32.235635124264292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32.235635124264292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61.922167565022079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12.86166666666667</v>
      </c>
      <c r="DO40" s="12">
        <f>IF('Données projet'!$A$166&gt;35,DO39+DN40-DW39,IF(A40&lt;'Données projet'!$A$166,$DL$205^A40,IF(A40='Données projet'!$A$166,'Données projet'!$B$166,DO39+DN40-DW39)))</f>
        <v>157.43333333333339</v>
      </c>
      <c r="DP40" s="17">
        <f>DO40*VLOOKUP('Données projet'!$B$14,Paramètres!$A$1:$I$89,3,0)*VLOOKUP('Données projet'!$B$14,Paramètres!$A$1:$I$89,5,0)</f>
        <v>169.46124000000006</v>
      </c>
      <c r="DQ40" s="13">
        <f t="shared" si="43"/>
        <v>42.969336985161014</v>
      </c>
      <c r="DR40" s="20">
        <f t="shared" si="16"/>
        <v>369.98325491582222</v>
      </c>
      <c r="DS40" s="59">
        <f t="shared" si="17"/>
        <v>633.69786932090324</v>
      </c>
      <c r="DT40" s="59">
        <f ca="1">AVERAGE(OFFSET($DS$3,0,0,'Données projet'!$E$14+1,1))-AVERAGE(OFFSET($H$3,0,0,'Données projet'!$E$14+1,1))</f>
        <v>645.29541304800614</v>
      </c>
      <c r="DU40" s="59">
        <f t="shared" si="44"/>
        <v>336.65580771733323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34.219366516526705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34.219366516526705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61.922167565022079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193.79999999999998</v>
      </c>
      <c r="EK40" s="17">
        <f>EJ40*VLOOKUP('Données projet'!$B$15,Paramètres!$A$1:$I$89,3,0)*VLOOKUP('Données projet'!$B$15,Paramètres!$A$1:$I$89,5,0)</f>
        <v>142.09415999999999</v>
      </c>
      <c r="EL40" s="13">
        <f t="shared" si="45"/>
        <v>36.77633279983236</v>
      </c>
      <c r="EM40" s="20">
        <f t="shared" si="19"/>
        <v>311.53277495970798</v>
      </c>
      <c r="EN40" s="59">
        <f t="shared" si="20"/>
        <v>575.24738936478889</v>
      </c>
      <c r="EO40" s="59">
        <f ca="1">AVERAGE(OFFSET($EN$3,0,0,'Données projet'!$E$15+1,1))-AVERAGE(OFFSET($H$3,0,0,'Données projet'!$E$15+1,1))</f>
        <v>343.31122043016137</v>
      </c>
      <c r="EP40" s="59">
        <f t="shared" si="46"/>
        <v>333.61098411258877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11.724770552858855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11.724770552858855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61.922167565022079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193.79999999999998</v>
      </c>
      <c r="FF40" s="17">
        <f>FE40*VLOOKUP('Données projet'!$B$16,Paramètres!$A$1:$I$89,3,0)*VLOOKUP('Données projet'!$B$16,Paramètres!$A$1:$I$89,5,0)</f>
        <v>154.18727999999999</v>
      </c>
      <c r="FG40" s="13">
        <f t="shared" si="47"/>
        <v>39.528629863903078</v>
      </c>
      <c r="FH40" s="20">
        <f t="shared" si="22"/>
        <v>337.38854301296448</v>
      </c>
      <c r="FI40" s="59">
        <f t="shared" si="23"/>
        <v>601.10315741804538</v>
      </c>
      <c r="FJ40" s="59">
        <f ca="1">AVERAGE(OFFSET($FI$3,0,0,'Données projet'!$E$16+1,1))-AVERAGE(OFFSET($H$3,0,0,'Données projet'!$E$16+1,1))</f>
        <v>368.12945163484585</v>
      </c>
      <c r="FK40" s="59">
        <f t="shared" si="48"/>
        <v>357.27183934545121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15.681372985837458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15.681372985837458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61.922167565022079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61.922167565022079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3.0869565217391299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11.318840579710143</v>
      </c>
      <c r="H41" s="66">
        <f t="shared" si="1"/>
        <v>211.39130434782609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62.062299898441104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16.511666666666667</v>
      </c>
      <c r="N41" s="13">
        <f>IF('Données projet'!$A$36&gt;35,N40+M41-V40,IF(A41&lt;'Données projet'!$A$36,$K$205^A41,IF(A41='Données projet'!$A$36,'Données projet'!$B$36,N40+M41-V40)))</f>
        <v>278.41333333333324</v>
      </c>
      <c r="O41" s="13">
        <f>N41*VLOOKUP('Données projet'!$B$9,Paramètres!$A$1:$I$89,3,0)*VLOOKUP('Données projet'!$B$9,Paramètres!$A$1:$I$89,5,0)</f>
        <v>130.29743999999997</v>
      </c>
      <c r="P41" s="13">
        <f t="shared" si="33"/>
        <v>34.06507983892925</v>
      </c>
      <c r="Q41" s="20">
        <f t="shared" si="53"/>
        <v>286.26472205280169</v>
      </c>
      <c r="R41" s="59">
        <f t="shared" si="0"/>
        <v>550.49315501375236</v>
      </c>
      <c r="S41" s="59">
        <f ca="1">AVERAGE(OFFSET($R$3,0,0,'Données projet'!$E$9+1,1))-AVERAGE(OFFSET($H$3,0,0,'Données projet'!$E$9+1,1))</f>
        <v>320.30433416149219</v>
      </c>
      <c r="T41" s="59">
        <f t="shared" si="34"/>
        <v>201.33422682092797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62.062299898441104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25.8</v>
      </c>
      <c r="AI41" s="13">
        <f>IF('Données projet'!$A$62&gt;35,AI40+AH41-AQ40,IF(A41&lt;'Données projet'!$A$62,$AF$205^A41,IF(A41='Données projet'!$A$62,'Données projet'!$B$62,AI40+AH41-AQ40)))</f>
        <v>415.4000000000002</v>
      </c>
      <c r="AJ41" s="13">
        <f>AI41*VLOOKUP('Données projet'!$B$10,Paramètres!$A$1:$I$89,3,0)*VLOOKUP('Données projet'!$B$10,Paramètres!$A$1:$I$89,5,0)</f>
        <v>248.40920000000011</v>
      </c>
      <c r="AK41" s="13">
        <f t="shared" si="35"/>
        <v>60.245168520988734</v>
      </c>
      <c r="AL41" s="20">
        <f t="shared" si="4"/>
        <v>537.57302517405549</v>
      </c>
      <c r="AM41" s="59">
        <f t="shared" si="5"/>
        <v>801.80145813500621</v>
      </c>
      <c r="AN41" s="59">
        <f ca="1">AVERAGE(OFFSET($AM$3,0,0,'Données projet'!$E$10+1,1))-AVERAGE(OFFSET($H$3,0,0,'Données projet'!$E$10+1,1))</f>
        <v>569.80473816957431</v>
      </c>
      <c r="AO41" s="59">
        <f t="shared" si="36"/>
        <v>495.56567790763199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23.547105150126537</v>
      </c>
      <c r="AV41" s="21">
        <f>EXP(-LN(2)/25)*AV40+(1-EXP(-LN(2)/25))/(LN(2)/25)*Calculateur!AQ41*Calculateur!AS41*VLOOKUP('Données projet'!$B$10,Paramètres!$A$1:$I$89,3,0)*0.475*44/12</f>
        <v>52.407091488067849</v>
      </c>
      <c r="AW41" s="21">
        <f>EXP(-LN(2)/2)*AW40+(1-EXP(-LN(2)/2))/(LN(2)/2)*AQ41*AT41*VLOOKUP('Données projet'!$B$10,Paramètres!$A$1:$I$89,3,0)*0.475*44/12</f>
        <v>4.9092038687006921E-3</v>
      </c>
      <c r="AX41" s="21">
        <f t="shared" si="6"/>
        <v>75.959105842063096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62.062299898441104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-5.6843418860808015E-14</v>
      </c>
      <c r="BE41" s="13">
        <f>BD41*VLOOKUP('Données projet'!$B$11,Paramètres!$A$1:$I$89,3,0)*VLOOKUP('Données projet'!$B$11,Paramètres!$A$1:$I$89,5,0)</f>
        <v>-2.5006556825246661E-14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180.42749272334603</v>
      </c>
      <c r="BJ41" s="59">
        <f t="shared" si="38"/>
        <v>346.61476512497495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54.57530862279858</v>
      </c>
      <c r="BQ41" s="21">
        <f>EXP(-LN(2)/25)*BQ40+(1-EXP(-LN(2)/25))/(LN(2)/25)*Calculateur!BL41*Calculateur!BN41*VLOOKUP('Données projet'!$B$11,Paramètres!$A$1:$I$89,3,0)*0.475*44/12</f>
        <v>13.269257208065731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67.844565830864312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62.062299898441104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12.86166666666667</v>
      </c>
      <c r="BY41" s="12">
        <f>IF('Données projet'!$A$114&gt;35,BY40+BX41-CG40,IF(A41&lt;'Données projet'!$A$114,$BV$205^A41,IF(A41='Données projet'!$A$114,'Données projet'!$B$114,BY40+BX41-CG40)))</f>
        <v>170.29500000000007</v>
      </c>
      <c r="BZ41" s="13">
        <f>BY41*VLOOKUP('Données projet'!$B$12,Paramètres!$A$1:$I$89,3,0)*VLOOKUP('Données projet'!$B$12,Paramètres!$A$1:$I$89,5,0)</f>
        <v>154.08291600000007</v>
      </c>
      <c r="CA41" s="13">
        <f t="shared" si="39"/>
        <v>39.504987725811617</v>
      </c>
      <c r="CB41" s="20">
        <f t="shared" si="10"/>
        <v>337.16559898912197</v>
      </c>
      <c r="CC41" s="59">
        <f t="shared" si="11"/>
        <v>601.39403195007264</v>
      </c>
      <c r="CD41" s="59">
        <f ca="1">AVERAGE(OFFSET($CC$3,0,0,'Données projet'!$E$12+1,1))-AVERAGE(OFFSET($H$3,0,0,'Données projet'!$E$12+1,1))</f>
        <v>553.16421218123958</v>
      </c>
      <c r="CE41" s="59">
        <f t="shared" si="40"/>
        <v>291.73668613844416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28.200058629444008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28.200058629444008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62.062299898441104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12.86166666666667</v>
      </c>
      <c r="CT41" s="12">
        <f>IF('Données projet'!$A$140&gt;35,CT40+CS41-DB40,IF(A41&lt;'Données projet'!$A$140,$CQ$205^A41,IF(A41='Données projet'!$A$140,'Données projet'!$B$140,CT40+CS41-DB40)))</f>
        <v>170.29500000000007</v>
      </c>
      <c r="CU41" s="17">
        <f>CT41*VLOOKUP('Données projet'!$B$13,Paramètres!$A$1:$I$89,3,0)*VLOOKUP('Données projet'!$B$13,Paramètres!$A$1:$I$89,5,0)</f>
        <v>172.6791300000001</v>
      </c>
      <c r="CV41" s="13">
        <f t="shared" si="41"/>
        <v>43.689512425494954</v>
      </c>
      <c r="CW41" s="20">
        <f t="shared" si="13"/>
        <v>376.84205222440391</v>
      </c>
      <c r="CX41" s="59">
        <f t="shared" si="14"/>
        <v>641.07048518535453</v>
      </c>
      <c r="CY41" s="59">
        <f ca="1">AVERAGE(OFFSET($CX$3,0,0,'Données projet'!$E$13+1,1))-AVERAGE(OFFSET($H$3,0,0,'Données projet'!$E$13+1,1))</f>
        <v>611.82989382187804</v>
      </c>
      <c r="CZ41" s="59">
        <f t="shared" si="42"/>
        <v>320.34124600136363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31.603513981273455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31.603513981273455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62.062299898441104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12.86166666666667</v>
      </c>
      <c r="DO41" s="12">
        <f>IF('Données projet'!$A$166&gt;35,DO40+DN41-DW40,IF(A41&lt;'Données projet'!$A$166,$DL$205^A41,IF(A41='Données projet'!$A$166,'Données projet'!$B$166,DO40+DN41-DW40)))</f>
        <v>170.29500000000007</v>
      </c>
      <c r="DP41" s="17">
        <f>DO41*VLOOKUP('Données projet'!$B$14,Paramètres!$A$1:$I$89,3,0)*VLOOKUP('Données projet'!$B$14,Paramètres!$A$1:$I$89,5,0)</f>
        <v>183.30553800000007</v>
      </c>
      <c r="DQ41" s="13">
        <f t="shared" si="43"/>
        <v>46.056826779164666</v>
      </c>
      <c r="DR41" s="20">
        <f t="shared" si="16"/>
        <v>399.47278532371189</v>
      </c>
      <c r="DS41" s="59">
        <f t="shared" si="17"/>
        <v>663.70121828466256</v>
      </c>
      <c r="DT41" s="59">
        <f ca="1">AVERAGE(OFFSET($DS$3,0,0,'Données projet'!$E$14+1,1))-AVERAGE(OFFSET($H$3,0,0,'Données projet'!$E$14+1,1))</f>
        <v>645.29541304800614</v>
      </c>
      <c r="DU41" s="59">
        <f t="shared" si="44"/>
        <v>336.65580771733323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33.54834561089028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33.54834561089028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62.062299898441104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205.2</v>
      </c>
      <c r="EK41" s="17">
        <f>EJ41*VLOOKUP('Données projet'!$B$15,Paramètres!$A$1:$I$89,3,0)*VLOOKUP('Données projet'!$B$15,Paramètres!$A$1:$I$89,5,0)</f>
        <v>150.45263999999997</v>
      </c>
      <c r="EL41" s="13">
        <f t="shared" si="45"/>
        <v>38.681431639913605</v>
      </c>
      <c r="EM41" s="20">
        <f t="shared" si="19"/>
        <v>329.40850810618275</v>
      </c>
      <c r="EN41" s="59">
        <f t="shared" si="20"/>
        <v>593.63694106713342</v>
      </c>
      <c r="EO41" s="59">
        <f ca="1">AVERAGE(OFFSET($EN$3,0,0,'Données projet'!$E$15+1,1))-AVERAGE(OFFSET($H$3,0,0,'Données projet'!$E$15+1,1))</f>
        <v>343.31122043016137</v>
      </c>
      <c r="EP41" s="59">
        <f t="shared" si="46"/>
        <v>333.61098411258877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11.494854953721187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11.494854953721187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62.062299898441104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205.2</v>
      </c>
      <c r="FF41" s="17">
        <f>FE41*VLOOKUP('Données projet'!$B$16,Paramètres!$A$1:$I$89,3,0)*VLOOKUP('Données projet'!$B$16,Paramètres!$A$1:$I$89,5,0)</f>
        <v>163.25712000000001</v>
      </c>
      <c r="FG41" s="13">
        <f t="shared" si="47"/>
        <v>41.576304038313076</v>
      </c>
      <c r="FH41" s="20">
        <f t="shared" si="22"/>
        <v>356.75154686672863</v>
      </c>
      <c r="FI41" s="59">
        <f t="shared" si="23"/>
        <v>620.97997982767924</v>
      </c>
      <c r="FJ41" s="59">
        <f ca="1">AVERAGE(OFFSET($FI$3,0,0,'Données projet'!$E$16+1,1))-AVERAGE(OFFSET($H$3,0,0,'Données projet'!$E$16+1,1))</f>
        <v>368.12945163484585</v>
      </c>
      <c r="FK41" s="59">
        <f t="shared" si="48"/>
        <v>357.27183934545121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15.373870826278271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15.373870826278271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62.062299898441104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62.062299898441104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3.0869565217391299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11.318840579710143</v>
      </c>
      <c r="H42" s="66">
        <f t="shared" si="1"/>
        <v>211.39130434782609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62.200001249164274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16.511666666666667</v>
      </c>
      <c r="N42" s="13">
        <f>IF('Données projet'!$A$36&gt;35,N41+M42-V41,IF(A42&lt;'Données projet'!$A$36,$K$205^A42,IF(A42='Données projet'!$A$36,'Données projet'!$B$36,N41+M42-V41)))</f>
        <v>294.9249999999999</v>
      </c>
      <c r="O42" s="13">
        <f>N42*VLOOKUP('Données projet'!$B$9,Paramètres!$A$1:$I$89,3,0)*VLOOKUP('Données projet'!$B$9,Paramètres!$A$1:$I$89,5,0)</f>
        <v>138.02489999999995</v>
      </c>
      <c r="P42" s="13">
        <f t="shared" si="33"/>
        <v>35.844164344221397</v>
      </c>
      <c r="Q42" s="20">
        <f t="shared" si="53"/>
        <v>302.82195373285214</v>
      </c>
      <c r="R42" s="59">
        <f t="shared" si="0"/>
        <v>567.55529164645441</v>
      </c>
      <c r="S42" s="59">
        <f ca="1">AVERAGE(OFFSET($R$3,0,0,'Données projet'!$E$9+1,1))-AVERAGE(OFFSET($H$3,0,0,'Données projet'!$E$9+1,1))</f>
        <v>320.30433416149219</v>
      </c>
      <c r="T42" s="59">
        <f t="shared" si="34"/>
        <v>201.33422682092797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62.200001249164274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25.8</v>
      </c>
      <c r="AI42" s="13">
        <f>IF('Données projet'!$A$62&gt;35,AI41+AH42-AQ41,IF(A42&lt;'Données projet'!$A$62,$AF$205^A42,IF(A42='Données projet'!$A$62,'Données projet'!$B$62,AI41+AH42-AQ41)))</f>
        <v>441.20000000000022</v>
      </c>
      <c r="AJ42" s="13">
        <f>AI42*VLOOKUP('Données projet'!$B$10,Paramètres!$A$1:$I$89,3,0)*VLOOKUP('Données projet'!$B$10,Paramètres!$A$1:$I$89,5,0)</f>
        <v>263.83760000000018</v>
      </c>
      <c r="AK42" s="13">
        <f t="shared" si="35"/>
        <v>63.539700318692688</v>
      </c>
      <c r="AL42" s="20">
        <f t="shared" si="4"/>
        <v>570.18213138839008</v>
      </c>
      <c r="AM42" s="59">
        <f t="shared" si="5"/>
        <v>834.9154693019924</v>
      </c>
      <c r="AN42" s="59">
        <f ca="1">AVERAGE(OFFSET($AM$3,0,0,'Données projet'!$E$10+1,1))-AVERAGE(OFFSET($H$3,0,0,'Données projet'!$E$10+1,1))</f>
        <v>569.80473816957431</v>
      </c>
      <c r="AO42" s="59">
        <f t="shared" si="36"/>
        <v>495.56567790763199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23.085360780448536</v>
      </c>
      <c r="AV42" s="21">
        <f>EXP(-LN(2)/25)*AV41+(1-EXP(-LN(2)/25))/(LN(2)/25)*Calculateur!AQ42*Calculateur!AS42*VLOOKUP('Données projet'!$B$10,Paramètres!$A$1:$I$89,3,0)*0.475*44/12</f>
        <v>50.974016815357473</v>
      </c>
      <c r="AW42" s="21">
        <f>EXP(-LN(2)/2)*AW41+(1-EXP(-LN(2)/2))/(LN(2)/2)*AQ42*AT42*VLOOKUP('Données projet'!$B$10,Paramètres!$A$1:$I$89,3,0)*0.475*44/12</f>
        <v>3.4713313457854929E-3</v>
      </c>
      <c r="AX42" s="21">
        <f t="shared" si="6"/>
        <v>74.062848927151791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62.200001249164274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-5.6843418860808015E-14</v>
      </c>
      <c r="BE42" s="13">
        <f>BD42*VLOOKUP('Données projet'!$B$11,Paramètres!$A$1:$I$89,3,0)*VLOOKUP('Données projet'!$B$11,Paramètres!$A$1:$I$89,5,0)</f>
        <v>-2.5006556825246661E-14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180.42749272334603</v>
      </c>
      <c r="BJ42" s="59">
        <f t="shared" si="38"/>
        <v>346.61476512497495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53.505120108356877</v>
      </c>
      <c r="BQ42" s="21">
        <f>EXP(-LN(2)/25)*BQ41+(1-EXP(-LN(2)/25))/(LN(2)/25)*Calculateur!BL42*Calculateur!BN42*VLOOKUP('Données projet'!$B$11,Paramètres!$A$1:$I$89,3,0)*0.475*44/12</f>
        <v>12.906408671911265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66.411528780268142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62.200001249164274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12.86166666666667</v>
      </c>
      <c r="BY42" s="12">
        <f>IF('Données projet'!$A$114&gt;35,BY41+BX42-CG41,IF(A42&lt;'Données projet'!$A$114,$BV$205^A42,IF(A42='Données projet'!$A$114,'Données projet'!$B$114,BY41+BX42-CG41)))</f>
        <v>183.15666666666675</v>
      </c>
      <c r="BZ42" s="13">
        <f>BY42*VLOOKUP('Données projet'!$B$12,Paramètres!$A$1:$I$89,3,0)*VLOOKUP('Données projet'!$B$12,Paramètres!$A$1:$I$89,5,0)</f>
        <v>165.72015200000007</v>
      </c>
      <c r="CA42" s="13">
        <f t="shared" si="39"/>
        <v>42.130062193248868</v>
      </c>
      <c r="CB42" s="20">
        <f t="shared" si="10"/>
        <v>362.00578971990859</v>
      </c>
      <c r="CC42" s="59">
        <f t="shared" si="11"/>
        <v>626.73912763351086</v>
      </c>
      <c r="CD42" s="59">
        <f ca="1">AVERAGE(OFFSET($CC$3,0,0,'Données projet'!$E$12+1,1))-AVERAGE(OFFSET($H$3,0,0,'Données projet'!$E$12+1,1))</f>
        <v>553.16421218123958</v>
      </c>
      <c r="CE42" s="59">
        <f t="shared" si="40"/>
        <v>291.73668613844416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27.647072680057985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27.647072680057985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62.200001249164274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12.86166666666667</v>
      </c>
      <c r="CT42" s="12">
        <f>IF('Données projet'!$A$140&gt;35,CT41+CS42-DB41,IF(A42&lt;'Données projet'!$A$140,$CQ$205^A42,IF(A42='Données projet'!$A$140,'Données projet'!$B$140,CT41+CS42-DB41)))</f>
        <v>183.15666666666675</v>
      </c>
      <c r="CU42" s="17">
        <f>CT42*VLOOKUP('Données projet'!$B$13,Paramètres!$A$1:$I$89,3,0)*VLOOKUP('Données projet'!$B$13,Paramètres!$A$1:$I$89,5,0)</f>
        <v>185.7208600000001</v>
      </c>
      <c r="CV42" s="13">
        <f t="shared" si="41"/>
        <v>46.59264517316101</v>
      </c>
      <c r="CW42" s="20">
        <f t="shared" si="13"/>
        <v>404.61268817658896</v>
      </c>
      <c r="CX42" s="59">
        <f t="shared" si="14"/>
        <v>669.34602609019134</v>
      </c>
      <c r="CY42" s="59">
        <f ca="1">AVERAGE(OFFSET($CX$3,0,0,'Données projet'!$E$13+1,1))-AVERAGE(OFFSET($H$3,0,0,'Données projet'!$E$13+1,1))</f>
        <v>611.82989382187804</v>
      </c>
      <c r="CZ42" s="59">
        <f t="shared" si="42"/>
        <v>320.34124600136363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30.983788348340841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30.983788348340841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62.200001249164274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12.86166666666667</v>
      </c>
      <c r="DO42" s="12">
        <f>IF('Données projet'!$A$166&gt;35,DO41+DN42-DW41,IF(A42&lt;'Données projet'!$A$166,$DL$205^A42,IF(A42='Données projet'!$A$166,'Données projet'!$B$166,DO41+DN42-DW41)))</f>
        <v>183.15666666666675</v>
      </c>
      <c r="DP42" s="17">
        <f>DO42*VLOOKUP('Données projet'!$B$14,Paramètres!$A$1:$I$89,3,0)*VLOOKUP('Données projet'!$B$14,Paramètres!$A$1:$I$89,5,0)</f>
        <v>197.14983600000008</v>
      </c>
      <c r="DQ42" s="13">
        <f t="shared" si="43"/>
        <v>49.117265650030859</v>
      </c>
      <c r="DR42" s="20">
        <f t="shared" si="16"/>
        <v>428.9152020404706</v>
      </c>
      <c r="DS42" s="59">
        <f t="shared" si="17"/>
        <v>693.64853995407293</v>
      </c>
      <c r="DT42" s="59">
        <f ca="1">AVERAGE(OFFSET($DS$3,0,0,'Données projet'!$E$14+1,1))-AVERAGE(OFFSET($H$3,0,0,'Données projet'!$E$14+1,1))</f>
        <v>645.29541304800614</v>
      </c>
      <c r="DU42" s="59">
        <f t="shared" si="44"/>
        <v>336.65580771733323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32.890483015931046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32.890483015931046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62.200001249164274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216.6</v>
      </c>
      <c r="EK42" s="17">
        <f>EJ42*VLOOKUP('Données projet'!$B$15,Paramètres!$A$1:$I$89,3,0)*VLOOKUP('Données projet'!$B$15,Paramètres!$A$1:$I$89,5,0)</f>
        <v>158.81111999999999</v>
      </c>
      <c r="EL42" s="13">
        <f t="shared" si="45"/>
        <v>40.57424391712447</v>
      </c>
      <c r="EM42" s="20">
        <f t="shared" si="19"/>
        <v>347.26284215565846</v>
      </c>
      <c r="EN42" s="59">
        <f t="shared" si="20"/>
        <v>611.99618006926084</v>
      </c>
      <c r="EO42" s="59">
        <f ca="1">AVERAGE(OFFSET($EN$3,0,0,'Données projet'!$E$15+1,1))-AVERAGE(OFFSET($H$3,0,0,'Données projet'!$E$15+1,1))</f>
        <v>343.31122043016137</v>
      </c>
      <c r="EP42" s="59">
        <f t="shared" si="46"/>
        <v>333.61098411258877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11.269447859247942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11.269447859247942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62.200001249164274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216.6</v>
      </c>
      <c r="FF42" s="17">
        <f>FE42*VLOOKUP('Données projet'!$B$16,Paramètres!$A$1:$I$89,3,0)*VLOOKUP('Données projet'!$B$16,Paramètres!$A$1:$I$89,5,0)</f>
        <v>172.32695999999999</v>
      </c>
      <c r="FG42" s="13">
        <f t="shared" si="47"/>
        <v>43.61077213808133</v>
      </c>
      <c r="FH42" s="20">
        <f t="shared" si="22"/>
        <v>376.09155014049156</v>
      </c>
      <c r="FI42" s="59">
        <f t="shared" si="23"/>
        <v>640.82488805409389</v>
      </c>
      <c r="FJ42" s="59">
        <f ca="1">AVERAGE(OFFSET($FI$3,0,0,'Données projet'!$E$16+1,1))-AVERAGE(OFFSET($H$3,0,0,'Données projet'!$E$16+1,1))</f>
        <v>368.12945163484585</v>
      </c>
      <c r="FK42" s="59">
        <f t="shared" si="48"/>
        <v>357.27183934545121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15.072398596510244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15.072398596510244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62.200001249164274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62.200001249164274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3.0869565217391299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11.318840579710143</v>
      </c>
      <c r="H43" s="66">
        <f t="shared" si="1"/>
        <v>211.39130434782609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62.335313789306497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16.511666666666667</v>
      </c>
      <c r="N43" s="13">
        <f>IF('Données projet'!$A$36&gt;35,N42+M43-V42,IF(A43&lt;'Données projet'!$A$36,$K$205^A43,IF(A43='Données projet'!$A$36,'Données projet'!$B$36,N42+M43-V42)))</f>
        <v>311.43666666666655</v>
      </c>
      <c r="O43" s="13">
        <f>N43*VLOOKUP('Données projet'!$B$9,Paramètres!$A$1:$I$89,3,0)*VLOOKUP('Données projet'!$B$9,Paramètres!$A$1:$I$89,5,0)</f>
        <v>145.75235999999995</v>
      </c>
      <c r="P43" s="13">
        <f t="shared" si="33"/>
        <v>37.611686286811327</v>
      </c>
      <c r="Q43" s="20">
        <f t="shared" si="53"/>
        <v>319.359047282863</v>
      </c>
      <c r="R43" s="59">
        <f t="shared" si="0"/>
        <v>584.58853117698686</v>
      </c>
      <c r="S43" s="59">
        <f ca="1">AVERAGE(OFFSET($R$3,0,0,'Données projet'!$E$9+1,1))-AVERAGE(OFFSET($H$3,0,0,'Données projet'!$E$9+1,1))</f>
        <v>320.30433416149219</v>
      </c>
      <c r="T43" s="59">
        <f t="shared" si="34"/>
        <v>201.33422682092797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62.335313789306497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467</v>
      </c>
      <c r="AG43" s="12">
        <f>VLOOKUP(A43,'Données projet'!$A$61:$I$81,9,0)</f>
        <v>25.8</v>
      </c>
      <c r="AH43" s="12">
        <f t="array" ref="AH43">INDEX(AG:AG,MIN(IF(ISNUMBER(AG43:AG239),ROW(AG43:AG239),"")))</f>
        <v>25.8</v>
      </c>
      <c r="AI43" s="13">
        <f>IF('Données projet'!$A$62&gt;35,AI42+AH43-AQ42,IF(A43&lt;'Données projet'!$A$62,$AF$205^A43,IF(A43='Données projet'!$A$62,'Données projet'!$B$62,AI42+AH43-AQ42)))</f>
        <v>467.00000000000023</v>
      </c>
      <c r="AJ43" s="13">
        <f>AI43*VLOOKUP('Données projet'!$B$10,Paramètres!$A$1:$I$89,3,0)*VLOOKUP('Données projet'!$B$10,Paramètres!$A$1:$I$89,5,0)</f>
        <v>279.26600000000013</v>
      </c>
      <c r="AK43" s="13">
        <f t="shared" si="35"/>
        <v>66.811869892488943</v>
      </c>
      <c r="AL43" s="20">
        <f t="shared" si="4"/>
        <v>602.75229006275174</v>
      </c>
      <c r="AM43" s="59">
        <f t="shared" si="5"/>
        <v>867.98177395687549</v>
      </c>
      <c r="AN43" s="59">
        <f ca="1">AVERAGE(OFFSET($AM$3,0,0,'Données projet'!$E$10+1,1))-AVERAGE(OFFSET($H$3,0,0,'Données projet'!$E$10+1,1))</f>
        <v>569.80473816957431</v>
      </c>
      <c r="AO43" s="59">
        <f t="shared" si="36"/>
        <v>495.56567790763199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0.45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47.621165583338282</v>
      </c>
      <c r="AV43" s="21">
        <f>EXP(-LN(2)/25)*AV42+(1-EXP(-LN(2)/25))/(LN(2)/25)*Calculateur!AQ43*Calculateur!AS43*VLOOKUP('Données projet'!$B$10,Paramètres!$A$1:$I$89,3,0)*0.475*44/12</f>
        <v>49.58012964493448</v>
      </c>
      <c r="AW43" s="21">
        <f>EXP(-LN(2)/2)*AW42+(1-EXP(-LN(2)/2))/(LN(2)/2)*AQ43*AT43*VLOOKUP('Données projet'!$B$10,Paramètres!$A$1:$I$89,3,0)*0.475*44/12</f>
        <v>2.4546019343503461E-3</v>
      </c>
      <c r="AX43" s="21">
        <f t="shared" si="6"/>
        <v>97.203749830207101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62.335313789306497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-5.6843418860808015E-14</v>
      </c>
      <c r="BE43" s="13">
        <f>BD43*VLOOKUP('Données projet'!$B$11,Paramètres!$A$1:$I$89,3,0)*VLOOKUP('Données projet'!$B$11,Paramètres!$A$1:$I$89,5,0)</f>
        <v>-2.5006556825246661E-14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180.42749272334603</v>
      </c>
      <c r="BJ43" s="59">
        <f t="shared" si="38"/>
        <v>346.61476512497495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52.455917337932839</v>
      </c>
      <c r="BQ43" s="21">
        <f>EXP(-LN(2)/25)*BQ42+(1-EXP(-LN(2)/25))/(LN(2)/25)*Calculateur!BL43*Calculateur!BN43*VLOOKUP('Données projet'!$B$11,Paramètres!$A$1:$I$89,3,0)*0.475*44/12</f>
        <v>12.553482248059318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65.009399585992156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62.335313789306497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12.86166666666667</v>
      </c>
      <c r="BY43" s="12">
        <f>IF('Données projet'!$A$114&gt;35,BY42+BX43-CG42,IF(A43&lt;'Données projet'!$A$114,$BV$205^A43,IF(A43='Données projet'!$A$114,'Données projet'!$B$114,BY42+BX43-CG42)))</f>
        <v>196.01833333333343</v>
      </c>
      <c r="BZ43" s="13">
        <f>BY43*VLOOKUP('Données projet'!$B$12,Paramètres!$A$1:$I$89,3,0)*VLOOKUP('Données projet'!$B$12,Paramètres!$A$1:$I$89,5,0)</f>
        <v>177.35738800000007</v>
      </c>
      <c r="CA43" s="13">
        <f t="shared" si="39"/>
        <v>44.733748562033469</v>
      </c>
      <c r="CB43" s="20">
        <f t="shared" si="10"/>
        <v>386.8087295122084</v>
      </c>
      <c r="CC43" s="59">
        <f t="shared" si="11"/>
        <v>652.03821340633226</v>
      </c>
      <c r="CD43" s="59">
        <f ca="1">AVERAGE(OFFSET($CC$3,0,0,'Données projet'!$E$12+1,1))-AVERAGE(OFFSET($H$3,0,0,'Données projet'!$E$12+1,1))</f>
        <v>553.16421218123958</v>
      </c>
      <c r="CE43" s="59">
        <f t="shared" si="40"/>
        <v>291.73668613844416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27.104930447851295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27.104930447851295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62.335313789306497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12.86166666666667</v>
      </c>
      <c r="CT43" s="12">
        <f>IF('Données projet'!$A$140&gt;35,CT42+CS43-DB42,IF(A43&lt;'Données projet'!$A$140,$CQ$205^A43,IF(A43='Données projet'!$A$140,'Données projet'!$B$140,CT42+CS43-DB42)))</f>
        <v>196.01833333333343</v>
      </c>
      <c r="CU43" s="17">
        <f>CT43*VLOOKUP('Données projet'!$B$13,Paramètres!$A$1:$I$89,3,0)*VLOOKUP('Données projet'!$B$13,Paramètres!$A$1:$I$89,5,0)</f>
        <v>198.76259000000013</v>
      </c>
      <c r="CV43" s="13">
        <f t="shared" si="41"/>
        <v>49.47212431008991</v>
      </c>
      <c r="CW43" s="20">
        <f t="shared" si="13"/>
        <v>432.34212742340679</v>
      </c>
      <c r="CX43" s="59">
        <f t="shared" si="14"/>
        <v>697.5716113175306</v>
      </c>
      <c r="CY43" s="59">
        <f ca="1">AVERAGE(OFFSET($CX$3,0,0,'Données projet'!$E$13+1,1))-AVERAGE(OFFSET($H$3,0,0,'Données projet'!$E$13+1,1))</f>
        <v>611.82989382187804</v>
      </c>
      <c r="CZ43" s="59">
        <f t="shared" si="42"/>
        <v>320.34124600136363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30.376215157074721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30.376215157074721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62.335313789306497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12.86166666666667</v>
      </c>
      <c r="DO43" s="12">
        <f>IF('Données projet'!$A$166&gt;35,DO42+DN43-DW42,IF(A43&lt;'Données projet'!$A$166,$DL$205^A43,IF(A43='Données projet'!$A$166,'Données projet'!$B$166,DO42+DN43-DW42)))</f>
        <v>196.01833333333343</v>
      </c>
      <c r="DP43" s="17">
        <f>DO43*VLOOKUP('Données projet'!$B$14,Paramètres!$A$1:$I$89,3,0)*VLOOKUP('Données projet'!$B$14,Paramètres!$A$1:$I$89,5,0)</f>
        <v>210.99413400000009</v>
      </c>
      <c r="DQ43" s="13">
        <f t="shared" si="43"/>
        <v>52.15276924027836</v>
      </c>
      <c r="DR43" s="20">
        <f t="shared" si="16"/>
        <v>458.31418981015162</v>
      </c>
      <c r="DS43" s="59">
        <f t="shared" si="17"/>
        <v>723.54367370427542</v>
      </c>
      <c r="DT43" s="59">
        <f ca="1">AVERAGE(OFFSET($DS$3,0,0,'Données projet'!$E$14+1,1))-AVERAGE(OFFSET($H$3,0,0,'Données projet'!$E$14+1,1))</f>
        <v>645.29541304800614</v>
      </c>
      <c r="DU43" s="59">
        <f t="shared" si="44"/>
        <v>336.65580771733323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32.245520705202395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32.245520705202395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62.335313789306497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228</v>
      </c>
      <c r="EK43" s="17">
        <f>EJ43*VLOOKUP('Données projet'!$B$15,Paramètres!$A$1:$I$89,3,0)*VLOOKUP('Données projet'!$B$15,Paramètres!$A$1:$I$89,5,0)</f>
        <v>167.1696</v>
      </c>
      <c r="EL43" s="13">
        <f t="shared" si="45"/>
        <v>42.455490039298851</v>
      </c>
      <c r="EM43" s="20">
        <f t="shared" si="19"/>
        <v>365.09703181844549</v>
      </c>
      <c r="EN43" s="59">
        <f t="shared" si="20"/>
        <v>630.32651571256929</v>
      </c>
      <c r="EO43" s="59">
        <f ca="1">AVERAGE(OFFSET($EN$3,0,0,'Données projet'!$E$15+1,1))-AVERAGE(OFFSET($H$3,0,0,'Données projet'!$E$15+1,1))</f>
        <v>343.31122043016137</v>
      </c>
      <c r="EP43" s="59">
        <f t="shared" si="46"/>
        <v>333.61098411258877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0.43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23.246950638629624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23.246950638629624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62.335313789306497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228</v>
      </c>
      <c r="FF43" s="17">
        <f>FE43*VLOOKUP('Données projet'!$B$16,Paramètres!$A$1:$I$89,3,0)*VLOOKUP('Données projet'!$B$16,Paramètres!$A$1:$I$89,5,0)</f>
        <v>181.39680000000001</v>
      </c>
      <c r="FG43" s="13">
        <f t="shared" si="47"/>
        <v>45.63280848550832</v>
      </c>
      <c r="FH43" s="20">
        <f t="shared" si="22"/>
        <v>395.40990144559368</v>
      </c>
      <c r="FI43" s="59">
        <f t="shared" si="23"/>
        <v>660.63938533971748</v>
      </c>
      <c r="FJ43" s="59">
        <f ca="1">AVERAGE(OFFSET($FI$3,0,0,'Données projet'!$E$16+1,1))-AVERAGE(OFFSET($H$3,0,0,'Données projet'!$E$16+1,1))</f>
        <v>368.12945163484585</v>
      </c>
      <c r="FK43" s="59">
        <f t="shared" si="48"/>
        <v>357.27183934545121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0.53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31.091789993179567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31.091789993179567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62.335313789306497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62.335313789306497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3.0869565217391299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11.318840579710143</v>
      </c>
      <c r="H44" s="66">
        <f t="shared" si="1"/>
        <v>211.39130434782609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62.468278959390773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16.511666666666667</v>
      </c>
      <c r="N44" s="13">
        <f>IF('Données projet'!$A$36&gt;35,N43+M44-V43,IF(A44&lt;'Données projet'!$A$36,$K$205^A44,IF(A44='Données projet'!$A$36,'Données projet'!$B$36,N43+M44-V43)))</f>
        <v>327.94833333333321</v>
      </c>
      <c r="O44" s="13">
        <f>N44*VLOOKUP('Données projet'!$B$9,Paramètres!$A$1:$I$89,3,0)*VLOOKUP('Données projet'!$B$9,Paramètres!$A$1:$I$89,5,0)</f>
        <v>153.47981999999993</v>
      </c>
      <c r="P44" s="13">
        <f t="shared" si="33"/>
        <v>39.368328592132521</v>
      </c>
      <c r="Q44" s="20">
        <f t="shared" si="53"/>
        <v>335.87719213129731</v>
      </c>
      <c r="R44" s="59">
        <f t="shared" si="0"/>
        <v>601.59421498239681</v>
      </c>
      <c r="S44" s="59">
        <f ca="1">AVERAGE(OFFSET($R$3,0,0,'Données projet'!$E$9+1,1))-AVERAGE(OFFSET($H$3,0,0,'Données projet'!$E$9+1,1))</f>
        <v>320.30433416149219</v>
      </c>
      <c r="T44" s="59">
        <f t="shared" si="34"/>
        <v>201.33422682092797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62.468278959390773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24.2</v>
      </c>
      <c r="AI44" s="13">
        <f>IF('Données projet'!$A$62&gt;35,AI43+AH44-AQ43,IF(A44&lt;'Données projet'!$A$62,$AF$205^A44,IF(A44='Données projet'!$A$62,'Données projet'!$B$62,AI43+AH44-AQ43)))</f>
        <v>421.20000000000022</v>
      </c>
      <c r="AJ44" s="13">
        <f>AI44*VLOOKUP('Données projet'!$B$10,Paramètres!$A$1:$I$89,3,0)*VLOOKUP('Données projet'!$B$10,Paramètres!$A$1:$I$89,5,0)</f>
        <v>251.87760000000014</v>
      </c>
      <c r="AK44" s="13">
        <f t="shared" si="35"/>
        <v>60.987825380023075</v>
      </c>
      <c r="AL44" s="20">
        <f t="shared" si="4"/>
        <v>544.90728253687382</v>
      </c>
      <c r="AM44" s="59">
        <f t="shared" si="5"/>
        <v>810.62430538797332</v>
      </c>
      <c r="AN44" s="59">
        <f ca="1">AVERAGE(OFFSET($AM$3,0,0,'Données projet'!$E$10+1,1))-AVERAGE(OFFSET($H$3,0,0,'Données projet'!$E$10+1,1))</f>
        <v>569.80473816957431</v>
      </c>
      <c r="AO44" s="59">
        <f t="shared" si="36"/>
        <v>495.56567790763199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46.687343572291965</v>
      </c>
      <c r="AV44" s="21">
        <f>EXP(-LN(2)/25)*AV43+(1-EXP(-LN(2)/25))/(LN(2)/25)*Calculateur!AQ44*Calculateur!AS44*VLOOKUP('Données projet'!$B$10,Paramètres!$A$1:$I$89,3,0)*0.475*44/12</f>
        <v>48.224358392488043</v>
      </c>
      <c r="AW44" s="21">
        <f>EXP(-LN(2)/2)*AW43+(1-EXP(-LN(2)/2))/(LN(2)/2)*AQ44*AT44*VLOOKUP('Données projet'!$B$10,Paramètres!$A$1:$I$89,3,0)*0.475*44/12</f>
        <v>1.7356656728927465E-3</v>
      </c>
      <c r="AX44" s="21">
        <f t="shared" si="6"/>
        <v>94.913437630452904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62.468278959390773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-5.6843418860808015E-14</v>
      </c>
      <c r="BE44" s="13">
        <f>BD44*VLOOKUP('Données projet'!$B$11,Paramètres!$A$1:$I$89,3,0)*VLOOKUP('Données projet'!$B$11,Paramètres!$A$1:$I$89,5,0)</f>
        <v>-2.5006556825246661E-14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180.42749272334603</v>
      </c>
      <c r="BJ44" s="59">
        <f t="shared" si="38"/>
        <v>346.61476512497495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51.427288793886312</v>
      </c>
      <c r="BQ44" s="21">
        <f>EXP(-LN(2)/25)*BQ43+(1-EXP(-LN(2)/25))/(LN(2)/25)*Calculateur!BL44*Calculateur!BN44*VLOOKUP('Données projet'!$B$11,Paramètres!$A$1:$I$89,3,0)*0.475*44/12</f>
        <v>12.210206615827195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63.637495409713509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62.468278959390773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208.88</v>
      </c>
      <c r="BW44" s="12">
        <f>VLOOKUP(A44,'Données projet'!$A$113:$I$133,9,0)</f>
        <v>12.86166666666667</v>
      </c>
      <c r="BX44" s="12">
        <f t="array" ref="BX44">INDEX(BW:BW,MIN(IF(ISNUMBER(BW44:BW240),ROW(BW44:BW240),"")))</f>
        <v>12.86166666666667</v>
      </c>
      <c r="BY44" s="12">
        <f>IF('Données projet'!$A$114&gt;35,BY43+BX44-CG43,IF(A44&lt;'Données projet'!$A$114,$BV$205^A44,IF(A44='Données projet'!$A$114,'Données projet'!$B$114,BY43+BX44-CG43)))</f>
        <v>208.88000000000011</v>
      </c>
      <c r="BZ44" s="13">
        <f>BY44*VLOOKUP('Données projet'!$B$12,Paramètres!$A$1:$I$89,3,0)*VLOOKUP('Données projet'!$B$12,Paramètres!$A$1:$I$89,5,0)</f>
        <v>188.9946240000001</v>
      </c>
      <c r="CA44" s="13">
        <f t="shared" si="39"/>
        <v>47.317609904825126</v>
      </c>
      <c r="CB44" s="20">
        <f t="shared" si="10"/>
        <v>411.57714071757056</v>
      </c>
      <c r="CC44" s="59">
        <f t="shared" si="11"/>
        <v>677.29416356867</v>
      </c>
      <c r="CD44" s="59">
        <f ca="1">AVERAGE(OFFSET($CC$3,0,0,'Données projet'!$E$12+1,1))-AVERAGE(OFFSET($H$3,0,0,'Données projet'!$E$12+1,1))</f>
        <v>553.16421218123958</v>
      </c>
      <c r="CE44" s="59">
        <f t="shared" si="40"/>
        <v>291.73668613844416</v>
      </c>
      <c r="CF44" s="15">
        <f>IF(ISNA(VLOOKUP(A44,'Données projet'!$A$113:$I$133,3,0)),0,VLOOKUP(A44,'Données projet'!$A$113:$I$133,3,0))</f>
        <v>2</v>
      </c>
      <c r="CG44" s="15">
        <f>IF(ISNA(VLOOKUP(A44,'Données projet'!$A$113:$I$133,4,0)),0,VLOOKUP(A44,'Données projet'!$A$113:$I$133,4,0))</f>
        <v>47.41</v>
      </c>
      <c r="CH44" s="16">
        <f>IF(ISNA(VLOOKUP(A44,'Données projet'!$A$113:$I$133,5,0)),0%,VLOOKUP(A44,'Données projet'!$A$113:$I$133,5,0)*VLOOKUP('Données projet'!$B$12,Paramètres!$A$1:$I$89,7,0))</f>
        <v>0.43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46.964399976421092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46.964399976421092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62.468278959390773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>
        <f>VLOOKUP(A44,'Données projet'!$A$139:$I$159,2,0)</f>
        <v>208.88</v>
      </c>
      <c r="CR44" s="12">
        <f>VLOOKUP(A44,'Données projet'!$A$139:$I$159,9,0)</f>
        <v>12.86166666666667</v>
      </c>
      <c r="CS44" s="12">
        <f t="array" ref="CS44">INDEX(CR:CR,MIN(IF(ISNUMBER(CR44:CR240),ROW(CR44:CR240),"")))</f>
        <v>12.86166666666667</v>
      </c>
      <c r="CT44" s="12">
        <f>IF('Données projet'!$A$140&gt;35,CT43+CS44-DB43,IF(A44&lt;'Données projet'!$A$140,$CQ$205^A44,IF(A44='Données projet'!$A$140,'Données projet'!$B$140,CT43+CS44-DB43)))</f>
        <v>208.88000000000011</v>
      </c>
      <c r="CU44" s="17">
        <f>CT44*VLOOKUP('Données projet'!$B$13,Paramètres!$A$1:$I$89,3,0)*VLOOKUP('Données projet'!$B$13,Paramètres!$A$1:$I$89,5,0)</f>
        <v>211.80432000000013</v>
      </c>
      <c r="CV44" s="13">
        <f t="shared" si="41"/>
        <v>52.329678475785734</v>
      </c>
      <c r="CW44" s="20">
        <f t="shared" si="13"/>
        <v>460.03338067866031</v>
      </c>
      <c r="CX44" s="59">
        <f t="shared" si="14"/>
        <v>725.75040352975975</v>
      </c>
      <c r="CY44" s="59">
        <f ca="1">AVERAGE(OFFSET($CX$3,0,0,'Données projet'!$E$13+1,1))-AVERAGE(OFFSET($H$3,0,0,'Données projet'!$E$13+1,1))</f>
        <v>611.82989382187804</v>
      </c>
      <c r="CZ44" s="59">
        <f t="shared" si="42"/>
        <v>320.34124600136363</v>
      </c>
      <c r="DA44" s="15">
        <f>IF(ISNA(VLOOKUP(A44,'Données projet'!$A$139:$I$159,3,0)),0,VLOOKUP(A44,'Données projet'!$A$139:$I$159,3,0))</f>
        <v>2</v>
      </c>
      <c r="DB44" s="15">
        <f>IF(ISNA(VLOOKUP(A44,'Données projet'!$A$139:$I$159,4,0)),0,VLOOKUP(A44,'Données projet'!$A$139:$I$159,4,0))</f>
        <v>47.41</v>
      </c>
      <c r="DC44" s="16">
        <f>IF(ISNA(VLOOKUP(A44,'Données projet'!$A$139:$I$159,5,0)),0%,VLOOKUP(A44,'Données projet'!$A$139:$I$159,5,0)*VLOOKUP('Données projet'!$B$13,Paramètres!$A$1:$I$89,7,0))</f>
        <v>0.43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52.632517214954675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52.632517214954675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62.468278959390773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>
        <f>VLOOKUP(A44,'Données projet'!$A$165:$I$185,2,0)</f>
        <v>208.88</v>
      </c>
      <c r="DM44" s="12">
        <f>VLOOKUP(A44,'Données projet'!$A$165:$I$185,9,0)</f>
        <v>12.86166666666667</v>
      </c>
      <c r="DN44" s="12">
        <f t="array" ref="DN44">INDEX(DM:DM,MIN(IF(ISNUMBER(DM44:DM240),ROW(DM44:DM240),"")))</f>
        <v>12.86166666666667</v>
      </c>
      <c r="DO44" s="12">
        <f>IF('Données projet'!$A$166&gt;35,DO43+DN44-DW43,IF(A44&lt;'Données projet'!$A$166,$DL$205^A44,IF(A44='Données projet'!$A$166,'Données projet'!$B$166,DO43+DN44-DW43)))</f>
        <v>208.88000000000011</v>
      </c>
      <c r="DP44" s="17">
        <f>DO44*VLOOKUP('Données projet'!$B$14,Paramètres!$A$1:$I$89,3,0)*VLOOKUP('Données projet'!$B$14,Paramètres!$A$1:$I$89,5,0)</f>
        <v>224.83843200000013</v>
      </c>
      <c r="DQ44" s="13">
        <f t="shared" si="43"/>
        <v>55.165159855668485</v>
      </c>
      <c r="DR44" s="20">
        <f t="shared" si="16"/>
        <v>487.67292248195616</v>
      </c>
      <c r="DS44" s="59">
        <f t="shared" si="17"/>
        <v>753.38994533305572</v>
      </c>
      <c r="DT44" s="59">
        <f ca="1">AVERAGE(OFFSET($DS$3,0,0,'Données projet'!$E$14+1,1))-AVERAGE(OFFSET($H$3,0,0,'Données projet'!$E$14+1,1))</f>
        <v>645.29541304800614</v>
      </c>
      <c r="DU44" s="59">
        <f t="shared" si="44"/>
        <v>336.65580771733323</v>
      </c>
      <c r="DV44" s="15">
        <f>IF(ISNA(VLOOKUP(A44,'Données projet'!$A$165:$I$185,3,0)),0,VLOOKUP(A44,'Données projet'!$A$165:$I$185,3,0))</f>
        <v>2</v>
      </c>
      <c r="DW44" s="15">
        <f>IF(ISNA(VLOOKUP(A44,'Données projet'!$A$165:$I$185,4,0)),0,VLOOKUP(A44,'Données projet'!$A$165:$I$185,4,0))</f>
        <v>47.41</v>
      </c>
      <c r="DX44" s="16">
        <f>IF(ISNA(VLOOKUP(A44,'Données projet'!$A$165:$I$185,5,0)),0%,VLOOKUP(A44,'Données projet'!$A$165:$I$185,5,0)*VLOOKUP('Données projet'!$B$14,Paramètres!$A$1:$I$89,7,0))</f>
        <v>0.43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55.871441351259577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55.871441351259577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62.468278959390773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202.8</v>
      </c>
      <c r="EK44" s="17">
        <f>EJ44*VLOOKUP('Données projet'!$B$15,Paramètres!$A$1:$I$89,3,0)*VLOOKUP('Données projet'!$B$15,Paramètres!$A$1:$I$89,5,0)</f>
        <v>148.69296</v>
      </c>
      <c r="EL44" s="13">
        <f t="shared" si="45"/>
        <v>38.281404966971365</v>
      </c>
      <c r="EM44" s="20">
        <f t="shared" si="19"/>
        <v>325.64701898414177</v>
      </c>
      <c r="EN44" s="59">
        <f t="shared" si="20"/>
        <v>591.36404183524132</v>
      </c>
      <c r="EO44" s="59">
        <f ca="1">AVERAGE(OFFSET($EN$3,0,0,'Données projet'!$E$15+1,1))-AVERAGE(OFFSET($H$3,0,0,'Données projet'!$E$15+1,1))</f>
        <v>343.31122043016137</v>
      </c>
      <c r="EP44" s="59">
        <f t="shared" si="46"/>
        <v>333.61098411258877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22.791092115845903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22.791092115845903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62.468278959390773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202.8</v>
      </c>
      <c r="FF44" s="17">
        <f>FE44*VLOOKUP('Données projet'!$B$16,Paramètres!$A$1:$I$89,3,0)*VLOOKUP('Données projet'!$B$16,Paramètres!$A$1:$I$89,5,0)</f>
        <v>161.34768000000003</v>
      </c>
      <c r="FG44" s="13">
        <f t="shared" si="47"/>
        <v>41.146339844316657</v>
      </c>
      <c r="FH44" s="20">
        <f t="shared" si="22"/>
        <v>352.6770845621848</v>
      </c>
      <c r="FI44" s="59">
        <f t="shared" si="23"/>
        <v>618.39410741328425</v>
      </c>
      <c r="FJ44" s="59">
        <f ca="1">AVERAGE(OFFSET($FI$3,0,0,'Données projet'!$E$16+1,1))-AVERAGE(OFFSET($H$3,0,0,'Données projet'!$E$16+1,1))</f>
        <v>368.12945163484585</v>
      </c>
      <c r="FK44" s="59">
        <f t="shared" si="48"/>
        <v>357.27183934545121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30.48209895553266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30.48209895553266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62.468278959390773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62.468278959390773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3.0869565217391299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11.318840579710143</v>
      </c>
      <c r="H45" s="66">
        <f t="shared" si="1"/>
        <v>211.39130434782609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62.59893748103967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344.46</v>
      </c>
      <c r="L45" s="12">
        <f>VLOOKUP(A45,'Données projet'!$A$35:$I$55,9,0)</f>
        <v>16.511666666666667</v>
      </c>
      <c r="M45" s="12">
        <f t="array" ref="M45">INDEX(L:L,MIN(IF(ISNUMBER(L45:L241),ROW(L45:L241),"")))</f>
        <v>16.511666666666667</v>
      </c>
      <c r="N45" s="13">
        <f>IF('Données projet'!$A$36&gt;35,N44+M45-V44,IF(A45&lt;'Données projet'!$A$36,$K$205^A45,IF(A45='Données projet'!$A$36,'Données projet'!$B$36,N44+M45-V44)))</f>
        <v>344.45999999999987</v>
      </c>
      <c r="O45" s="13">
        <f>N45*VLOOKUP('Données projet'!$B$9,Paramètres!$A$1:$I$89,3,0)*VLOOKUP('Données projet'!$B$9,Paramètres!$A$1:$I$89,5,0)</f>
        <v>161.20727999999994</v>
      </c>
      <c r="P45" s="13">
        <f t="shared" si="33"/>
        <v>41.114701532674296</v>
      </c>
      <c r="Q45" s="20">
        <f t="shared" si="53"/>
        <v>352.37745116940761</v>
      </c>
      <c r="R45" s="59">
        <f t="shared" si="0"/>
        <v>618.57355526655306</v>
      </c>
      <c r="S45" s="59">
        <f ca="1">AVERAGE(OFFSET($R$3,0,0,'Données projet'!$E$9+1,1))-AVERAGE(OFFSET($H$3,0,0,'Données projet'!$E$9+1,1))</f>
        <v>320.30433416149219</v>
      </c>
      <c r="T45" s="59">
        <f t="shared" si="34"/>
        <v>201.33422682092797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105.41</v>
      </c>
      <c r="W45" s="16">
        <f>IF(ISNA(VLOOKUP(A45,'Données projet'!$A$35:$I$55,5,0)),0%,VLOOKUP(A45,'Données projet'!$A$35:$I$55,5,0)*VLOOKUP('Données projet'!$B$9,Paramètres!$A$1:$I$89,7,0))</f>
        <v>0.55000000000000004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35.99305519040481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35.99305519040481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62.59893748103967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24.2</v>
      </c>
      <c r="AI45" s="13">
        <f>IF('Données projet'!$A$62&gt;35,AI44+AH45-AQ44,IF(A45&lt;'Données projet'!$A$62,$AF$205^A45,IF(A45='Données projet'!$A$62,'Données projet'!$B$62,AI44+AH45-AQ44)))</f>
        <v>445.4000000000002</v>
      </c>
      <c r="AJ45" s="13">
        <f>AI45*VLOOKUP('Données projet'!$B$10,Paramètres!$A$1:$I$89,3,0)*VLOOKUP('Données projet'!$B$10,Paramètres!$A$1:$I$89,5,0)</f>
        <v>266.34920000000017</v>
      </c>
      <c r="AK45" s="13">
        <f t="shared" si="35"/>
        <v>64.073864575037135</v>
      </c>
      <c r="AL45" s="20">
        <f t="shared" si="4"/>
        <v>575.48683746818995</v>
      </c>
      <c r="AM45" s="59">
        <f t="shared" si="5"/>
        <v>841.68294156533534</v>
      </c>
      <c r="AN45" s="59">
        <f ca="1">AVERAGE(OFFSET($AM$3,0,0,'Données projet'!$E$10+1,1))-AVERAGE(OFFSET($H$3,0,0,'Données projet'!$E$10+1,1))</f>
        <v>569.80473816957431</v>
      </c>
      <c r="AO45" s="59">
        <f t="shared" si="36"/>
        <v>495.56567790763199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45.771833241307078</v>
      </c>
      <c r="AV45" s="21">
        <f>EXP(-LN(2)/25)*AV44+(1-EXP(-LN(2)/25))/(LN(2)/25)*Calculateur!AQ45*Calculateur!AS45*VLOOKUP('Données projet'!$B$10,Paramètres!$A$1:$I$89,3,0)*0.475*44/12</f>
        <v>46.905660776236665</v>
      </c>
      <c r="AW45" s="21">
        <f>EXP(-LN(2)/2)*AW44+(1-EXP(-LN(2)/2))/(LN(2)/2)*AQ45*AT45*VLOOKUP('Données projet'!$B$10,Paramètres!$A$1:$I$89,3,0)*0.475*44/12</f>
        <v>1.227300967175173E-3</v>
      </c>
      <c r="AX45" s="21">
        <f t="shared" si="6"/>
        <v>92.678721318510924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62.59893748103967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-5.6843418860808015E-14</v>
      </c>
      <c r="BE45" s="13">
        <f>BD45*VLOOKUP('Données projet'!$B$11,Paramètres!$A$1:$I$89,3,0)*VLOOKUP('Données projet'!$B$11,Paramètres!$A$1:$I$89,5,0)</f>
        <v>-2.5006556825246661E-14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180.42749272334603</v>
      </c>
      <c r="BJ45" s="59">
        <f t="shared" si="38"/>
        <v>346.61476512497495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50.418831028187078</v>
      </c>
      <c r="BQ45" s="21">
        <f>EXP(-LN(2)/25)*BQ44+(1-EXP(-LN(2)/25))/(LN(2)/25)*Calculateur!BL45*Calculateur!BN45*VLOOKUP('Données projet'!$B$11,Paramètres!$A$1:$I$89,3,0)*0.475*44/12</f>
        <v>11.876317873810541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62.295148901997621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62.59893748103967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13.059999999999999</v>
      </c>
      <c r="BY45" s="12">
        <f>IF('Données projet'!$A$114&gt;35,BY44+BX45-CG44,IF(A45&lt;'Données projet'!$A$114,$BV$205^A45,IF(A45='Données projet'!$A$114,'Données projet'!$B$114,BY44+BX45-CG44)))</f>
        <v>174.53000000000011</v>
      </c>
      <c r="BZ45" s="13">
        <f>BY45*VLOOKUP('Données projet'!$B$12,Paramètres!$A$1:$I$89,3,0)*VLOOKUP('Données projet'!$B$12,Paramètres!$A$1:$I$89,5,0)</f>
        <v>157.9147440000001</v>
      </c>
      <c r="CA45" s="13">
        <f t="shared" si="39"/>
        <v>40.371821598059007</v>
      </c>
      <c r="CB45" s="20">
        <f t="shared" si="10"/>
        <v>345.34910174995292</v>
      </c>
      <c r="CC45" s="59">
        <f t="shared" si="11"/>
        <v>611.54520584709837</v>
      </c>
      <c r="CD45" s="59">
        <f ca="1">AVERAGE(OFFSET($CC$3,0,0,'Données projet'!$E$12+1,1))-AVERAGE(OFFSET($H$3,0,0,'Données projet'!$E$12+1,1))</f>
        <v>553.16421218123958</v>
      </c>
      <c r="CE45" s="59">
        <f t="shared" si="40"/>
        <v>291.73668613844416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46.043456738338953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46.043456738338953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62.59893748103967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13.059999999999999</v>
      </c>
      <c r="CT45" s="12">
        <f>IF('Données projet'!$A$140&gt;35,CT44+CS45-DB44,IF(A45&lt;'Données projet'!$A$140,$CQ$205^A45,IF(A45='Données projet'!$A$140,'Données projet'!$B$140,CT44+CS45-DB44)))</f>
        <v>174.53000000000011</v>
      </c>
      <c r="CU45" s="17">
        <f>CT45*VLOOKUP('Données projet'!$B$13,Paramètres!$A$1:$I$89,3,0)*VLOOKUP('Données projet'!$B$13,Paramètres!$A$1:$I$89,5,0)</f>
        <v>176.97342000000012</v>
      </c>
      <c r="CV45" s="13">
        <f t="shared" si="41"/>
        <v>44.648164773275532</v>
      </c>
      <c r="CW45" s="20">
        <f t="shared" si="13"/>
        <v>385.99092681345513</v>
      </c>
      <c r="CX45" s="59">
        <f t="shared" si="14"/>
        <v>652.18703091060058</v>
      </c>
      <c r="CY45" s="59">
        <f ca="1">AVERAGE(OFFSET($CX$3,0,0,'Données projet'!$E$13+1,1))-AVERAGE(OFFSET($H$3,0,0,'Données projet'!$E$13+1,1))</f>
        <v>611.82989382187804</v>
      </c>
      <c r="CZ45" s="59">
        <f t="shared" si="42"/>
        <v>320.34124600136363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51.600425655035039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51.600425655035039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62.59893748103967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13.059999999999999</v>
      </c>
      <c r="DO45" s="12">
        <f>IF('Données projet'!$A$166&gt;35,DO44+DN45-DW44,IF(A45&lt;'Données projet'!$A$166,$DL$205^A45,IF(A45='Données projet'!$A$166,'Données projet'!$B$166,DO44+DN45-DW44)))</f>
        <v>174.53000000000011</v>
      </c>
      <c r="DP45" s="17">
        <f>DO45*VLOOKUP('Données projet'!$B$14,Paramètres!$A$1:$I$89,3,0)*VLOOKUP('Données projet'!$B$14,Paramètres!$A$1:$I$89,5,0)</f>
        <v>187.86409200000011</v>
      </c>
      <c r="DQ45" s="13">
        <f t="shared" si="43"/>
        <v>47.067423663221554</v>
      </c>
      <c r="DR45" s="20">
        <f t="shared" si="16"/>
        <v>409.17238978011102</v>
      </c>
      <c r="DS45" s="59">
        <f t="shared" si="17"/>
        <v>675.36849387725647</v>
      </c>
      <c r="DT45" s="59">
        <f ca="1">AVERAGE(OFFSET($DS$3,0,0,'Données projet'!$E$14+1,1))-AVERAGE(OFFSET($H$3,0,0,'Données projet'!$E$14+1,1))</f>
        <v>645.29541304800614</v>
      </c>
      <c r="DU45" s="59">
        <f t="shared" si="44"/>
        <v>336.65580771733323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54.775836464575654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54.775836464575654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62.59893748103967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212.60000000000002</v>
      </c>
      <c r="EK45" s="17">
        <f>EJ45*VLOOKUP('Données projet'!$B$15,Paramètres!$A$1:$I$89,3,0)*VLOOKUP('Données projet'!$B$15,Paramètres!$A$1:$I$89,5,0)</f>
        <v>155.87832000000003</v>
      </c>
      <c r="EL45" s="13">
        <f t="shared" si="45"/>
        <v>39.911451633481022</v>
      </c>
      <c r="EM45" s="20">
        <f t="shared" si="19"/>
        <v>341.00051892831283</v>
      </c>
      <c r="EN45" s="59">
        <f t="shared" si="20"/>
        <v>607.19662302545828</v>
      </c>
      <c r="EO45" s="59">
        <f ca="1">AVERAGE(OFFSET($EN$3,0,0,'Données projet'!$E$15+1,1))-AVERAGE(OFFSET($H$3,0,0,'Données projet'!$E$15+1,1))</f>
        <v>343.31122043016137</v>
      </c>
      <c r="EP45" s="59">
        <f t="shared" si="46"/>
        <v>333.61098411258877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22.344172700647725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22.344172700647725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62.59893748103967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212.60000000000002</v>
      </c>
      <c r="FF45" s="17">
        <f>FE45*VLOOKUP('Données projet'!$B$16,Paramètres!$A$1:$I$89,3,0)*VLOOKUP('Données projet'!$B$16,Paramètres!$A$1:$I$89,5,0)</f>
        <v>169.14456000000004</v>
      </c>
      <c r="FG45" s="13">
        <f t="shared" si="47"/>
        <v>42.898377267189964</v>
      </c>
      <c r="FH45" s="20">
        <f t="shared" si="22"/>
        <v>369.30811574035596</v>
      </c>
      <c r="FI45" s="59">
        <f t="shared" si="23"/>
        <v>635.50421983750141</v>
      </c>
      <c r="FJ45" s="59">
        <f ca="1">AVERAGE(OFFSET($FI$3,0,0,'Données projet'!$E$16+1,1))-AVERAGE(OFFSET($H$3,0,0,'Données projet'!$E$16+1,1))</f>
        <v>368.12945163484585</v>
      </c>
      <c r="FK45" s="59">
        <f t="shared" si="48"/>
        <v>357.27183934545121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29.884363587259195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29.884363587259195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62.59893748103967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62.59893748103967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3.0869565217391299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11.318840579710143</v>
      </c>
      <c r="H46" s="66">
        <f t="shared" si="1"/>
        <v>211.39130434782609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62.72732936944665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17.080000000000002</v>
      </c>
      <c r="N46" s="13">
        <f>IF('Données projet'!$A$36&gt;35,N45+M46-V45,IF(A46&lt;'Données projet'!$A$36,$K$205^A46,IF(A46='Données projet'!$A$36,'Données projet'!$B$36,N45+M46-V45)))</f>
        <v>256.12999999999988</v>
      </c>
      <c r="O46" s="13">
        <f>N46*VLOOKUP('Données projet'!$B$9,Paramètres!$A$1:$I$89,3,0)*VLOOKUP('Données projet'!$B$9,Paramètres!$A$1:$I$89,5,0)</f>
        <v>119.86883999999995</v>
      </c>
      <c r="P46" s="13">
        <f t="shared" si="33"/>
        <v>31.644406431255067</v>
      </c>
      <c r="Q46" s="20">
        <f t="shared" si="53"/>
        <v>263.88557086776916</v>
      </c>
      <c r="R46" s="59">
        <f t="shared" si="0"/>
        <v>530.55244522240696</v>
      </c>
      <c r="S46" s="59">
        <f ca="1">AVERAGE(OFFSET($R$3,0,0,'Données projet'!$E$9+1,1))-AVERAGE(OFFSET($H$3,0,0,'Données projet'!$E$9+1,1))</f>
        <v>320.30433416149219</v>
      </c>
      <c r="T46" s="59">
        <f t="shared" si="34"/>
        <v>201.33422682092797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35.287253331716897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35.287253331716897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62.72732936944665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24.2</v>
      </c>
      <c r="AI46" s="13">
        <f>IF('Données projet'!$A$62&gt;35,AI45+AH46-AQ45,IF(A46&lt;'Données projet'!$A$62,$AF$205^A46,IF(A46='Données projet'!$A$62,'Données projet'!$B$62,AI45+AH46-AQ45)))</f>
        <v>469.60000000000019</v>
      </c>
      <c r="AJ46" s="13">
        <f>AI46*VLOOKUP('Données projet'!$B$10,Paramètres!$A$1:$I$89,3,0)*VLOOKUP('Données projet'!$B$10,Paramètres!$A$1:$I$89,5,0)</f>
        <v>280.82080000000013</v>
      </c>
      <c r="AK46" s="13">
        <f t="shared" si="35"/>
        <v>67.140437954919463</v>
      </c>
      <c r="AL46" s="20">
        <f t="shared" si="4"/>
        <v>606.03248943815163</v>
      </c>
      <c r="AM46" s="59">
        <f t="shared" si="5"/>
        <v>872.69936379278943</v>
      </c>
      <c r="AN46" s="59">
        <f ca="1">AVERAGE(OFFSET($AM$3,0,0,'Données projet'!$E$10+1,1))-AVERAGE(OFFSET($H$3,0,0,'Données projet'!$E$10+1,1))</f>
        <v>569.80473816957431</v>
      </c>
      <c r="AO46" s="59">
        <f t="shared" si="36"/>
        <v>495.56567790763199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44.874275509506646</v>
      </c>
      <c r="AV46" s="21">
        <f>EXP(-LN(2)/25)*AV45+(1-EXP(-LN(2)/25))/(LN(2)/25)*Calculateur!AQ46*Calculateur!AS46*VLOOKUP('Données projet'!$B$10,Paramètres!$A$1:$I$89,3,0)*0.475*44/12</f>
        <v>45.623023015648975</v>
      </c>
      <c r="AW46" s="21">
        <f>EXP(-LN(2)/2)*AW45+(1-EXP(-LN(2)/2))/(LN(2)/2)*AQ46*AT46*VLOOKUP('Données projet'!$B$10,Paramètres!$A$1:$I$89,3,0)*0.475*44/12</f>
        <v>8.6783283644637323E-4</v>
      </c>
      <c r="AX46" s="21">
        <f t="shared" si="6"/>
        <v>90.498166357992076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62.72732936944665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-5.6843418860808015E-14</v>
      </c>
      <c r="BE46" s="13">
        <f>BD46*VLOOKUP('Données projet'!$B$11,Paramètres!$A$1:$I$89,3,0)*VLOOKUP('Données projet'!$B$11,Paramètres!$A$1:$I$89,5,0)</f>
        <v>-2.5006556825246661E-14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180.42749272334603</v>
      </c>
      <c r="BJ46" s="59">
        <f t="shared" si="38"/>
        <v>346.61476512497495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49.430148504174703</v>
      </c>
      <c r="BQ46" s="21">
        <f>EXP(-LN(2)/25)*BQ45+(1-EXP(-LN(2)/25))/(LN(2)/25)*Calculateur!BL46*Calculateur!BN46*VLOOKUP('Données projet'!$B$11,Paramètres!$A$1:$I$89,3,0)*0.475*44/12</f>
        <v>11.551559337002779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60.981707841177482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62.72732936944665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13.059999999999999</v>
      </c>
      <c r="BY46" s="12">
        <f>IF('Données projet'!$A$114&gt;35,BY45+BX46-CG45,IF(A46&lt;'Données projet'!$A$114,$BV$205^A46,IF(A46='Données projet'!$A$114,'Données projet'!$B$114,BY45+BX46-CG45)))</f>
        <v>187.59000000000012</v>
      </c>
      <c r="BZ46" s="13">
        <f>BY46*VLOOKUP('Données projet'!$B$12,Paramètres!$A$1:$I$89,3,0)*VLOOKUP('Données projet'!$B$12,Paramètres!$A$1:$I$89,5,0)</f>
        <v>169.7314320000001</v>
      </c>
      <c r="CA46" s="13">
        <f t="shared" si="39"/>
        <v>43.029867753624529</v>
      </c>
      <c r="CB46" s="20">
        <f t="shared" si="10"/>
        <v>370.55926373756284</v>
      </c>
      <c r="CC46" s="59">
        <f t="shared" si="11"/>
        <v>637.22613809220059</v>
      </c>
      <c r="CD46" s="59">
        <f ca="1">AVERAGE(OFFSET($CC$3,0,0,'Données projet'!$E$12+1,1))-AVERAGE(OFFSET($H$3,0,0,'Données projet'!$E$12+1,1))</f>
        <v>553.16421218123958</v>
      </c>
      <c r="CE46" s="59">
        <f t="shared" si="40"/>
        <v>291.73668613844416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45.140572635435696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45.140572635435696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62.72732936944665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13.059999999999999</v>
      </c>
      <c r="CT46" s="12">
        <f>IF('Données projet'!$A$140&gt;35,CT45+CS46-DB45,IF(A46&lt;'Données projet'!$A$140,$CQ$205^A46,IF(A46='Données projet'!$A$140,'Données projet'!$B$140,CT45+CS46-DB45)))</f>
        <v>187.59000000000012</v>
      </c>
      <c r="CU46" s="17">
        <f>CT46*VLOOKUP('Données projet'!$B$13,Paramètres!$A$1:$I$89,3,0)*VLOOKUP('Données projet'!$B$13,Paramètres!$A$1:$I$89,5,0)</f>
        <v>190.21626000000012</v>
      </c>
      <c r="CV46" s="13">
        <f t="shared" si="41"/>
        <v>47.587761700810958</v>
      </c>
      <c r="CW46" s="20">
        <f t="shared" si="13"/>
        <v>414.17533779557925</v>
      </c>
      <c r="CX46" s="59">
        <f t="shared" si="14"/>
        <v>680.84221215021694</v>
      </c>
      <c r="CY46" s="59">
        <f ca="1">AVERAGE(OFFSET($CX$3,0,0,'Données projet'!$E$13+1,1))-AVERAGE(OFFSET($H$3,0,0,'Données projet'!$E$13+1,1))</f>
        <v>611.82989382187804</v>
      </c>
      <c r="CZ46" s="59">
        <f t="shared" si="42"/>
        <v>320.34124600136363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50.588572781091734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50.588572781091734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62.72732936944665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13.059999999999999</v>
      </c>
      <c r="DO46" s="12">
        <f>IF('Données projet'!$A$166&gt;35,DO45+DN46-DW45,IF(A46&lt;'Données projet'!$A$166,$DL$205^A46,IF(A46='Données projet'!$A$166,'Données projet'!$B$166,DO45+DN46-DW45)))</f>
        <v>187.59000000000012</v>
      </c>
      <c r="DP46" s="17">
        <f>DO46*VLOOKUP('Données projet'!$B$14,Paramètres!$A$1:$I$89,3,0)*VLOOKUP('Données projet'!$B$14,Paramètres!$A$1:$I$89,5,0)</f>
        <v>201.92187600000011</v>
      </c>
      <c r="DQ46" s="13">
        <f t="shared" si="43"/>
        <v>50.166302523976661</v>
      </c>
      <c r="DR46" s="20">
        <f t="shared" si="16"/>
        <v>439.05357759592624</v>
      </c>
      <c r="DS46" s="59">
        <f t="shared" si="17"/>
        <v>705.72045195056398</v>
      </c>
      <c r="DT46" s="59">
        <f ca="1">AVERAGE(OFFSET($DS$3,0,0,'Données projet'!$E$14+1,1))-AVERAGE(OFFSET($H$3,0,0,'Données projet'!$E$14+1,1))</f>
        <v>645.29541304800614</v>
      </c>
      <c r="DU46" s="59">
        <f t="shared" si="44"/>
        <v>336.65580771733323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53.701715721466613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53.701715721466613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62.72732936944665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222.40000000000003</v>
      </c>
      <c r="EK46" s="17">
        <f>EJ46*VLOOKUP('Données projet'!$B$15,Paramètres!$A$1:$I$89,3,0)*VLOOKUP('Données projet'!$B$15,Paramètres!$A$1:$I$89,5,0)</f>
        <v>163.06368000000001</v>
      </c>
      <c r="EL46" s="13">
        <f t="shared" si="45"/>
        <v>41.532772330984628</v>
      </c>
      <c r="EM46" s="20">
        <f t="shared" si="19"/>
        <v>356.33882114313155</v>
      </c>
      <c r="EN46" s="59">
        <f t="shared" si="20"/>
        <v>623.00569549776924</v>
      </c>
      <c r="EO46" s="59">
        <f ca="1">AVERAGE(OFFSET($EN$3,0,0,'Données projet'!$E$15+1,1))-AVERAGE(OFFSET($H$3,0,0,'Données projet'!$E$15+1,1))</f>
        <v>343.31122043016137</v>
      </c>
      <c r="EP46" s="59">
        <f t="shared" si="46"/>
        <v>333.61098411258877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21.906017102587658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21.906017102587658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62.72732936944665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222.40000000000003</v>
      </c>
      <c r="FF46" s="17">
        <f>FE46*VLOOKUP('Données projet'!$B$16,Paramètres!$A$1:$I$89,3,0)*VLOOKUP('Données projet'!$B$16,Paramètres!$A$1:$I$89,5,0)</f>
        <v>176.94144000000003</v>
      </c>
      <c r="FG46" s="13">
        <f t="shared" si="47"/>
        <v>44.641035679901449</v>
      </c>
      <c r="FH46" s="20">
        <f t="shared" si="22"/>
        <v>385.92281180916171</v>
      </c>
      <c r="FI46" s="59">
        <f t="shared" si="23"/>
        <v>652.58968616379946</v>
      </c>
      <c r="FJ46" s="59">
        <f ca="1">AVERAGE(OFFSET($FI$3,0,0,'Données projet'!$E$16+1,1))-AVERAGE(OFFSET($H$3,0,0,'Données projet'!$E$16+1,1))</f>
        <v>368.12945163484585</v>
      </c>
      <c r="FK46" s="59">
        <f t="shared" si="48"/>
        <v>357.27183934545121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29.298349444974999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29.298349444974999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62.72732936944665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62.72732936944665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3.0869565217391299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11.318840579710143</v>
      </c>
      <c r="H47" s="66">
        <f t="shared" si="1"/>
        <v>211.39130434782609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62.853493945631037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17.080000000000002</v>
      </c>
      <c r="N47" s="13">
        <f>IF('Données projet'!$A$36&gt;35,N46+M47-V46,IF(A47&lt;'Données projet'!$A$36,$K$205^A47,IF(A47='Données projet'!$A$36,'Données projet'!$B$36,N46+M47-V46)))</f>
        <v>273.20999999999987</v>
      </c>
      <c r="O47" s="13">
        <f>N47*VLOOKUP('Données projet'!$B$9,Paramètres!$A$1:$I$89,3,0)*VLOOKUP('Données projet'!$B$9,Paramètres!$A$1:$I$89,5,0)</f>
        <v>127.86227999999994</v>
      </c>
      <c r="P47" s="13">
        <f t="shared" si="33"/>
        <v>33.501919343017299</v>
      </c>
      <c r="Q47" s="20">
        <f t="shared" si="53"/>
        <v>281.04264718908837</v>
      </c>
      <c r="R47" s="59">
        <f t="shared" si="0"/>
        <v>548.17212498973549</v>
      </c>
      <c r="S47" s="59">
        <f ca="1">AVERAGE(OFFSET($R$3,0,0,'Données projet'!$E$9+1,1))-AVERAGE(OFFSET($H$3,0,0,'Données projet'!$E$9+1,1))</f>
        <v>320.30433416149219</v>
      </c>
      <c r="T47" s="59">
        <f t="shared" si="34"/>
        <v>201.33422682092797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34.595291816981231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34.595291816981231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62.853493945631037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24.2</v>
      </c>
      <c r="AI47" s="13">
        <f>IF('Données projet'!$A$62&gt;35,AI46+AH47-AQ46,IF(A47&lt;'Données projet'!$A$62,$AF$205^A47,IF(A47='Données projet'!$A$62,'Données projet'!$B$62,AI46+AH47-AQ46)))</f>
        <v>493.80000000000018</v>
      </c>
      <c r="AJ47" s="13">
        <f>AI47*VLOOKUP('Données projet'!$B$10,Paramètres!$A$1:$I$89,3,0)*VLOOKUP('Données projet'!$B$10,Paramètres!$A$1:$I$89,5,0)</f>
        <v>295.2924000000001</v>
      </c>
      <c r="AK47" s="13">
        <f t="shared" si="35"/>
        <v>70.188663082637405</v>
      </c>
      <c r="AL47" s="20">
        <f t="shared" si="4"/>
        <v>636.54618486892696</v>
      </c>
      <c r="AM47" s="59">
        <f t="shared" si="5"/>
        <v>903.67566266957419</v>
      </c>
      <c r="AN47" s="59">
        <f ca="1">AVERAGE(OFFSET($AM$3,0,0,'Données projet'!$E$10+1,1))-AVERAGE(OFFSET($H$3,0,0,'Données projet'!$E$10+1,1))</f>
        <v>569.80473816957431</v>
      </c>
      <c r="AO47" s="59">
        <f t="shared" si="36"/>
        <v>495.56567790763199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43.994318337370657</v>
      </c>
      <c r="AV47" s="21">
        <f>EXP(-LN(2)/25)*AV46+(1-EXP(-LN(2)/25))/(LN(2)/25)*Calculateur!AQ47*Calculateur!AS47*VLOOKUP('Données projet'!$B$10,Paramètres!$A$1:$I$89,3,0)*0.475*44/12</f>
        <v>44.375459052075549</v>
      </c>
      <c r="AW47" s="21">
        <f>EXP(-LN(2)/2)*AW46+(1-EXP(-LN(2)/2))/(LN(2)/2)*AQ47*AT47*VLOOKUP('Données projet'!$B$10,Paramètres!$A$1:$I$89,3,0)*0.475*44/12</f>
        <v>6.1365048358758651E-4</v>
      </c>
      <c r="AX47" s="21">
        <f t="shared" si="6"/>
        <v>88.370391039929785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62.853493945631037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-5.6843418860808015E-14</v>
      </c>
      <c r="BE47" s="13">
        <f>BD47*VLOOKUP('Données projet'!$B$11,Paramètres!$A$1:$I$89,3,0)*VLOOKUP('Données projet'!$B$11,Paramètres!$A$1:$I$89,5,0)</f>
        <v>-2.5006556825246661E-14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180.42749272334603</v>
      </c>
      <c r="BJ47" s="59">
        <f t="shared" si="38"/>
        <v>346.61476512497495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48.46085344142142</v>
      </c>
      <c r="BQ47" s="21">
        <f>EXP(-LN(2)/25)*BQ46+(1-EXP(-LN(2)/25))/(LN(2)/25)*Calculateur!BL47*Calculateur!BN47*VLOOKUP('Données projet'!$B$11,Paramètres!$A$1:$I$89,3,0)*0.475*44/12</f>
        <v>11.235681339462333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59.696534780883752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62.853493945631037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13.059999999999999</v>
      </c>
      <c r="BY47" s="12">
        <f>IF('Données projet'!$A$114&gt;35,BY46+BX47-CG46,IF(A47&lt;'Données projet'!$A$114,$BV$205^A47,IF(A47='Données projet'!$A$114,'Données projet'!$B$114,BY46+BX47-CG46)))</f>
        <v>200.65000000000012</v>
      </c>
      <c r="BZ47" s="13">
        <f>BY47*VLOOKUP('Données projet'!$B$12,Paramètres!$A$1:$I$89,3,0)*VLOOKUP('Données projet'!$B$12,Paramètres!$A$1:$I$89,5,0)</f>
        <v>181.5481200000001</v>
      </c>
      <c r="CA47" s="13">
        <f t="shared" si="39"/>
        <v>45.666442486896024</v>
      </c>
      <c r="CB47" s="20">
        <f t="shared" si="10"/>
        <v>395.73202966467738</v>
      </c>
      <c r="CC47" s="59">
        <f t="shared" si="11"/>
        <v>662.86150746532462</v>
      </c>
      <c r="CD47" s="59">
        <f ca="1">AVERAGE(OFFSET($CC$3,0,0,'Données projet'!$E$12+1,1))-AVERAGE(OFFSET($H$3,0,0,'Données projet'!$E$12+1,1))</f>
        <v>553.16421218123958</v>
      </c>
      <c r="CE47" s="59">
        <f t="shared" si="40"/>
        <v>291.73668613844416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44.255393539085446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44.255393539085446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62.853493945631037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13.059999999999999</v>
      </c>
      <c r="CT47" s="12">
        <f>IF('Données projet'!$A$140&gt;35,CT46+CS47-DB46,IF(A47&lt;'Données projet'!$A$140,$CQ$205^A47,IF(A47='Données projet'!$A$140,'Données projet'!$B$140,CT46+CS47-DB46)))</f>
        <v>200.65000000000012</v>
      </c>
      <c r="CU47" s="17">
        <f>CT47*VLOOKUP('Données projet'!$B$13,Paramètres!$A$1:$I$89,3,0)*VLOOKUP('Données projet'!$B$13,Paramètres!$A$1:$I$89,5,0)</f>
        <v>203.45910000000012</v>
      </c>
      <c r="CV47" s="13">
        <f t="shared" si="41"/>
        <v>50.503612867997838</v>
      </c>
      <c r="CW47" s="20">
        <f t="shared" si="13"/>
        <v>442.31839157842978</v>
      </c>
      <c r="CX47" s="59">
        <f t="shared" si="14"/>
        <v>709.44786937907702</v>
      </c>
      <c r="CY47" s="59">
        <f ca="1">AVERAGE(OFFSET($CX$3,0,0,'Données projet'!$E$13+1,1))-AVERAGE(OFFSET($H$3,0,0,'Données projet'!$E$13+1,1))</f>
        <v>611.82989382187804</v>
      </c>
      <c r="CZ47" s="59">
        <f t="shared" si="42"/>
        <v>320.34124600136363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49.596561724837144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49.596561724837144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62.853493945631037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13.059999999999999</v>
      </c>
      <c r="DO47" s="12">
        <f>IF('Données projet'!$A$166&gt;35,DO46+DN47-DW46,IF(A47&lt;'Données projet'!$A$166,$DL$205^A47,IF(A47='Données projet'!$A$166,'Données projet'!$B$166,DO46+DN47-DW46)))</f>
        <v>200.65000000000012</v>
      </c>
      <c r="DP47" s="17">
        <f>DO47*VLOOKUP('Données projet'!$B$14,Paramètres!$A$1:$I$89,3,0)*VLOOKUP('Données projet'!$B$14,Paramètres!$A$1:$I$89,5,0)</f>
        <v>215.97966000000014</v>
      </c>
      <c r="DQ47" s="13">
        <f t="shared" si="43"/>
        <v>53.240148961378956</v>
      </c>
      <c r="DR47" s="20">
        <f t="shared" si="16"/>
        <v>468.89116727440188</v>
      </c>
      <c r="DS47" s="59">
        <f t="shared" si="17"/>
        <v>736.02064507504906</v>
      </c>
      <c r="DT47" s="59">
        <f ca="1">AVERAGE(OFFSET($DS$3,0,0,'Données projet'!$E$14+1,1))-AVERAGE(OFFSET($H$3,0,0,'Données projet'!$E$14+1,1))</f>
        <v>645.29541304800614</v>
      </c>
      <c r="DU47" s="59">
        <f t="shared" si="44"/>
        <v>336.65580771733323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52.648657830980973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52.648657830980973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62.853493945631037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232.20000000000005</v>
      </c>
      <c r="EK47" s="17">
        <f>EJ47*VLOOKUP('Données projet'!$B$15,Paramètres!$A$1:$I$89,3,0)*VLOOKUP('Données projet'!$B$15,Paramètres!$A$1:$I$89,5,0)</f>
        <v>170.24904000000004</v>
      </c>
      <c r="EL47" s="13">
        <f t="shared" si="45"/>
        <v>43.145795507930117</v>
      </c>
      <c r="EM47" s="20">
        <f t="shared" si="19"/>
        <v>371.6626718429784</v>
      </c>
      <c r="EN47" s="59">
        <f t="shared" si="20"/>
        <v>638.79214964362563</v>
      </c>
      <c r="EO47" s="59">
        <f ca="1">AVERAGE(OFFSET($EN$3,0,0,'Données projet'!$E$15+1,1))-AVERAGE(OFFSET($H$3,0,0,'Données projet'!$E$15+1,1))</f>
        <v>343.31122043016137</v>
      </c>
      <c r="EP47" s="59">
        <f t="shared" si="46"/>
        <v>333.61098411258877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21.476453468557022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21.476453468557022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62.853493945631037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232.20000000000005</v>
      </c>
      <c r="FF47" s="17">
        <f>FE47*VLOOKUP('Données projet'!$B$16,Paramètres!$A$1:$I$89,3,0)*VLOOKUP('Données projet'!$B$16,Paramètres!$A$1:$I$89,5,0)</f>
        <v>184.73832000000004</v>
      </c>
      <c r="FG47" s="13">
        <f t="shared" si="47"/>
        <v>46.374775595471988</v>
      </c>
      <c r="FH47" s="20">
        <f t="shared" si="22"/>
        <v>402.52197482878046</v>
      </c>
      <c r="FI47" s="59">
        <f t="shared" si="23"/>
        <v>669.65145262942769</v>
      </c>
      <c r="FJ47" s="59">
        <f ca="1">AVERAGE(OFFSET($FI$3,0,0,'Données projet'!$E$16+1,1))-AVERAGE(OFFSET($H$3,0,0,'Données projet'!$E$16+1,1))</f>
        <v>368.12945163484585</v>
      </c>
      <c r="FK47" s="59">
        <f t="shared" si="48"/>
        <v>357.27183934545121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28.723826682587664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28.723826682587664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62.853493945631037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62.853493945631037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3.0869565217391299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11.318840579710143</v>
      </c>
      <c r="H48" s="66">
        <f t="shared" si="1"/>
        <v>211.39130434782609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62.977469848480361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17.080000000000002</v>
      </c>
      <c r="N48" s="13">
        <f>IF('Données projet'!$A$36&gt;35,N47+M48-V47,IF(A48&lt;'Données projet'!$A$36,$K$205^A48,IF(A48='Données projet'!$A$36,'Données projet'!$B$36,N47+M48-V47)))</f>
        <v>290.28999999999985</v>
      </c>
      <c r="O48" s="13">
        <f>N48*VLOOKUP('Données projet'!$B$9,Paramètres!$A$1:$I$89,3,0)*VLOOKUP('Données projet'!$B$9,Paramètres!$A$1:$I$89,5,0)</f>
        <v>135.85571999999993</v>
      </c>
      <c r="P48" s="13">
        <f t="shared" si="33"/>
        <v>35.345955182590913</v>
      </c>
      <c r="Q48" s="20">
        <f t="shared" si="53"/>
        <v>298.17625094301241</v>
      </c>
      <c r="R48" s="59">
        <f t="shared" si="0"/>
        <v>565.76030705410699</v>
      </c>
      <c r="S48" s="59">
        <f ca="1">AVERAGE(OFFSET($R$3,0,0,'Données projet'!$E$9+1,1))-AVERAGE(OFFSET($H$3,0,0,'Données projet'!$E$9+1,1))</f>
        <v>320.30433416149219</v>
      </c>
      <c r="T48" s="59">
        <f t="shared" si="34"/>
        <v>201.33422682092797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33.916899245494683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33.916899245494683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62.977469848480361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518</v>
      </c>
      <c r="AG48" s="12">
        <f>VLOOKUP(A48,'Données projet'!$A$61:$I$81,9,0)</f>
        <v>24.2</v>
      </c>
      <c r="AH48" s="12">
        <f t="array" ref="AH48">INDEX(AG:AG,MIN(IF(ISNUMBER(AG48:AG244),ROW(AG48:AG244),"")))</f>
        <v>24.2</v>
      </c>
      <c r="AI48" s="13">
        <f>IF('Données projet'!$A$62&gt;35,AI47+AH48-AQ47,IF(A48&lt;'Données projet'!$A$62,$AF$205^A48,IF(A48='Données projet'!$A$62,'Données projet'!$B$62,AI47+AH48-AQ47)))</f>
        <v>518.00000000000023</v>
      </c>
      <c r="AJ48" s="13">
        <f>AI48*VLOOKUP('Données projet'!$B$10,Paramètres!$A$1:$I$89,3,0)*VLOOKUP('Données projet'!$B$10,Paramètres!$A$1:$I$89,5,0)</f>
        <v>309.76400000000018</v>
      </c>
      <c r="AK48" s="13">
        <f t="shared" si="35"/>
        <v>73.219541794375104</v>
      </c>
      <c r="AL48" s="20">
        <f t="shared" si="4"/>
        <v>667.02966862520361</v>
      </c>
      <c r="AM48" s="59">
        <f t="shared" si="5"/>
        <v>934.61372473629831</v>
      </c>
      <c r="AN48" s="59">
        <f ca="1">AVERAGE(OFFSET($AM$3,0,0,'Données projet'!$E$10+1,1))-AVERAGE(OFFSET($H$3,0,0,'Données projet'!$E$10+1,1))</f>
        <v>569.80473816957431</v>
      </c>
      <c r="AO48" s="59">
        <f t="shared" si="36"/>
        <v>495.56567790763199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64</v>
      </c>
      <c r="AR48" s="16">
        <f>IF(ISNA(VLOOKUP(A48,'Données projet'!$A$61:$I$81,5,0)),0%,VLOOKUP(A48,'Données projet'!$A$61:$I$81,5,0)*VLOOKUP('Données projet'!$B$10,Paramètres!$A$1:$I$89,7,0))</f>
        <v>0.45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65.978240266021317</v>
      </c>
      <c r="AV48" s="21">
        <f>EXP(-LN(2)/25)*AV47+(1-EXP(-LN(2)/25))/(LN(2)/25)*Calculateur!AQ48*Calculateur!AS48*VLOOKUP('Données projet'!$B$10,Paramètres!$A$1:$I$89,3,0)*0.475*44/12</f>
        <v>43.162009790692572</v>
      </c>
      <c r="AW48" s="21">
        <f>EXP(-LN(2)/2)*AW47+(1-EXP(-LN(2)/2))/(LN(2)/2)*AQ48*AT48*VLOOKUP('Données projet'!$B$10,Paramètres!$A$1:$I$89,3,0)*0.475*44/12</f>
        <v>4.3391641822318662E-4</v>
      </c>
      <c r="AX48" s="21">
        <f t="shared" si="6"/>
        <v>109.1406839731321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62.977469848480361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-5.6843418860808015E-14</v>
      </c>
      <c r="BE48" s="13">
        <f>BD48*VLOOKUP('Données projet'!$B$11,Paramètres!$A$1:$I$89,3,0)*VLOOKUP('Données projet'!$B$11,Paramètres!$A$1:$I$89,5,0)</f>
        <v>-2.5006556825246661E-14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180.42749272334603</v>
      </c>
      <c r="BJ48" s="59">
        <f t="shared" si="38"/>
        <v>346.61476512497495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47.510565663637117</v>
      </c>
      <c r="BQ48" s="21">
        <f>EXP(-LN(2)/25)*BQ47+(1-EXP(-LN(2)/25))/(LN(2)/25)*Calculateur!BL48*Calculateur!BN48*VLOOKUP('Données projet'!$B$11,Paramètres!$A$1:$I$89,3,0)*0.475*44/12</f>
        <v>10.928441042375933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58.439006706013046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62.977469848480361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13.059999999999999</v>
      </c>
      <c r="BY48" s="12">
        <f>IF('Données projet'!$A$114&gt;35,BY47+BX48-CG47,IF(A48&lt;'Données projet'!$A$114,$BV$205^A48,IF(A48='Données projet'!$A$114,'Données projet'!$B$114,BY47+BX48-CG47)))</f>
        <v>213.71000000000012</v>
      </c>
      <c r="BZ48" s="13">
        <f>BY48*VLOOKUP('Données projet'!$B$12,Paramètres!$A$1:$I$89,3,0)*VLOOKUP('Données projet'!$B$12,Paramètres!$A$1:$I$89,5,0)</f>
        <v>193.3648080000001</v>
      </c>
      <c r="CA48" s="13">
        <f t="shared" si="39"/>
        <v>48.283102387258907</v>
      </c>
      <c r="CB48" s="20">
        <f t="shared" si="10"/>
        <v>420.87011059114275</v>
      </c>
      <c r="CC48" s="59">
        <f t="shared" si="11"/>
        <v>688.45416670223744</v>
      </c>
      <c r="CD48" s="59">
        <f ca="1">AVERAGE(OFFSET($CC$3,0,0,'Données projet'!$E$12+1,1))-AVERAGE(OFFSET($H$3,0,0,'Données projet'!$E$12+1,1))</f>
        <v>553.16421218123958</v>
      </c>
      <c r="CE48" s="59">
        <f t="shared" si="40"/>
        <v>291.73668613844416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43.387572264908691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43.387572264908691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62.977469848480361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13.059999999999999</v>
      </c>
      <c r="CT48" s="12">
        <f>IF('Données projet'!$A$140&gt;35,CT47+CS48-DB47,IF(A48&lt;'Données projet'!$A$140,$CQ$205^A48,IF(A48='Données projet'!$A$140,'Données projet'!$B$140,CT47+CS48-DB47)))</f>
        <v>213.71000000000012</v>
      </c>
      <c r="CU48" s="17">
        <f>CT48*VLOOKUP('Données projet'!$B$13,Paramètres!$A$1:$I$89,3,0)*VLOOKUP('Données projet'!$B$13,Paramètres!$A$1:$I$89,5,0)</f>
        <v>216.70194000000012</v>
      </c>
      <c r="CV48" s="13">
        <f t="shared" si="41"/>
        <v>53.397439744331798</v>
      </c>
      <c r="CW48" s="20">
        <f t="shared" si="13"/>
        <v>470.42308638804479</v>
      </c>
      <c r="CX48" s="59">
        <f t="shared" si="14"/>
        <v>738.00714249913949</v>
      </c>
      <c r="CY48" s="59">
        <f ca="1">AVERAGE(OFFSET($CX$3,0,0,'Données projet'!$E$13+1,1))-AVERAGE(OFFSET($H$3,0,0,'Données projet'!$E$13+1,1))</f>
        <v>611.82989382187804</v>
      </c>
      <c r="CZ48" s="59">
        <f t="shared" si="42"/>
        <v>320.34124600136363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48.624003400328711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48.624003400328711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62.977469848480361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13.059999999999999</v>
      </c>
      <c r="DO48" s="12">
        <f>IF('Données projet'!$A$166&gt;35,DO47+DN48-DW47,IF(A48&lt;'Données projet'!$A$166,$DL$205^A48,IF(A48='Données projet'!$A$166,'Données projet'!$B$166,DO47+DN48-DW47)))</f>
        <v>213.71000000000012</v>
      </c>
      <c r="DP48" s="17">
        <f>DO48*VLOOKUP('Données projet'!$B$14,Paramètres!$A$1:$I$89,3,0)*VLOOKUP('Données projet'!$B$14,Paramètres!$A$1:$I$89,5,0)</f>
        <v>230.03744400000011</v>
      </c>
      <c r="DQ48" s="13">
        <f t="shared" si="43"/>
        <v>56.29077772267474</v>
      </c>
      <c r="DR48" s="20">
        <f t="shared" si="16"/>
        <v>498.68831950032535</v>
      </c>
      <c r="DS48" s="59">
        <f t="shared" si="17"/>
        <v>766.27237561141999</v>
      </c>
      <c r="DT48" s="59">
        <f ca="1">AVERAGE(OFFSET($DS$3,0,0,'Données projet'!$E$14+1,1))-AVERAGE(OFFSET($H$3,0,0,'Données projet'!$E$14+1,1))</f>
        <v>645.29541304800614</v>
      </c>
      <c r="DU48" s="59">
        <f t="shared" si="44"/>
        <v>336.65580771733323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51.616249763425863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51.616249763425863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62.977469848480361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242.00000000000006</v>
      </c>
      <c r="EK48" s="17">
        <f>EJ48*VLOOKUP('Données projet'!$B$15,Paramètres!$A$1:$I$89,3,0)*VLOOKUP('Données projet'!$B$15,Paramètres!$A$1:$I$89,5,0)</f>
        <v>177.43440000000004</v>
      </c>
      <c r="EL48" s="13">
        <f t="shared" si="45"/>
        <v>44.750911401641211</v>
      </c>
      <c r="EM48" s="20">
        <f t="shared" si="19"/>
        <v>386.97275069119183</v>
      </c>
      <c r="EN48" s="59">
        <f t="shared" si="20"/>
        <v>654.55680680228647</v>
      </c>
      <c r="EO48" s="59">
        <f ca="1">AVERAGE(OFFSET($EN$3,0,0,'Données projet'!$E$15+1,1))-AVERAGE(OFFSET($H$3,0,0,'Données projet'!$E$15+1,1))</f>
        <v>343.31122043016137</v>
      </c>
      <c r="EP48" s="59">
        <f t="shared" si="46"/>
        <v>333.61098411258877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0.43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29.419992020444909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29.419992020444909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62.977469848480361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242.00000000000006</v>
      </c>
      <c r="FF48" s="17">
        <f>FE48*VLOOKUP('Données projet'!$B$16,Paramètres!$A$1:$I$89,3,0)*VLOOKUP('Données projet'!$B$16,Paramètres!$A$1:$I$89,5,0)</f>
        <v>192.53520000000006</v>
      </c>
      <c r="FG48" s="13">
        <f t="shared" si="47"/>
        <v>48.100016456123079</v>
      </c>
      <c r="FH48" s="20">
        <f t="shared" si="22"/>
        <v>419.10633532774779</v>
      </c>
      <c r="FI48" s="59">
        <f t="shared" si="23"/>
        <v>686.69039143884243</v>
      </c>
      <c r="FJ48" s="59">
        <f ca="1">AVERAGE(OFFSET($FI$3,0,0,'Données projet'!$E$16+1,1))-AVERAGE(OFFSET($H$3,0,0,'Données projet'!$E$16+1,1))</f>
        <v>368.12945163484585</v>
      </c>
      <c r="FK48" s="59">
        <f t="shared" si="48"/>
        <v>357.27183934545121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0.53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39.34796557707206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39.34796557707206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62.977469848480361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62.977469848480361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3.0869565217391299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11.318840579710143</v>
      </c>
      <c r="H49" s="66">
        <f t="shared" si="1"/>
        <v>211.39130434782609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63.09929504658384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17.080000000000002</v>
      </c>
      <c r="N49" s="13">
        <f>IF('Données projet'!$A$36&gt;35,N48+M49-V48,IF(A49&lt;'Données projet'!$A$36,$K$205^A49,IF(A49='Données projet'!$A$36,'Données projet'!$B$36,N48+M49-V48)))</f>
        <v>307.36999999999983</v>
      </c>
      <c r="O49" s="13">
        <f>N49*VLOOKUP('Données projet'!$B$9,Paramètres!$A$1:$I$89,3,0)*VLOOKUP('Données projet'!$B$9,Paramètres!$A$1:$I$89,5,0)</f>
        <v>143.84915999999993</v>
      </c>
      <c r="P49" s="13">
        <f t="shared" si="33"/>
        <v>37.177397234767412</v>
      </c>
      <c r="Q49" s="20">
        <f t="shared" si="53"/>
        <v>315.28792051721973</v>
      </c>
      <c r="R49" s="59">
        <f t="shared" si="0"/>
        <v>583.31866902136051</v>
      </c>
      <c r="S49" s="59">
        <f ca="1">AVERAGE(OFFSET($R$3,0,0,'Données projet'!$E$9+1,1))-AVERAGE(OFFSET($H$3,0,0,'Données projet'!$E$9+1,1))</f>
        <v>320.30433416149219</v>
      </c>
      <c r="T49" s="59">
        <f t="shared" si="34"/>
        <v>201.33422682092797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33.251809538556373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33.251809538556373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63.09929504658384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21.8</v>
      </c>
      <c r="AI49" s="13">
        <f>IF('Données projet'!$A$62&gt;35,AI48+AH49-AQ48,IF(A49&lt;'Données projet'!$A$62,$AF$205^A49,IF(A49='Données projet'!$A$62,'Données projet'!$B$62,AI48+AH49-AQ48)))</f>
        <v>475.80000000000018</v>
      </c>
      <c r="AJ49" s="13">
        <f>AI49*VLOOKUP('Données projet'!$B$10,Paramètres!$A$1:$I$89,3,0)*VLOOKUP('Données projet'!$B$10,Paramètres!$A$1:$I$89,5,0)</f>
        <v>284.52840000000009</v>
      </c>
      <c r="AK49" s="13">
        <f t="shared" si="35"/>
        <v>67.923094584210929</v>
      </c>
      <c r="AL49" s="20">
        <f t="shared" si="4"/>
        <v>613.85301973416745</v>
      </c>
      <c r="AM49" s="59">
        <f t="shared" si="5"/>
        <v>881.88376823830822</v>
      </c>
      <c r="AN49" s="59">
        <f ca="1">AVERAGE(OFFSET($AM$3,0,0,'Données projet'!$E$10+1,1))-AVERAGE(OFFSET($H$3,0,0,'Données projet'!$E$10+1,1))</f>
        <v>569.80473816957431</v>
      </c>
      <c r="AO49" s="59">
        <f t="shared" si="36"/>
        <v>495.56567790763199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64.684447217157555</v>
      </c>
      <c r="AV49" s="21">
        <f>EXP(-LN(2)/25)*AV48+(1-EXP(-LN(2)/25))/(LN(2)/25)*Calculateur!AQ49*Calculateur!AS49*VLOOKUP('Données projet'!$B$10,Paramètres!$A$1:$I$89,3,0)*0.475*44/12</f>
        <v>41.981742363174639</v>
      </c>
      <c r="AW49" s="21">
        <f>EXP(-LN(2)/2)*AW48+(1-EXP(-LN(2)/2))/(LN(2)/2)*AQ49*AT49*VLOOKUP('Données projet'!$B$10,Paramètres!$A$1:$I$89,3,0)*0.475*44/12</f>
        <v>3.0682524179379326E-4</v>
      </c>
      <c r="AX49" s="21">
        <f t="shared" si="6"/>
        <v>106.66649640557399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63.09929504658384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-5.6843418860808015E-14</v>
      </c>
      <c r="BE49" s="13">
        <f>BD49*VLOOKUP('Données projet'!$B$11,Paramètres!$A$1:$I$89,3,0)*VLOOKUP('Données projet'!$B$11,Paramètres!$A$1:$I$89,5,0)</f>
        <v>-2.5006556825246661E-14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180.42749272334603</v>
      </c>
      <c r="BJ49" s="59">
        <f t="shared" si="38"/>
        <v>346.61476512497495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46.578912449556853</v>
      </c>
      <c r="BQ49" s="21">
        <f>EXP(-LN(2)/25)*BQ48+(1-EXP(-LN(2)/25))/(LN(2)/25)*Calculateur!BL49*Calculateur!BN49*VLOOKUP('Données projet'!$B$11,Paramètres!$A$1:$I$89,3,0)*0.475*44/12</f>
        <v>10.629602247370427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57.208514696927281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63.09929504658384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13.059999999999999</v>
      </c>
      <c r="BY49" s="12">
        <f>IF('Données projet'!$A$114&gt;35,BY48+BX49-CG48,IF(A49&lt;'Données projet'!$A$114,$BV$205^A49,IF(A49='Données projet'!$A$114,'Données projet'!$B$114,BY48+BX49-CG48)))</f>
        <v>226.77000000000012</v>
      </c>
      <c r="BZ49" s="13">
        <f>BY49*VLOOKUP('Données projet'!$B$12,Paramètres!$A$1:$I$89,3,0)*VLOOKUP('Données projet'!$B$12,Paramètres!$A$1:$I$89,5,0)</f>
        <v>205.1814960000001</v>
      </c>
      <c r="CA49" s="13">
        <f t="shared" si="39"/>
        <v>50.88120304468918</v>
      </c>
      <c r="CB49" s="20">
        <f t="shared" si="10"/>
        <v>445.97586750283381</v>
      </c>
      <c r="CC49" s="59">
        <f t="shared" si="11"/>
        <v>714.00661600697458</v>
      </c>
      <c r="CD49" s="59">
        <f ca="1">AVERAGE(OFFSET($CC$3,0,0,'Données projet'!$E$12+1,1))-AVERAGE(OFFSET($H$3,0,0,'Données projet'!$E$12+1,1))</f>
        <v>553.16421218123958</v>
      </c>
      <c r="CE49" s="59">
        <f t="shared" si="40"/>
        <v>291.73668613844416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42.536768436599829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42.536768436599829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63.09929504658384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13.059999999999999</v>
      </c>
      <c r="CT49" s="12">
        <f>IF('Données projet'!$A$140&gt;35,CT48+CS49-DB48,IF(A49&lt;'Données projet'!$A$140,$CQ$205^A49,IF(A49='Données projet'!$A$140,'Données projet'!$B$140,CT48+CS49-DB48)))</f>
        <v>226.77000000000012</v>
      </c>
      <c r="CU49" s="17">
        <f>CT49*VLOOKUP('Données projet'!$B$13,Paramètres!$A$1:$I$89,3,0)*VLOOKUP('Données projet'!$B$13,Paramètres!$A$1:$I$89,5,0)</f>
        <v>229.94478000000012</v>
      </c>
      <c r="CV49" s="13">
        <f t="shared" si="41"/>
        <v>56.270741509246001</v>
      </c>
      <c r="CW49" s="20">
        <f t="shared" si="13"/>
        <v>498.49203329527023</v>
      </c>
      <c r="CX49" s="59">
        <f t="shared" si="14"/>
        <v>766.52278179941095</v>
      </c>
      <c r="CY49" s="59">
        <f ca="1">AVERAGE(OFFSET($CX$3,0,0,'Données projet'!$E$13+1,1))-AVERAGE(OFFSET($H$3,0,0,'Données projet'!$E$13+1,1))</f>
        <v>611.82989382187804</v>
      </c>
      <c r="CZ49" s="59">
        <f t="shared" si="42"/>
        <v>320.34124600136363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47.670516351361883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47.670516351361883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63.09929504658384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13.059999999999999</v>
      </c>
      <c r="DO49" s="12">
        <f>IF('Données projet'!$A$166&gt;35,DO48+DN49-DW48,IF(A49&lt;'Données projet'!$A$166,$DL$205^A49,IF(A49='Données projet'!$A$166,'Données projet'!$B$166,DO48+DN49-DW48)))</f>
        <v>226.77000000000012</v>
      </c>
      <c r="DP49" s="17">
        <f>DO49*VLOOKUP('Données projet'!$B$14,Paramètres!$A$1:$I$89,3,0)*VLOOKUP('Données projet'!$B$14,Paramètres!$A$1:$I$89,5,0)</f>
        <v>244.09522800000011</v>
      </c>
      <c r="DQ49" s="13">
        <f t="shared" si="43"/>
        <v>59.319769220270345</v>
      </c>
      <c r="DR49" s="20">
        <f t="shared" si="16"/>
        <v>528.44778682530432</v>
      </c>
      <c r="DS49" s="59">
        <f t="shared" si="17"/>
        <v>796.47853532944509</v>
      </c>
      <c r="DT49" s="59">
        <f ca="1">AVERAGE(OFFSET($DS$3,0,0,'Données projet'!$E$14+1,1))-AVERAGE(OFFSET($H$3,0,0,'Données projet'!$E$14+1,1))</f>
        <v>645.29541304800614</v>
      </c>
      <c r="DU49" s="59">
        <f t="shared" si="44"/>
        <v>336.65580771733323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50.604086588368766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50.604086588368766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63.09929504658384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8.6</v>
      </c>
      <c r="EJ49" s="12">
        <f>IF('Données projet'!$A$192&gt;35,EJ48+EI49-ER48,IF(A49&lt;'Données projet'!$A$192,$EG$205^A49,IF(A49='Données projet'!$A$192,'Données projet'!$B$192,EJ48+EI49-ER48)))</f>
        <v>226.60000000000005</v>
      </c>
      <c r="EK49" s="17">
        <f>EJ49*VLOOKUP('Données projet'!$B$15,Paramètres!$A$1:$I$89,3,0)*VLOOKUP('Données projet'!$B$15,Paramètres!$A$1:$I$89,5,0)</f>
        <v>166.14312000000004</v>
      </c>
      <c r="EL49" s="13">
        <f t="shared" si="45"/>
        <v>42.225060429180481</v>
      </c>
      <c r="EM49" s="20">
        <f t="shared" si="19"/>
        <v>362.90791424748937</v>
      </c>
      <c r="EN49" s="59">
        <f t="shared" si="20"/>
        <v>630.93866275163009</v>
      </c>
      <c r="EO49" s="59">
        <f ca="1">AVERAGE(OFFSET($EN$3,0,0,'Données projet'!$E$15+1,1))-AVERAGE(OFFSET($H$3,0,0,'Données projet'!$E$15+1,1))</f>
        <v>343.31122043016137</v>
      </c>
      <c r="EP49" s="59">
        <f t="shared" si="46"/>
        <v>333.61098411258877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28.843083921347251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28.843083921347251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63.09929504658384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8.6</v>
      </c>
      <c r="FE49" s="12">
        <f>IF('Données projet'!$A$218&gt;35,FE48+FD49-FM48,IF(A49&lt;'Données projet'!$A$218,$FB$205^A49,IF(A49='Données projet'!$A$218,'Données projet'!$B$218,FE48+FD49-FM48)))</f>
        <v>226.60000000000005</v>
      </c>
      <c r="FF49" s="17">
        <f>FE49*VLOOKUP('Données projet'!$B$16,Paramètres!$A$1:$I$89,3,0)*VLOOKUP('Données projet'!$B$16,Paramètres!$A$1:$I$89,5,0)</f>
        <v>180.28296000000006</v>
      </c>
      <c r="FG49" s="13">
        <f t="shared" si="47"/>
        <v>45.385133797071397</v>
      </c>
      <c r="FH49" s="20">
        <f t="shared" si="22"/>
        <v>393.03859669656612</v>
      </c>
      <c r="FI49" s="59">
        <f t="shared" si="23"/>
        <v>661.06934520070695</v>
      </c>
      <c r="FJ49" s="59">
        <f ca="1">AVERAGE(OFFSET($FI$3,0,0,'Données projet'!$E$16+1,1))-AVERAGE(OFFSET($H$3,0,0,'Données projet'!$E$16+1,1))</f>
        <v>368.12945163484585</v>
      </c>
      <c r="FK49" s="59">
        <f t="shared" si="48"/>
        <v>357.27183934545121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38.576375971994885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38.576375971994885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63.09929504658384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63.09929504658384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3.0869565217391299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11.318840579710143</v>
      </c>
      <c r="H50" s="66">
        <f t="shared" si="1"/>
        <v>211.39130434782609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63.219006849860563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17.080000000000002</v>
      </c>
      <c r="N50" s="13">
        <f>IF('Données projet'!$A$36&gt;35,N49+M50-V49,IF(A50&lt;'Données projet'!$A$36,$K$205^A50,IF(A50='Données projet'!$A$36,'Données projet'!$B$36,N49+M50-V49)))</f>
        <v>324.44999999999982</v>
      </c>
      <c r="O50" s="13">
        <f>N50*VLOOKUP('Données projet'!$B$9,Paramètres!$A$1:$I$89,3,0)*VLOOKUP('Données projet'!$B$9,Paramètres!$A$1:$I$89,5,0)</f>
        <v>151.84259999999992</v>
      </c>
      <c r="P50" s="13">
        <f t="shared" si="33"/>
        <v>38.997025074969166</v>
      </c>
      <c r="Q50" s="20">
        <f t="shared" si="53"/>
        <v>332.37901367223782</v>
      </c>
      <c r="R50" s="59">
        <f t="shared" si="0"/>
        <v>600.84870545505987</v>
      </c>
      <c r="S50" s="59">
        <f ca="1">AVERAGE(OFFSET($R$3,0,0,'Données projet'!$E$9+1,1))-AVERAGE(OFFSET($H$3,0,0,'Données projet'!$E$9+1,1))</f>
        <v>320.30433416149219</v>
      </c>
      <c r="T50" s="59">
        <f t="shared" si="34"/>
        <v>201.33422682092797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32.599761835106456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32.599761835106456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63.219006849860563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21.8</v>
      </c>
      <c r="AI50" s="13">
        <f>IF('Données projet'!$A$62&gt;35,AI49+AH50-AQ49,IF(A50&lt;'Données projet'!$A$62,$AF$205^A50,IF(A50='Données projet'!$A$62,'Données projet'!$B$62,AI49+AH50-AQ49)))</f>
        <v>497.60000000000019</v>
      </c>
      <c r="AJ50" s="13">
        <f>AI50*VLOOKUP('Données projet'!$B$10,Paramètres!$A$1:$I$89,3,0)*VLOOKUP('Données projet'!$B$10,Paramètres!$A$1:$I$89,5,0)</f>
        <v>297.56480000000016</v>
      </c>
      <c r="AK50" s="13">
        <f t="shared" si="35"/>
        <v>70.665710106623806</v>
      </c>
      <c r="AL50" s="20">
        <f t="shared" si="4"/>
        <v>641.33480510237007</v>
      </c>
      <c r="AM50" s="59">
        <f t="shared" si="5"/>
        <v>909.80449688519207</v>
      </c>
      <c r="AN50" s="59">
        <f ca="1">AVERAGE(OFFSET($AM$3,0,0,'Données projet'!$E$10+1,1))-AVERAGE(OFFSET($H$3,0,0,'Données projet'!$E$10+1,1))</f>
        <v>569.80473816957431</v>
      </c>
      <c r="AO50" s="59">
        <f t="shared" si="36"/>
        <v>495.56567790763199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63.416024660846176</v>
      </c>
      <c r="AV50" s="21">
        <f>EXP(-LN(2)/25)*AV49+(1-EXP(-LN(2)/25))/(LN(2)/25)*Calculateur!AQ50*Calculateur!AS50*VLOOKUP('Données projet'!$B$10,Paramètres!$A$1:$I$89,3,0)*0.475*44/12</f>
        <v>40.833749410529748</v>
      </c>
      <c r="AW50" s="21">
        <f>EXP(-LN(2)/2)*AW49+(1-EXP(-LN(2)/2))/(LN(2)/2)*AQ50*AT50*VLOOKUP('Données projet'!$B$10,Paramètres!$A$1:$I$89,3,0)*0.475*44/12</f>
        <v>2.1695820911159331E-4</v>
      </c>
      <c r="AX50" s="21">
        <f t="shared" si="6"/>
        <v>104.24999102958503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63.219006849860563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-5.6843418860808015E-14</v>
      </c>
      <c r="BE50" s="13">
        <f>BD50*VLOOKUP('Données projet'!$B$11,Paramètres!$A$1:$I$89,3,0)*VLOOKUP('Données projet'!$B$11,Paramètres!$A$1:$I$89,5,0)</f>
        <v>-2.5006556825246661E-14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180.42749272334603</v>
      </c>
      <c r="BJ50" s="59">
        <f t="shared" si="38"/>
        <v>346.61476512497495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45.665528386752349</v>
      </c>
      <c r="BQ50" s="21">
        <f>EXP(-LN(2)/25)*BQ49+(1-EXP(-LN(2)/25))/(LN(2)/25)*Calculateur!BL50*Calculateur!BN50*VLOOKUP('Données projet'!$B$11,Paramètres!$A$1:$I$89,3,0)*0.475*44/12</f>
        <v>10.338935214929595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56.004463601681948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63.219006849860563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13.059999999999999</v>
      </c>
      <c r="BY50" s="12">
        <f>IF('Données projet'!$A$114&gt;35,BY49+BX50-CG49,IF(A50&lt;'Données projet'!$A$114,$BV$205^A50,IF(A50='Données projet'!$A$114,'Données projet'!$B$114,BY49+BX50-CG49)))</f>
        <v>239.83000000000013</v>
      </c>
      <c r="BZ50" s="13">
        <f>BY50*VLOOKUP('Données projet'!$B$12,Paramètres!$A$1:$I$89,3,0)*VLOOKUP('Données projet'!$B$12,Paramètres!$A$1:$I$89,5,0)</f>
        <v>216.99818400000012</v>
      </c>
      <c r="CA50" s="13">
        <f t="shared" si="39"/>
        <v>53.461935088977889</v>
      </c>
      <c r="CB50" s="20">
        <f t="shared" si="10"/>
        <v>471.05137407996995</v>
      </c>
      <c r="CC50" s="59">
        <f t="shared" si="11"/>
        <v>739.52106586279206</v>
      </c>
      <c r="CD50" s="59">
        <f ca="1">AVERAGE(OFFSET($CC$3,0,0,'Données projet'!$E$12+1,1))-AVERAGE(OFFSET($H$3,0,0,'Données projet'!$E$12+1,1))</f>
        <v>553.16421218123958</v>
      </c>
      <c r="CE50" s="59">
        <f t="shared" si="40"/>
        <v>291.73668613844416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41.702648352425008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41.702648352425008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63.219006849860563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13.059999999999999</v>
      </c>
      <c r="CT50" s="12">
        <f>IF('Données projet'!$A$140&gt;35,CT49+CS50-DB49,IF(A50&lt;'Données projet'!$A$140,$CQ$205^A50,IF(A50='Données projet'!$A$140,'Données projet'!$B$140,CT49+CS50-DB49)))</f>
        <v>239.83000000000013</v>
      </c>
      <c r="CU50" s="17">
        <f>CT50*VLOOKUP('Données projet'!$B$13,Paramètres!$A$1:$I$89,3,0)*VLOOKUP('Données projet'!$B$13,Paramètres!$A$1:$I$89,5,0)</f>
        <v>243.18762000000015</v>
      </c>
      <c r="CV50" s="13">
        <f t="shared" si="41"/>
        <v>59.124834908752511</v>
      </c>
      <c r="CW50" s="20">
        <f t="shared" si="13"/>
        <v>526.52752563274419</v>
      </c>
      <c r="CX50" s="59">
        <f t="shared" si="14"/>
        <v>794.99721741556618</v>
      </c>
      <c r="CY50" s="59">
        <f ca="1">AVERAGE(OFFSET($CX$3,0,0,'Données projet'!$E$13+1,1))-AVERAGE(OFFSET($H$3,0,0,'Données projet'!$E$13+1,1))</f>
        <v>611.82989382187804</v>
      </c>
      <c r="CZ50" s="59">
        <f t="shared" si="42"/>
        <v>320.34124600136363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46.735726601855617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46.735726601855617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63.219006849860563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13.059999999999999</v>
      </c>
      <c r="DO50" s="12">
        <f>IF('Données projet'!$A$166&gt;35,DO49+DN50-DW49,IF(A50&lt;'Données projet'!$A$166,$DL$205^A50,IF(A50='Données projet'!$A$166,'Données projet'!$B$166,DO49+DN50-DW49)))</f>
        <v>239.83000000000013</v>
      </c>
      <c r="DP50" s="17">
        <f>DO50*VLOOKUP('Données projet'!$B$14,Paramètres!$A$1:$I$89,3,0)*VLOOKUP('Données projet'!$B$14,Paramètres!$A$1:$I$89,5,0)</f>
        <v>258.15301200000016</v>
      </c>
      <c r="DQ50" s="13">
        <f t="shared" si="43"/>
        <v>62.328511548003867</v>
      </c>
      <c r="DR50" s="20">
        <f t="shared" si="16"/>
        <v>558.17198684610696</v>
      </c>
      <c r="DS50" s="59">
        <f t="shared" si="17"/>
        <v>826.64167862892896</v>
      </c>
      <c r="DT50" s="59">
        <f ca="1">AVERAGE(OFFSET($DS$3,0,0,'Données projet'!$E$14+1,1))-AVERAGE(OFFSET($H$3,0,0,'Données projet'!$E$14+1,1))</f>
        <v>645.29541304800614</v>
      </c>
      <c r="DU50" s="59">
        <f t="shared" si="44"/>
        <v>336.65580771733323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49.611771315815965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49.611771315815965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63.219006849860563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8.6</v>
      </c>
      <c r="EJ50" s="12">
        <f>IF('Données projet'!$A$192&gt;35,EJ49+EI50-ER49,IF(A50&lt;'Données projet'!$A$192,$EG$205^A50,IF(A50='Données projet'!$A$192,'Données projet'!$B$192,EJ49+EI50-ER49)))</f>
        <v>235.20000000000005</v>
      </c>
      <c r="EK50" s="17">
        <f>EJ50*VLOOKUP('Données projet'!$B$15,Paramètres!$A$1:$I$89,3,0)*VLOOKUP('Données projet'!$B$15,Paramètres!$A$1:$I$89,5,0)</f>
        <v>172.44864000000001</v>
      </c>
      <c r="EL50" s="13">
        <f t="shared" si="45"/>
        <v>43.637980200453676</v>
      </c>
      <c r="EM50" s="20">
        <f t="shared" si="19"/>
        <v>376.35086351579019</v>
      </c>
      <c r="EN50" s="59">
        <f t="shared" si="20"/>
        <v>644.82055529861225</v>
      </c>
      <c r="EO50" s="59">
        <f ca="1">AVERAGE(OFFSET($EN$3,0,0,'Données projet'!$E$15+1,1))-AVERAGE(OFFSET($H$3,0,0,'Données projet'!$E$15+1,1))</f>
        <v>343.31122043016137</v>
      </c>
      <c r="EP50" s="59">
        <f t="shared" si="46"/>
        <v>333.61098411258877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28.277488638193702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28.277488638193702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63.219006849860563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8.6</v>
      </c>
      <c r="FE50" s="12">
        <f>IF('Données projet'!$A$218&gt;35,FE49+FD50-FM49,IF(A50&lt;'Données projet'!$A$218,$FB$205^A50,IF(A50='Données projet'!$A$218,'Données projet'!$B$218,FE49+FD50-FM49)))</f>
        <v>235.20000000000005</v>
      </c>
      <c r="FF50" s="17">
        <f>FE50*VLOOKUP('Données projet'!$B$16,Paramètres!$A$1:$I$89,3,0)*VLOOKUP('Données projet'!$B$16,Paramètres!$A$1:$I$89,5,0)</f>
        <v>187.12512000000004</v>
      </c>
      <c r="FG50" s="13">
        <f t="shared" si="47"/>
        <v>46.903794805770545</v>
      </c>
      <c r="FH50" s="20">
        <f t="shared" si="22"/>
        <v>407.60035995338376</v>
      </c>
      <c r="FI50" s="59">
        <f t="shared" si="23"/>
        <v>676.07005173620587</v>
      </c>
      <c r="FJ50" s="59">
        <f ca="1">AVERAGE(OFFSET($FI$3,0,0,'Données projet'!$E$16+1,1))-AVERAGE(OFFSET($H$3,0,0,'Données projet'!$E$16+1,1))</f>
        <v>368.12945163484585</v>
      </c>
      <c r="FK50" s="59">
        <f t="shared" si="48"/>
        <v>357.27183934545121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37.819916768450085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37.819916768450085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63.219006849860563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63.219006849860563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3.0869565217391299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11.318840579710143</v>
      </c>
      <c r="H51" s="66">
        <f t="shared" si="1"/>
        <v>211.39130434782609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63.33664192098594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17.080000000000002</v>
      </c>
      <c r="N51" s="13">
        <f>IF('Données projet'!$A$36&gt;35,N50+M51-V50,IF(A51&lt;'Données projet'!$A$36,$K$205^A51,IF(A51='Données projet'!$A$36,'Données projet'!$B$36,N50+M51-V50)))</f>
        <v>341.5299999999998</v>
      </c>
      <c r="O51" s="13">
        <f>N51*VLOOKUP('Données projet'!$B$9,Paramètres!$A$1:$I$89,3,0)*VLOOKUP('Données projet'!$B$9,Paramètres!$A$1:$I$89,5,0)</f>
        <v>159.83603999999991</v>
      </c>
      <c r="P51" s="13">
        <f t="shared" si="33"/>
        <v>40.805531564585834</v>
      </c>
      <c r="Q51" s="20">
        <f t="shared" si="53"/>
        <v>349.45073714165352</v>
      </c>
      <c r="R51" s="59">
        <f t="shared" si="0"/>
        <v>618.35175751860197</v>
      </c>
      <c r="S51" s="59">
        <f ca="1">AVERAGE(OFFSET($R$3,0,0,'Données projet'!$E$9+1,1))-AVERAGE(OFFSET($H$3,0,0,'Données projet'!$E$9+1,1))</f>
        <v>320.30433416149219</v>
      </c>
      <c r="T51" s="59">
        <f t="shared" si="34"/>
        <v>201.33422682092797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31.960500389411365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31.960500389411365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63.33664192098594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21.8</v>
      </c>
      <c r="AI51" s="13">
        <f>IF('Données projet'!$A$62&gt;35,AI50+AH51-AQ50,IF(A51&lt;'Données projet'!$A$62,$AF$205^A51,IF(A51='Données projet'!$A$62,'Données projet'!$B$62,AI50+AH51-AQ50)))</f>
        <v>519.4000000000002</v>
      </c>
      <c r="AJ51" s="13">
        <f>AI51*VLOOKUP('Données projet'!$B$10,Paramètres!$A$1:$I$89,3,0)*VLOOKUP('Données projet'!$B$10,Paramètres!$A$1:$I$89,5,0)</f>
        <v>310.60120000000012</v>
      </c>
      <c r="AK51" s="13">
        <f t="shared" si="35"/>
        <v>73.394370499024973</v>
      </c>
      <c r="AL51" s="20">
        <f t="shared" si="4"/>
        <v>668.792285285802</v>
      </c>
      <c r="AM51" s="59">
        <f t="shared" si="5"/>
        <v>937.69330566275039</v>
      </c>
      <c r="AN51" s="59">
        <f ca="1">AVERAGE(OFFSET($AM$3,0,0,'Données projet'!$E$10+1,1))-AVERAGE(OFFSET($H$3,0,0,'Données projet'!$E$10+1,1))</f>
        <v>569.80473816957431</v>
      </c>
      <c r="AO51" s="59">
        <f t="shared" si="36"/>
        <v>495.56567790763199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62.1724750972027</v>
      </c>
      <c r="AV51" s="21">
        <f>EXP(-LN(2)/25)*AV50+(1-EXP(-LN(2)/25))/(LN(2)/25)*Calculateur!AQ51*Calculateur!AS51*VLOOKUP('Données projet'!$B$10,Paramètres!$A$1:$I$89,3,0)*0.475*44/12</f>
        <v>39.717148385545258</v>
      </c>
      <c r="AW51" s="21">
        <f>EXP(-LN(2)/2)*AW50+(1-EXP(-LN(2)/2))/(LN(2)/2)*AQ51*AT51*VLOOKUP('Données projet'!$B$10,Paramètres!$A$1:$I$89,3,0)*0.475*44/12</f>
        <v>1.5341262089689663E-4</v>
      </c>
      <c r="AX51" s="21">
        <f t="shared" si="6"/>
        <v>101.88977689536887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63.33664192098594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-5.6843418860808015E-14</v>
      </c>
      <c r="BE51" s="13">
        <f>BD51*VLOOKUP('Données projet'!$B$11,Paramètres!$A$1:$I$89,3,0)*VLOOKUP('Données projet'!$B$11,Paramètres!$A$1:$I$89,5,0)</f>
        <v>-2.5006556825246661E-14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180.42749272334603</v>
      </c>
      <c r="BJ51" s="59">
        <f t="shared" si="38"/>
        <v>346.61476512497495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44.770055228310177</v>
      </c>
      <c r="BQ51" s="21">
        <f>EXP(-LN(2)/25)*BQ50+(1-EXP(-LN(2)/25))/(LN(2)/25)*Calculateur!BL51*Calculateur!BN51*VLOOKUP('Données projet'!$B$11,Paramètres!$A$1:$I$89,3,0)*0.475*44/12</f>
        <v>10.056216487776373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54.826271716086552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63.33664192098594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252.89</v>
      </c>
      <c r="BW51" s="12">
        <f>VLOOKUP(A51,'Données projet'!$A$113:$I$133,9,0)</f>
        <v>13.059999999999999</v>
      </c>
      <c r="BX51" s="12">
        <f t="array" ref="BX51">INDEX(BW:BW,MIN(IF(ISNUMBER(BW51:BW247),ROW(BW51:BW247),"")))</f>
        <v>13.059999999999999</v>
      </c>
      <c r="BY51" s="12">
        <f>IF('Données projet'!$A$114&gt;35,BY50+BX51-CG50,IF(A51&lt;'Données projet'!$A$114,$BV$205^A51,IF(A51='Données projet'!$A$114,'Données projet'!$B$114,BY50+BX51-CG50)))</f>
        <v>252.89000000000013</v>
      </c>
      <c r="BZ51" s="13">
        <f>BY51*VLOOKUP('Données projet'!$B$12,Paramètres!$A$1:$I$89,3,0)*VLOOKUP('Données projet'!$B$12,Paramètres!$A$1:$I$89,5,0)</f>
        <v>228.81487200000009</v>
      </c>
      <c r="CA51" s="13">
        <f t="shared" si="39"/>
        <v>56.026352154237983</v>
      </c>
      <c r="CB51" s="20">
        <f t="shared" si="10"/>
        <v>496.09846540196463</v>
      </c>
      <c r="CC51" s="59">
        <f t="shared" si="11"/>
        <v>764.99948577891314</v>
      </c>
      <c r="CD51" s="59">
        <f ca="1">AVERAGE(OFFSET($CC$3,0,0,'Données projet'!$E$12+1,1))-AVERAGE(OFFSET($H$3,0,0,'Données projet'!$E$12+1,1))</f>
        <v>553.16421218123958</v>
      </c>
      <c r="CE51" s="59">
        <f t="shared" si="40"/>
        <v>291.73668613844416</v>
      </c>
      <c r="CF51" s="15">
        <f>IF(ISNA(VLOOKUP(A51,'Données projet'!$A$113:$I$133,3,0)),0,VLOOKUP(A51,'Données projet'!$A$113:$I$133,3,0))</f>
        <v>3</v>
      </c>
      <c r="CG51" s="15">
        <f>IF(ISNA(VLOOKUP(A51,'Données projet'!$A$113:$I$133,4,0)),0,VLOOKUP(A51,'Données projet'!$A$113:$I$133,4,0))</f>
        <v>61.12</v>
      </c>
      <c r="CH51" s="16">
        <f>IF(ISNA(VLOOKUP(A51,'Données projet'!$A$113:$I$133,5,0)),0%,VLOOKUP(A51,'Données projet'!$A$113:$I$133,5,0)*VLOOKUP('Données projet'!$B$12,Paramètres!$A$1:$I$89,7,0))</f>
        <v>0.43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67.172519093966031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67.172519093966031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63.33664192098594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252.89</v>
      </c>
      <c r="CR51" s="12">
        <f>VLOOKUP(A51,'Données projet'!$A$139:$I$159,9,0)</f>
        <v>13.059999999999999</v>
      </c>
      <c r="CS51" s="12">
        <f t="array" ref="CS51">INDEX(CR:CR,MIN(IF(ISNUMBER(CR51:CR247),ROW(CR51:CR247),"")))</f>
        <v>13.059999999999999</v>
      </c>
      <c r="CT51" s="12">
        <f>IF('Données projet'!$A$140&gt;35,CT50+CS51-DB50,IF(A51&lt;'Données projet'!$A$140,$CQ$205^A51,IF(A51='Données projet'!$A$140,'Données projet'!$B$140,CT50+CS51-DB50)))</f>
        <v>252.89000000000013</v>
      </c>
      <c r="CU51" s="17">
        <f>CT51*VLOOKUP('Données projet'!$B$13,Paramètres!$A$1:$I$89,3,0)*VLOOKUP('Données projet'!$B$13,Paramètres!$A$1:$I$89,5,0)</f>
        <v>256.43046000000015</v>
      </c>
      <c r="CV51" s="13">
        <f t="shared" si="41"/>
        <v>61.960885182060892</v>
      </c>
      <c r="CW51" s="20">
        <f t="shared" si="13"/>
        <v>554.53159285875631</v>
      </c>
      <c r="CX51" s="59">
        <f t="shared" si="14"/>
        <v>823.43261323570482</v>
      </c>
      <c r="CY51" s="59">
        <f ca="1">AVERAGE(OFFSET($CX$3,0,0,'Données projet'!$E$13+1,1))-AVERAGE(OFFSET($H$3,0,0,'Données projet'!$E$13+1,1))</f>
        <v>611.82989382187804</v>
      </c>
      <c r="CZ51" s="59">
        <f t="shared" si="42"/>
        <v>320.34124600136363</v>
      </c>
      <c r="DA51" s="15">
        <f>IF(ISNA(VLOOKUP(A51,'Données projet'!$A$139:$I$159,3,0)),0,VLOOKUP(A51,'Données projet'!$A$139:$I$159,3,0))</f>
        <v>3</v>
      </c>
      <c r="DB51" s="15">
        <f>IF(ISNA(VLOOKUP(A51,'Données projet'!$A$139:$I$159,4,0)),0,VLOOKUP(A51,'Données projet'!$A$139:$I$159,4,0))</f>
        <v>61.12</v>
      </c>
      <c r="DC51" s="16">
        <f>IF(ISNA(VLOOKUP(A51,'Données projet'!$A$139:$I$159,5,0)),0%,VLOOKUP(A51,'Données projet'!$A$139:$I$159,5,0)*VLOOKUP('Données projet'!$B$13,Paramètres!$A$1:$I$89,7,0))</f>
        <v>0.43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75.279547260479177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75.279547260479177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63.33664192098594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252.89</v>
      </c>
      <c r="DM51" s="12">
        <f>VLOOKUP(A51,'Données projet'!$A$165:$I$185,9,0)</f>
        <v>13.059999999999999</v>
      </c>
      <c r="DN51" s="12">
        <f t="array" ref="DN51">INDEX(DM:DM,MIN(IF(ISNUMBER(DM51:DM247),ROW(DM51:DM247),"")))</f>
        <v>13.059999999999999</v>
      </c>
      <c r="DO51" s="12">
        <f>IF('Données projet'!$A$166&gt;35,DO50+DN51-DW50,IF(A51&lt;'Données projet'!$A$166,$DL$205^A51,IF(A51='Données projet'!$A$166,'Données projet'!$B$166,DO50+DN51-DW50)))</f>
        <v>252.89000000000013</v>
      </c>
      <c r="DP51" s="17">
        <f>DO51*VLOOKUP('Données projet'!$B$14,Paramètres!$A$1:$I$89,3,0)*VLOOKUP('Données projet'!$B$14,Paramètres!$A$1:$I$89,5,0)</f>
        <v>272.21079600000013</v>
      </c>
      <c r="DQ51" s="13">
        <f t="shared" si="43"/>
        <v>65.318233083521534</v>
      </c>
      <c r="DR51" s="20">
        <f t="shared" si="16"/>
        <v>587.86305898713351</v>
      </c>
      <c r="DS51" s="59">
        <f t="shared" si="17"/>
        <v>856.76407936408191</v>
      </c>
      <c r="DT51" s="59">
        <f ca="1">AVERAGE(OFFSET($DS$3,0,0,'Données projet'!$E$14+1,1))-AVERAGE(OFFSET($H$3,0,0,'Données projet'!$E$14+1,1))</f>
        <v>645.29541304800614</v>
      </c>
      <c r="DU51" s="59">
        <f t="shared" si="44"/>
        <v>336.65580771733323</v>
      </c>
      <c r="DV51" s="15">
        <f>IF(ISNA(VLOOKUP(A51,'Données projet'!$A$165:$I$185,3,0)),0,VLOOKUP(A51,'Données projet'!$A$165:$I$185,3,0))</f>
        <v>3</v>
      </c>
      <c r="DW51" s="15">
        <f>IF(ISNA(VLOOKUP(A51,'Données projet'!$A$165:$I$185,4,0)),0,VLOOKUP(A51,'Données projet'!$A$165:$I$185,4,0))</f>
        <v>61.12</v>
      </c>
      <c r="DX51" s="16">
        <f>IF(ISNA(VLOOKUP(A51,'Données projet'!$A$165:$I$185,5,0)),0%,VLOOKUP(A51,'Données projet'!$A$165:$I$185,5,0)*VLOOKUP('Données projet'!$B$14,Paramètres!$A$1:$I$89,7,0))</f>
        <v>0.43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79.912134784200973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79.912134784200973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63.33664192098594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8.6</v>
      </c>
      <c r="EJ51" s="12">
        <f>IF('Données projet'!$A$192&gt;35,EJ50+EI51-ER50,IF(A51&lt;'Données projet'!$A$192,$EG$205^A51,IF(A51='Données projet'!$A$192,'Données projet'!$B$192,EJ50+EI51-ER50)))</f>
        <v>243.80000000000004</v>
      </c>
      <c r="EK51" s="17">
        <f>EJ51*VLOOKUP('Données projet'!$B$15,Paramètres!$A$1:$I$89,3,0)*VLOOKUP('Données projet'!$B$15,Paramètres!$A$1:$I$89,5,0)</f>
        <v>178.75416000000001</v>
      </c>
      <c r="EL51" s="13">
        <f t="shared" si="45"/>
        <v>45.044897778507469</v>
      </c>
      <c r="EM51" s="20">
        <f t="shared" si="19"/>
        <v>389.78335896423386</v>
      </c>
      <c r="EN51" s="59">
        <f t="shared" si="20"/>
        <v>658.68437934118231</v>
      </c>
      <c r="EO51" s="59">
        <f ca="1">AVERAGE(OFFSET($EN$3,0,0,'Données projet'!$E$15+1,1))-AVERAGE(OFFSET($H$3,0,0,'Données projet'!$E$15+1,1))</f>
        <v>343.31122043016137</v>
      </c>
      <c r="EP51" s="59">
        <f t="shared" si="46"/>
        <v>333.61098411258877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27.722984333563737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27.722984333563737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63.33664192098594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8.6</v>
      </c>
      <c r="FE51" s="12">
        <f>IF('Données projet'!$A$218&gt;35,FE50+FD51-FM50,IF(A51&lt;'Données projet'!$A$218,$FB$205^A51,IF(A51='Données projet'!$A$218,'Données projet'!$B$218,FE50+FD51-FM50)))</f>
        <v>243.80000000000004</v>
      </c>
      <c r="FF51" s="17">
        <f>FE51*VLOOKUP('Données projet'!$B$16,Paramètres!$A$1:$I$89,3,0)*VLOOKUP('Données projet'!$B$16,Paramètres!$A$1:$I$89,5,0)</f>
        <v>193.96728000000004</v>
      </c>
      <c r="FG51" s="13">
        <f t="shared" si="47"/>
        <v>48.41600442423902</v>
      </c>
      <c r="FH51" s="20">
        <f t="shared" si="22"/>
        <v>422.15088703888301</v>
      </c>
      <c r="FI51" s="59">
        <f t="shared" si="23"/>
        <v>691.05190741583147</v>
      </c>
      <c r="FJ51" s="59">
        <f ca="1">AVERAGE(OFFSET($FI$3,0,0,'Données projet'!$E$16+1,1))-AVERAGE(OFFSET($H$3,0,0,'Données projet'!$E$16+1,1))</f>
        <v>368.12945163484585</v>
      </c>
      <c r="FK51" s="59">
        <f t="shared" si="48"/>
        <v>357.27183934545121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37.078291268492244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37.078291268492244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63.33664192098594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63.33664192098594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3.0869565217391299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11.318840579710143</v>
      </c>
      <c r="H52" s="66">
        <f t="shared" si="1"/>
        <v>211.39130434782609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63.4522362866199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17.080000000000002</v>
      </c>
      <c r="N52" s="13">
        <f>IF('Données projet'!$A$36&gt;35,N51+M52-V51,IF(A52&lt;'Données projet'!$A$36,$K$205^A52,IF(A52='Données projet'!$A$36,'Données projet'!$B$36,N51+M52-V51)))</f>
        <v>358.60999999999979</v>
      </c>
      <c r="O52" s="13">
        <f>N52*VLOOKUP('Données projet'!$B$9,Paramètres!$A$1:$I$89,3,0)*VLOOKUP('Données projet'!$B$9,Paramètres!$A$1:$I$89,5,0)</f>
        <v>167.8294799999999</v>
      </c>
      <c r="P52" s="13">
        <f t="shared" si="33"/>
        <v>42.603536349929698</v>
      </c>
      <c r="Q52" s="20">
        <f t="shared" si="53"/>
        <v>366.50417014279401</v>
      </c>
      <c r="R52" s="59">
        <f t="shared" si="0"/>
        <v>635.82903652706705</v>
      </c>
      <c r="S52" s="59">
        <f ca="1">AVERAGE(OFFSET($R$3,0,0,'Données projet'!$E$9+1,1))-AVERAGE(OFFSET($H$3,0,0,'Données projet'!$E$9+1,1))</f>
        <v>320.30433416149219</v>
      </c>
      <c r="T52" s="59">
        <f t="shared" si="34"/>
        <v>201.33422682092797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31.333774470755376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31.333774470755376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63.4522362866199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21.8</v>
      </c>
      <c r="AI52" s="13">
        <f>IF('Données projet'!$A$62&gt;35,AI51+AH52-AQ51,IF(A52&lt;'Données projet'!$A$62,$AF$205^A52,IF(A52='Données projet'!$A$62,'Données projet'!$B$62,AI51+AH52-AQ51)))</f>
        <v>541.20000000000016</v>
      </c>
      <c r="AJ52" s="13">
        <f>AI52*VLOOKUP('Données projet'!$B$10,Paramètres!$A$1:$I$89,3,0)*VLOOKUP('Données projet'!$B$10,Paramètres!$A$1:$I$89,5,0)</f>
        <v>323.63760000000013</v>
      </c>
      <c r="AK52" s="13">
        <f t="shared" si="35"/>
        <v>76.109728452986261</v>
      </c>
      <c r="AL52" s="20">
        <f t="shared" si="4"/>
        <v>696.22659705561784</v>
      </c>
      <c r="AM52" s="59">
        <f t="shared" si="5"/>
        <v>965.55146343989077</v>
      </c>
      <c r="AN52" s="59">
        <f ca="1">AVERAGE(OFFSET($AM$3,0,0,'Données projet'!$E$10+1,1))-AVERAGE(OFFSET($H$3,0,0,'Données projet'!$E$10+1,1))</f>
        <v>569.80473816957431</v>
      </c>
      <c r="AO52" s="59">
        <f t="shared" si="36"/>
        <v>495.56567790763199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60.953310782011933</v>
      </c>
      <c r="AV52" s="21">
        <f>EXP(-LN(2)/25)*AV51+(1-EXP(-LN(2)/25))/(LN(2)/25)*Calculateur!AQ52*Calculateur!AS52*VLOOKUP('Données projet'!$B$10,Paramètres!$A$1:$I$89,3,0)*0.475*44/12</f>
        <v>38.631080874308466</v>
      </c>
      <c r="AW52" s="21">
        <f>EXP(-LN(2)/2)*AW51+(1-EXP(-LN(2)/2))/(LN(2)/2)*AQ52*AT52*VLOOKUP('Données projet'!$B$10,Paramètres!$A$1:$I$89,3,0)*0.475*44/12</f>
        <v>1.0847910455579665E-4</v>
      </c>
      <c r="AX52" s="21">
        <f t="shared" si="6"/>
        <v>99.58450013542496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63.4522362866199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-5.6843418860808015E-14</v>
      </c>
      <c r="BE52" s="13">
        <f>BD52*VLOOKUP('Données projet'!$B$11,Paramètres!$A$1:$I$89,3,0)*VLOOKUP('Données projet'!$B$11,Paramètres!$A$1:$I$89,5,0)</f>
        <v>-2.5006556825246661E-14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180.42749272334603</v>
      </c>
      <c r="BJ52" s="59">
        <f t="shared" si="38"/>
        <v>346.61476512497495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43.892141752320356</v>
      </c>
      <c r="BQ52" s="21">
        <f>EXP(-LN(2)/25)*BQ51+(1-EXP(-LN(2)/25))/(LN(2)/25)*Calculateur!BL52*Calculateur!BN52*VLOOKUP('Données projet'!$B$11,Paramètres!$A$1:$I$89,3,0)*0.475*44/12</f>
        <v>9.7812287190846874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53.673370471405043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63.4522362866199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12.271428571428576</v>
      </c>
      <c r="BY52" s="12">
        <f>IF('Données projet'!$A$114&gt;35,BY51+BX52-CG51,IF(A52&lt;'Données projet'!$A$114,$BV$205^A52,IF(A52='Données projet'!$A$114,'Données projet'!$B$114,BY51+BX52-CG51)))</f>
        <v>204.0414285714287</v>
      </c>
      <c r="BZ52" s="13">
        <f>BY52*VLOOKUP('Données projet'!$B$12,Paramètres!$A$1:$I$89,3,0)*VLOOKUP('Données projet'!$B$12,Paramètres!$A$1:$I$89,5,0)</f>
        <v>184.61668457142869</v>
      </c>
      <c r="CA52" s="13">
        <f t="shared" si="39"/>
        <v>46.347794643176776</v>
      </c>
      <c r="CB52" s="20">
        <f t="shared" si="10"/>
        <v>402.26313463210448</v>
      </c>
      <c r="CC52" s="59">
        <f t="shared" si="11"/>
        <v>671.58800101637746</v>
      </c>
      <c r="CD52" s="59">
        <f ca="1">AVERAGE(OFFSET($CC$3,0,0,'Données projet'!$E$12+1,1))-AVERAGE(OFFSET($H$3,0,0,'Données projet'!$E$12+1,1))</f>
        <v>553.16421218123958</v>
      </c>
      <c r="CE52" s="59">
        <f t="shared" si="40"/>
        <v>291.73668613844416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65.855306965724438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65.855306965724438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63.4522362866199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12.271428571428576</v>
      </c>
      <c r="CT52" s="12">
        <f>IF('Données projet'!$A$140&gt;35,CT51+CS52-DB51,IF(A52&lt;'Données projet'!$A$140,$CQ$205^A52,IF(A52='Données projet'!$A$140,'Données projet'!$B$140,CT51+CS52-DB51)))</f>
        <v>204.0414285714287</v>
      </c>
      <c r="CU52" s="17">
        <f>CT52*VLOOKUP('Données projet'!$B$13,Paramètres!$A$1:$I$89,3,0)*VLOOKUP('Données projet'!$B$13,Paramètres!$A$1:$I$89,5,0)</f>
        <v>206.89800857142873</v>
      </c>
      <c r="CV52" s="13">
        <f t="shared" si="41"/>
        <v>51.257136542136692</v>
      </c>
      <c r="CW52" s="20">
        <f t="shared" si="13"/>
        <v>449.6202110727931</v>
      </c>
      <c r="CX52" s="59">
        <f t="shared" si="14"/>
        <v>718.94507745706608</v>
      </c>
      <c r="CY52" s="59">
        <f ca="1">AVERAGE(OFFSET($CX$3,0,0,'Données projet'!$E$13+1,1))-AVERAGE(OFFSET($H$3,0,0,'Données projet'!$E$13+1,1))</f>
        <v>611.82989382187804</v>
      </c>
      <c r="CZ52" s="59">
        <f t="shared" si="42"/>
        <v>320.34124600136363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73.803361254691183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73.803361254691183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63.4522362866199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12.271428571428576</v>
      </c>
      <c r="DO52" s="12">
        <f>IF('Données projet'!$A$166&gt;35,DO51+DN52-DW51,IF(A52&lt;'Données projet'!$A$166,$DL$205^A52,IF(A52='Données projet'!$A$166,'Données projet'!$B$166,DO51+DN52-DW51)))</f>
        <v>204.0414285714287</v>
      </c>
      <c r="DP52" s="17">
        <f>DO52*VLOOKUP('Données projet'!$B$14,Paramètres!$A$1:$I$89,3,0)*VLOOKUP('Données projet'!$B$14,Paramètres!$A$1:$I$89,5,0)</f>
        <v>219.63019371428587</v>
      </c>
      <c r="DQ52" s="13">
        <f t="shared" si="43"/>
        <v>54.034502283426129</v>
      </c>
      <c r="DR52" s="20">
        <f t="shared" si="16"/>
        <v>476.63267886268164</v>
      </c>
      <c r="DS52" s="59">
        <f t="shared" si="17"/>
        <v>745.95754524695462</v>
      </c>
      <c r="DT52" s="59">
        <f ca="1">AVERAGE(OFFSET($DS$3,0,0,'Données projet'!$E$14+1,1))-AVERAGE(OFFSET($H$3,0,0,'Données projet'!$E$14+1,1))</f>
        <v>645.29541304800614</v>
      </c>
      <c r="DU52" s="59">
        <f t="shared" si="44"/>
        <v>336.65580771733323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78.345106562672171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78.345106562672171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63.4522362866199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8.6</v>
      </c>
      <c r="EJ52" s="12">
        <f>IF('Données projet'!$A$192&gt;35,EJ51+EI52-ER51,IF(A52&lt;'Données projet'!$A$192,$EG$205^A52,IF(A52='Données projet'!$A$192,'Données projet'!$B$192,EJ51+EI52-ER51)))</f>
        <v>252.40000000000003</v>
      </c>
      <c r="EK52" s="17">
        <f>EJ52*VLOOKUP('Données projet'!$B$15,Paramètres!$A$1:$I$89,3,0)*VLOOKUP('Données projet'!$B$15,Paramètres!$A$1:$I$89,5,0)</f>
        <v>185.05968000000004</v>
      </c>
      <c r="EL52" s="13">
        <f t="shared" si="45"/>
        <v>46.44604914943055</v>
      </c>
      <c r="EM52" s="20">
        <f t="shared" si="19"/>
        <v>403.20581160192484</v>
      </c>
      <c r="EN52" s="59">
        <f t="shared" si="20"/>
        <v>672.53067798619782</v>
      </c>
      <c r="EO52" s="59">
        <f ca="1">AVERAGE(OFFSET($EN$3,0,0,'Données projet'!$E$15+1,1))-AVERAGE(OFFSET($H$3,0,0,'Données projet'!$E$15+1,1))</f>
        <v>343.31122043016137</v>
      </c>
      <c r="EP52" s="59">
        <f t="shared" si="46"/>
        <v>333.61098411258877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27.179353520133336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27.179353520133336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63.4522362866199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8.6</v>
      </c>
      <c r="FE52" s="12">
        <f>IF('Données projet'!$A$218&gt;35,FE51+FD52-FM51,IF(A52&lt;'Données projet'!$A$218,$FB$205^A52,IF(A52='Données projet'!$A$218,'Données projet'!$B$218,FE51+FD52-FM51)))</f>
        <v>252.40000000000003</v>
      </c>
      <c r="FF52" s="17">
        <f>FE52*VLOOKUP('Données projet'!$B$16,Paramètres!$A$1:$I$89,3,0)*VLOOKUP('Données projet'!$B$16,Paramètres!$A$1:$I$89,5,0)</f>
        <v>200.80944000000002</v>
      </c>
      <c r="FG52" s="13">
        <f t="shared" si="47"/>
        <v>49.922016299484312</v>
      </c>
      <c r="FH52" s="20">
        <f t="shared" si="22"/>
        <v>436.69061972160188</v>
      </c>
      <c r="FI52" s="59">
        <f t="shared" si="23"/>
        <v>706.01548610587486</v>
      </c>
      <c r="FJ52" s="59">
        <f ca="1">AVERAGE(OFFSET($FI$3,0,0,'Données projet'!$E$16+1,1))-AVERAGE(OFFSET($H$3,0,0,'Données projet'!$E$16+1,1))</f>
        <v>368.12945163484585</v>
      </c>
      <c r="FK52" s="59">
        <f t="shared" si="48"/>
        <v>357.27183934545121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36.35120859224169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36.35120859224169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63.4522362866199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63.4522362866199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3.0869565217391299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11.318840579710143</v>
      </c>
      <c r="H53" s="66">
        <f t="shared" si="1"/>
        <v>211.39130434782609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63.565825348440406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375.69</v>
      </c>
      <c r="L53" s="12">
        <f>VLOOKUP(A53,'Données projet'!$A$35:$I$55,9,0)</f>
        <v>17.080000000000002</v>
      </c>
      <c r="M53" s="12">
        <f t="array" ref="M53">INDEX(L:L,MIN(IF(ISNUMBER(L53:L249),ROW(L53:L249),"")))</f>
        <v>17.080000000000002</v>
      </c>
      <c r="N53" s="13">
        <f>IF('Données projet'!$A$36&gt;35,N52+M53-V52,IF(A53&lt;'Données projet'!$A$36,$K$205^A53,IF(A53='Données projet'!$A$36,'Données projet'!$B$36,N52+M53-V52)))</f>
        <v>375.68999999999977</v>
      </c>
      <c r="O53" s="13">
        <f>N53*VLOOKUP('Données projet'!$B$9,Paramètres!$A$1:$I$89,3,0)*VLOOKUP('Données projet'!$B$9,Paramètres!$A$1:$I$89,5,0)</f>
        <v>175.8229199999999</v>
      </c>
      <c r="P53" s="13">
        <f t="shared" si="33"/>
        <v>44.391596716593241</v>
      </c>
      <c r="Q53" s="20">
        <f t="shared" si="53"/>
        <v>383.5402832813997</v>
      </c>
      <c r="R53" s="59">
        <f t="shared" si="0"/>
        <v>653.2816428923478</v>
      </c>
      <c r="S53" s="59">
        <f ca="1">AVERAGE(OFFSET($R$3,0,0,'Données projet'!$E$9+1,1))-AVERAGE(OFFSET($H$3,0,0,'Données projet'!$E$9+1,1))</f>
        <v>320.30433416149219</v>
      </c>
      <c r="T53" s="59">
        <f t="shared" si="34"/>
        <v>201.33422682092797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106.51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67.087996915417122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67.087996915417122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63.565825348440406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563</v>
      </c>
      <c r="AG53" s="12">
        <f>VLOOKUP(A53,'Données projet'!$A$61:$I$81,9,0)</f>
        <v>21.8</v>
      </c>
      <c r="AH53" s="12">
        <f t="array" ref="AH53">INDEX(AG:AG,MIN(IF(ISNUMBER(AG53:AG249),ROW(AG53:AG249),"")))</f>
        <v>21.8</v>
      </c>
      <c r="AI53" s="13">
        <f>IF('Données projet'!$A$62&gt;35,AI52+AH53-AQ52,IF(A53&lt;'Données projet'!$A$62,$AF$205^A53,IF(A53='Données projet'!$A$62,'Données projet'!$B$62,AI52+AH53-AQ52)))</f>
        <v>563.00000000000011</v>
      </c>
      <c r="AJ53" s="13">
        <f>AI53*VLOOKUP('Données projet'!$B$10,Paramètres!$A$1:$I$89,3,0)*VLOOKUP('Données projet'!$B$10,Paramètres!$A$1:$I$89,5,0)</f>
        <v>336.67400000000009</v>
      </c>
      <c r="AK53" s="13">
        <f t="shared" si="35"/>
        <v>78.812381102074809</v>
      </c>
      <c r="AL53" s="20">
        <f t="shared" si="4"/>
        <v>723.63878041944702</v>
      </c>
      <c r="AM53" s="59">
        <f t="shared" si="5"/>
        <v>993.38014003039507</v>
      </c>
      <c r="AN53" s="59">
        <f ca="1">AVERAGE(OFFSET($AM$3,0,0,'Données projet'!$E$10+1,1))-AVERAGE(OFFSET($H$3,0,0,'Données projet'!$E$10+1,1))</f>
        <v>569.80473816957431</v>
      </c>
      <c r="AO53" s="59">
        <f t="shared" si="36"/>
        <v>495.56567790763199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0.45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79.748849253116944</v>
      </c>
      <c r="AV53" s="21">
        <f>EXP(-LN(2)/25)*AV52+(1-EXP(-LN(2)/25))/(LN(2)/25)*Calculateur!AQ53*Calculateur!AS53*VLOOKUP('Données projet'!$B$10,Paramètres!$A$1:$I$89,3,0)*0.475*44/12</f>
        <v>37.574711936280252</v>
      </c>
      <c r="AW53" s="21">
        <f>EXP(-LN(2)/2)*AW52+(1-EXP(-LN(2)/2))/(LN(2)/2)*AQ53*AT53*VLOOKUP('Données projet'!$B$10,Paramètres!$A$1:$I$89,3,0)*0.475*44/12</f>
        <v>7.6706310448448314E-5</v>
      </c>
      <c r="AX53" s="21">
        <f t="shared" si="6"/>
        <v>117.32363789570765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63.565825348440406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-5.6843418860808015E-14</v>
      </c>
      <c r="BE53" s="13">
        <f>BD53*VLOOKUP('Données projet'!$B$11,Paramètres!$A$1:$I$89,3,0)*VLOOKUP('Données projet'!$B$11,Paramètres!$A$1:$I$89,5,0)</f>
        <v>-2.5006556825246661E-14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180.42749272334603</v>
      </c>
      <c r="BJ53" s="59">
        <f t="shared" si="38"/>
        <v>346.61476512497495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43.03144362412035</v>
      </c>
      <c r="BQ53" s="21">
        <f>EXP(-LN(2)/25)*BQ52+(1-EXP(-LN(2)/25))/(LN(2)/25)*Calculateur!BL53*Calculateur!BN53*VLOOKUP('Données projet'!$B$11,Paramètres!$A$1:$I$89,3,0)*0.475*44/12</f>
        <v>9.5137605053888539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52.545204129509202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63.565825348440406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12.271428571428576</v>
      </c>
      <c r="BY53" s="12">
        <f>IF('Données projet'!$A$114&gt;35,BY52+BX53-CG52,IF(A53&lt;'Données projet'!$A$114,$BV$205^A53,IF(A53='Données projet'!$A$114,'Données projet'!$B$114,BY52+BX53-CG52)))</f>
        <v>216.31285714285727</v>
      </c>
      <c r="BZ53" s="13">
        <f>BY53*VLOOKUP('Données projet'!$B$12,Paramètres!$A$1:$I$89,3,0)*VLOOKUP('Données projet'!$B$12,Paramètres!$A$1:$I$89,5,0)</f>
        <v>195.71987314285727</v>
      </c>
      <c r="CA53" s="13">
        <f t="shared" si="39"/>
        <v>48.8023443653355</v>
      </c>
      <c r="CB53" s="20">
        <f t="shared" si="10"/>
        <v>425.87619549343572</v>
      </c>
      <c r="CC53" s="59">
        <f t="shared" si="11"/>
        <v>695.61755510438388</v>
      </c>
      <c r="CD53" s="59">
        <f ca="1">AVERAGE(OFFSET($CC$3,0,0,'Données projet'!$E$12+1,1))-AVERAGE(OFFSET($H$3,0,0,'Données projet'!$E$12+1,1))</f>
        <v>553.16421218123958</v>
      </c>
      <c r="CE53" s="59">
        <f t="shared" si="40"/>
        <v>291.73668613844416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64.563924563897586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64.563924563897586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63.565825348440406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12.271428571428576</v>
      </c>
      <c r="CT53" s="12">
        <f>IF('Données projet'!$A$140&gt;35,CT52+CS53-DB52,IF(A53&lt;'Données projet'!$A$140,$CQ$205^A53,IF(A53='Données projet'!$A$140,'Données projet'!$B$140,CT52+CS53-DB52)))</f>
        <v>216.31285714285727</v>
      </c>
      <c r="CU53" s="17">
        <f>CT53*VLOOKUP('Données projet'!$B$13,Paramètres!$A$1:$I$89,3,0)*VLOOKUP('Données projet'!$B$13,Paramètres!$A$1:$I$89,5,0)</f>
        <v>219.34123714285727</v>
      </c>
      <c r="CV53" s="13">
        <f t="shared" si="41"/>
        <v>53.971681888398933</v>
      </c>
      <c r="CW53" s="20">
        <f t="shared" si="13"/>
        <v>476.02000064610456</v>
      </c>
      <c r="CX53" s="59">
        <f t="shared" si="14"/>
        <v>745.76136025705273</v>
      </c>
      <c r="CY53" s="59">
        <f ca="1">AVERAGE(OFFSET($CX$3,0,0,'Données projet'!$E$13+1,1))-AVERAGE(OFFSET($H$3,0,0,'Données projet'!$E$13+1,1))</f>
        <v>611.82989382187804</v>
      </c>
      <c r="CZ53" s="59">
        <f t="shared" si="42"/>
        <v>320.34124600136363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72.356122356092129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72.356122356092129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63.565825348440406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12.271428571428576</v>
      </c>
      <c r="DO53" s="12">
        <f>IF('Données projet'!$A$166&gt;35,DO52+DN53-DW52,IF(A53&lt;'Données projet'!$A$166,$DL$205^A53,IF(A53='Données projet'!$A$166,'Données projet'!$B$166,DO52+DN53-DW52)))</f>
        <v>216.31285714285727</v>
      </c>
      <c r="DP53" s="17">
        <f>DO53*VLOOKUP('Données projet'!$B$14,Paramètres!$A$1:$I$89,3,0)*VLOOKUP('Données projet'!$B$14,Paramètres!$A$1:$I$89,5,0)</f>
        <v>232.83915942857158</v>
      </c>
      <c r="DQ53" s="13">
        <f t="shared" si="43"/>
        <v>56.896135152646025</v>
      </c>
      <c r="DR53" s="20">
        <f t="shared" si="16"/>
        <v>504.62230472895391</v>
      </c>
      <c r="DS53" s="59">
        <f t="shared" si="17"/>
        <v>774.36366433990202</v>
      </c>
      <c r="DT53" s="59">
        <f ca="1">AVERAGE(OFFSET($DS$3,0,0,'Données projet'!$E$14+1,1))-AVERAGE(OFFSET($H$3,0,0,'Données projet'!$E$14+1,1))</f>
        <v>645.29541304800614</v>
      </c>
      <c r="DU53" s="59">
        <f t="shared" si="44"/>
        <v>336.65580771733323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76.808806808774719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76.808806808774719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63.565825348440406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261</v>
      </c>
      <c r="EH53" s="12">
        <f>VLOOKUP(A53,'Données projet'!$A$191:$I$211,9,0)</f>
        <v>8.6</v>
      </c>
      <c r="EI53" s="12">
        <f t="array" ref="EI53">INDEX(EH:EH,MIN(IF(ISNUMBER(EH53:EH249),ROW(EH53:EH249),"")))</f>
        <v>8.6</v>
      </c>
      <c r="EJ53" s="12">
        <f>IF('Données projet'!$A$192&gt;35,EJ52+EI53-ER52,IF(A53&lt;'Données projet'!$A$192,$EG$205^A53,IF(A53='Données projet'!$A$192,'Données projet'!$B$192,EJ52+EI53-ER52)))</f>
        <v>261.00000000000006</v>
      </c>
      <c r="EK53" s="17">
        <f>EJ53*VLOOKUP('Données projet'!$B$15,Paramètres!$A$1:$I$89,3,0)*VLOOKUP('Données projet'!$B$15,Paramètres!$A$1:$I$89,5,0)</f>
        <v>191.36520000000004</v>
      </c>
      <c r="EL53" s="13">
        <f t="shared" si="45"/>
        <v>47.841653305605021</v>
      </c>
      <c r="EM53" s="20">
        <f t="shared" si="19"/>
        <v>416.61860284059549</v>
      </c>
      <c r="EN53" s="59">
        <f t="shared" si="20"/>
        <v>686.35996245154365</v>
      </c>
      <c r="EO53" s="59">
        <f ca="1">AVERAGE(OFFSET($EN$3,0,0,'Données projet'!$E$15+1,1))-AVERAGE(OFFSET($H$3,0,0,'Données projet'!$E$15+1,1))</f>
        <v>343.31122043016137</v>
      </c>
      <c r="EP53" s="59">
        <f t="shared" si="46"/>
        <v>333.61098411258877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0.43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33.268420283547229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33.268420283547229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63.565825348440406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261</v>
      </c>
      <c r="FC53" s="12">
        <f>VLOOKUP(A53,'Données projet'!$A$217:$I$237,9,0)</f>
        <v>8.6</v>
      </c>
      <c r="FD53" s="12">
        <f t="array" ref="FD53">INDEX(FC:FC,MIN(IF(ISNUMBER(FC53:FC249),ROW(FC53:FC249),"")))</f>
        <v>8.6</v>
      </c>
      <c r="FE53" s="12">
        <f>IF('Données projet'!$A$218&gt;35,FE52+FD53-FM52,IF(A53&lt;'Données projet'!$A$218,$FB$205^A53,IF(A53='Données projet'!$A$218,'Données projet'!$B$218,FE52+FD53-FM52)))</f>
        <v>261.00000000000006</v>
      </c>
      <c r="FF53" s="17">
        <f>FE53*VLOOKUP('Données projet'!$B$16,Paramètres!$A$1:$I$89,3,0)*VLOOKUP('Données projet'!$B$16,Paramètres!$A$1:$I$89,5,0)</f>
        <v>207.65160000000006</v>
      </c>
      <c r="FG53" s="13">
        <f t="shared" si="47"/>
        <v>51.422065813018108</v>
      </c>
      <c r="FH53" s="20">
        <f t="shared" si="22"/>
        <v>451.2199679576733</v>
      </c>
      <c r="FI53" s="59">
        <f t="shared" si="23"/>
        <v>720.96132756862141</v>
      </c>
      <c r="FJ53" s="59">
        <f ca="1">AVERAGE(OFFSET($FI$3,0,0,'Données projet'!$E$16+1,1))-AVERAGE(OFFSET($H$3,0,0,'Données projet'!$E$16+1,1))</f>
        <v>368.12945163484585</v>
      </c>
      <c r="FK53" s="59">
        <f t="shared" si="48"/>
        <v>357.27183934545121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0.53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44.495071759736859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44.495071759736859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63.565825348440406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63.565825348440406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3.0869565217391299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11.318840579710143</v>
      </c>
      <c r="H54" s="66">
        <f t="shared" si="1"/>
        <v>211.39130434782609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63.677443893985419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16.366250000000001</v>
      </c>
      <c r="N54" s="13">
        <f>IF('Données projet'!$A$36&gt;35,N53+M54-V53,IF(A54&lt;'Données projet'!$A$36,$K$205^A54,IF(A54='Données projet'!$A$36,'Données projet'!$B$36,N53+M54-V53)))</f>
        <v>285.54624999999976</v>
      </c>
      <c r="O54" s="13">
        <f>N54*VLOOKUP('Données projet'!$B$9,Paramètres!$A$1:$I$89,3,0)*VLOOKUP('Données projet'!$B$9,Paramètres!$A$1:$I$89,5,0)</f>
        <v>133.6356449999999</v>
      </c>
      <c r="P54" s="13">
        <f t="shared" si="33"/>
        <v>34.835096796276105</v>
      </c>
      <c r="Q54" s="20">
        <f t="shared" si="53"/>
        <v>293.4198752951807</v>
      </c>
      <c r="R54" s="59">
        <f t="shared" si="0"/>
        <v>563.57050290646055</v>
      </c>
      <c r="S54" s="59">
        <f ca="1">AVERAGE(OFFSET($R$3,0,0,'Données projet'!$E$9+1,1))-AVERAGE(OFFSET($H$3,0,0,'Données projet'!$E$9+1,1))</f>
        <v>320.30433416149219</v>
      </c>
      <c r="T54" s="59">
        <f t="shared" si="34"/>
        <v>201.33422682092797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65.772442215543435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65.772442215543435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63.677443893985419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20.2</v>
      </c>
      <c r="AI54" s="13">
        <f>IF('Données projet'!$A$62&gt;35,AI53+AH54-AQ53,IF(A54&lt;'Données projet'!$A$62,$AF$205^A54,IF(A54='Données projet'!$A$62,'Données projet'!$B$62,AI53+AH54-AQ53)))</f>
        <v>527.20000000000016</v>
      </c>
      <c r="AJ54" s="13">
        <f>AI54*VLOOKUP('Données projet'!$B$10,Paramètres!$A$1:$I$89,3,0)*VLOOKUP('Données projet'!$B$10,Paramètres!$A$1:$I$89,5,0)</f>
        <v>315.26560000000012</v>
      </c>
      <c r="AK54" s="13">
        <f t="shared" si="35"/>
        <v>74.367416736885588</v>
      </c>
      <c r="AL54" s="20">
        <f t="shared" si="4"/>
        <v>678.61083748340923</v>
      </c>
      <c r="AM54" s="59">
        <f t="shared" si="5"/>
        <v>948.76146509468913</v>
      </c>
      <c r="AN54" s="59">
        <f ca="1">AVERAGE(OFFSET($AM$3,0,0,'Données projet'!$E$10+1,1))-AVERAGE(OFFSET($H$3,0,0,'Données projet'!$E$10+1,1))</f>
        <v>569.80473816957431</v>
      </c>
      <c r="AO54" s="59">
        <f t="shared" si="36"/>
        <v>495.56567790763199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78.185022961258369</v>
      </c>
      <c r="AV54" s="21">
        <f>EXP(-LN(2)/25)*AV53+(1-EXP(-LN(2)/25))/(LN(2)/25)*Calculateur!AQ54*Calculateur!AS54*VLOOKUP('Données projet'!$B$10,Paramètres!$A$1:$I$89,3,0)*0.475*44/12</f>
        <v>36.54722946241445</v>
      </c>
      <c r="AW54" s="21">
        <f>EXP(-LN(2)/2)*AW53+(1-EXP(-LN(2)/2))/(LN(2)/2)*AQ54*AT54*VLOOKUP('Données projet'!$B$10,Paramètres!$A$1:$I$89,3,0)*0.475*44/12</f>
        <v>5.4239552277898327E-5</v>
      </c>
      <c r="AX54" s="21">
        <f t="shared" si="6"/>
        <v>114.7323066632251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63.677443893985419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-5.6843418860808015E-14</v>
      </c>
      <c r="BE54" s="13">
        <f>BD54*VLOOKUP('Données projet'!$B$11,Paramètres!$A$1:$I$89,3,0)*VLOOKUP('Données projet'!$B$11,Paramètres!$A$1:$I$89,5,0)</f>
        <v>-2.5006556825246661E-14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180.42749272334603</v>
      </c>
      <c r="BJ54" s="59">
        <f t="shared" si="38"/>
        <v>346.61476512497495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42.187623261240326</v>
      </c>
      <c r="BQ54" s="21">
        <f>EXP(-LN(2)/25)*BQ53+(1-EXP(-LN(2)/25))/(LN(2)/25)*Calculateur!BL54*Calculateur!BN54*VLOOKUP('Données projet'!$B$11,Paramètres!$A$1:$I$89,3,0)*0.475*44/12</f>
        <v>9.2536062240620751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51.441229485302401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63.677443893985419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12.271428571428576</v>
      </c>
      <c r="BY54" s="12">
        <f>IF('Données projet'!$A$114&gt;35,BY53+BX54-CG53,IF(A54&lt;'Données projet'!$A$114,$BV$205^A54,IF(A54='Données projet'!$A$114,'Données projet'!$B$114,BY53+BX54-CG53)))</f>
        <v>228.58428571428584</v>
      </c>
      <c r="BZ54" s="13">
        <f>BY54*VLOOKUP('Données projet'!$B$12,Paramètres!$A$1:$I$89,3,0)*VLOOKUP('Données projet'!$B$12,Paramètres!$A$1:$I$89,5,0)</f>
        <v>206.82306171428581</v>
      </c>
      <c r="CA54" s="13">
        <f t="shared" si="39"/>
        <v>51.240730027878335</v>
      </c>
      <c r="CB54" s="20">
        <f t="shared" si="10"/>
        <v>449.46110395093586</v>
      </c>
      <c r="CC54" s="59">
        <f t="shared" si="11"/>
        <v>719.61173156221571</v>
      </c>
      <c r="CD54" s="59">
        <f ca="1">AVERAGE(OFFSET($CC$3,0,0,'Données projet'!$E$12+1,1))-AVERAGE(OFFSET($H$3,0,0,'Données projet'!$E$12+1,1))</f>
        <v>553.16421218123958</v>
      </c>
      <c r="CE54" s="59">
        <f t="shared" si="40"/>
        <v>291.73668613844416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63.297865383305073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63.297865383305073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63.677443893985419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12.271428571428576</v>
      </c>
      <c r="CT54" s="12">
        <f>IF('Données projet'!$A$140&gt;35,CT53+CS54-DB53,IF(A54&lt;'Données projet'!$A$140,$CQ$205^A54,IF(A54='Données projet'!$A$140,'Données projet'!$B$140,CT53+CS54-DB53)))</f>
        <v>228.58428571428584</v>
      </c>
      <c r="CU54" s="17">
        <f>CT54*VLOOKUP('Données projet'!$B$13,Paramètres!$A$1:$I$89,3,0)*VLOOKUP('Données projet'!$B$13,Paramètres!$A$1:$I$89,5,0)</f>
        <v>231.78446571428586</v>
      </c>
      <c r="CV54" s="13">
        <f t="shared" si="41"/>
        <v>56.668351013857453</v>
      </c>
      <c r="CW54" s="20">
        <f t="shared" si="13"/>
        <v>502.38865580151622</v>
      </c>
      <c r="CX54" s="59">
        <f t="shared" si="14"/>
        <v>772.53928341279607</v>
      </c>
      <c r="CY54" s="59">
        <f ca="1">AVERAGE(OFFSET($CX$3,0,0,'Données projet'!$E$13+1,1))-AVERAGE(OFFSET($H$3,0,0,'Données projet'!$E$13+1,1))</f>
        <v>611.82989382187804</v>
      </c>
      <c r="CZ54" s="59">
        <f t="shared" si="42"/>
        <v>320.34124600136363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70.937262929566046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70.937262929566046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63.677443893985419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12.271428571428576</v>
      </c>
      <c r="DO54" s="12">
        <f>IF('Données projet'!$A$166&gt;35,DO53+DN54-DW53,IF(A54&lt;'Données projet'!$A$166,$DL$205^A54,IF(A54='Données projet'!$A$166,'Données projet'!$B$166,DO53+DN54-DW53)))</f>
        <v>228.58428571428584</v>
      </c>
      <c r="DP54" s="17">
        <f>DO54*VLOOKUP('Données projet'!$B$14,Paramètres!$A$1:$I$89,3,0)*VLOOKUP('Données projet'!$B$14,Paramètres!$A$1:$I$89,5,0)</f>
        <v>246.04812514285726</v>
      </c>
      <c r="DQ54" s="13">
        <f t="shared" si="43"/>
        <v>59.738923178806004</v>
      </c>
      <c r="DR54" s="20">
        <f t="shared" si="16"/>
        <v>532.57910916023013</v>
      </c>
      <c r="DS54" s="59">
        <f t="shared" si="17"/>
        <v>802.72973677151003</v>
      </c>
      <c r="DT54" s="59">
        <f ca="1">AVERAGE(OFFSET($DS$3,0,0,'Données projet'!$E$14+1,1))-AVERAGE(OFFSET($H$3,0,0,'Données projet'!$E$14+1,1))</f>
        <v>645.29541304800614</v>
      </c>
      <c r="DU54" s="59">
        <f t="shared" si="44"/>
        <v>336.65580771733323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75.302632956000878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75.302632956000878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63.677443893985419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249.40000000000003</v>
      </c>
      <c r="EK54" s="17">
        <f>EJ54*VLOOKUP('Données projet'!$B$15,Paramètres!$A$1:$I$89,3,0)*VLOOKUP('Données projet'!$B$15,Paramètres!$A$1:$I$89,5,0)</f>
        <v>182.86008000000001</v>
      </c>
      <c r="EL54" s="13">
        <f t="shared" si="45"/>
        <v>45.957916284909473</v>
      </c>
      <c r="EM54" s="20">
        <f t="shared" si="19"/>
        <v>398.52467686288401</v>
      </c>
      <c r="EN54" s="59">
        <f t="shared" si="20"/>
        <v>668.6753044741638</v>
      </c>
      <c r="EO54" s="59">
        <f ca="1">AVERAGE(OFFSET($EN$3,0,0,'Données projet'!$E$15+1,1))-AVERAGE(OFFSET($H$3,0,0,'Données projet'!$E$15+1,1))</f>
        <v>343.31122043016137</v>
      </c>
      <c r="EP54" s="59">
        <f t="shared" si="46"/>
        <v>333.61098411258877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32.616046853519599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32.616046853519599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63.677443893985419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249.40000000000003</v>
      </c>
      <c r="FF54" s="17">
        <f>FE54*VLOOKUP('Données projet'!$B$16,Paramètres!$A$1:$I$89,3,0)*VLOOKUP('Données projet'!$B$16,Paramètres!$A$1:$I$89,5,0)</f>
        <v>198.42264000000003</v>
      </c>
      <c r="FG54" s="13">
        <f t="shared" si="47"/>
        <v>49.397352151183256</v>
      </c>
      <c r="FH54" s="20">
        <f t="shared" si="22"/>
        <v>431.61981966331086</v>
      </c>
      <c r="FI54" s="59">
        <f t="shared" si="23"/>
        <v>701.77044727459065</v>
      </c>
      <c r="FJ54" s="59">
        <f ca="1">AVERAGE(OFFSET($FI$3,0,0,'Données projet'!$E$16+1,1))-AVERAGE(OFFSET($H$3,0,0,'Données projet'!$E$16+1,1))</f>
        <v>368.12945163484585</v>
      </c>
      <c r="FK54" s="59">
        <f t="shared" si="48"/>
        <v>357.27183934545121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43.622550541842408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43.622550541842408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63.677443893985419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63.677443893985419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3.0869565217391299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11.318840579710143</v>
      </c>
      <c r="H55" s="66">
        <f t="shared" si="1"/>
        <v>211.39130434782609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63.787126107306911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16.366250000000001</v>
      </c>
      <c r="N55" s="13">
        <f>IF('Données projet'!$A$36&gt;35,N54+M55-V54,IF(A55&lt;'Données projet'!$A$36,$K$205^A55,IF(A55='Données projet'!$A$36,'Données projet'!$B$36,N54+M55-V54)))</f>
        <v>301.91249999999974</v>
      </c>
      <c r="O55" s="13">
        <f>N55*VLOOKUP('Données projet'!$B$9,Paramètres!$A$1:$I$89,3,0)*VLOOKUP('Données projet'!$B$9,Paramètres!$A$1:$I$89,5,0)</f>
        <v>141.29504999999989</v>
      </c>
      <c r="P55" s="13">
        <f t="shared" si="33"/>
        <v>36.593524088822633</v>
      </c>
      <c r="Q55" s="20">
        <f t="shared" si="53"/>
        <v>309.82259987136587</v>
      </c>
      <c r="R55" s="59">
        <f t="shared" si="0"/>
        <v>580.37539559815787</v>
      </c>
      <c r="S55" s="59">
        <f ca="1">AVERAGE(OFFSET($R$3,0,0,'Données projet'!$E$9+1,1))-AVERAGE(OFFSET($H$3,0,0,'Données projet'!$E$9+1,1))</f>
        <v>320.30433416149219</v>
      </c>
      <c r="T55" s="59">
        <f t="shared" si="34"/>
        <v>201.33422682092797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64.482684740925137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64.482684740925137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63.787126107306911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20.2</v>
      </c>
      <c r="AI55" s="13">
        <f>IF('Données projet'!$A$62&gt;35,AI54+AH55-AQ54,IF(A55&lt;'Données projet'!$A$62,$AF$205^A55,IF(A55='Données projet'!$A$62,'Données projet'!$B$62,AI54+AH55-AQ54)))</f>
        <v>547.4000000000002</v>
      </c>
      <c r="AJ55" s="13">
        <f>AI55*VLOOKUP('Données projet'!$B$10,Paramètres!$A$1:$I$89,3,0)*VLOOKUP('Données projet'!$B$10,Paramètres!$A$1:$I$89,5,0)</f>
        <v>327.34520000000015</v>
      </c>
      <c r="AK55" s="13">
        <f t="shared" si="35"/>
        <v>76.879640917553189</v>
      </c>
      <c r="AL55" s="20">
        <f t="shared" si="4"/>
        <v>704.02493126473883</v>
      </c>
      <c r="AM55" s="59">
        <f t="shared" si="5"/>
        <v>974.57772699153088</v>
      </c>
      <c r="AN55" s="59">
        <f ca="1">AVERAGE(OFFSET($AM$3,0,0,'Données projet'!$E$10+1,1))-AVERAGE(OFFSET($H$3,0,0,'Données projet'!$E$10+1,1))</f>
        <v>569.80473816957431</v>
      </c>
      <c r="AO55" s="59">
        <f t="shared" si="36"/>
        <v>495.56567790763199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76.651862349143286</v>
      </c>
      <c r="AV55" s="21">
        <f>EXP(-LN(2)/25)*AV54+(1-EXP(-LN(2)/25))/(LN(2)/25)*Calculateur!AQ55*Calculateur!AS55*VLOOKUP('Données projet'!$B$10,Paramètres!$A$1:$I$89,3,0)*0.475*44/12</f>
        <v>35.547843550829462</v>
      </c>
      <c r="AW55" s="21">
        <f>EXP(-LN(2)/2)*AW54+(1-EXP(-LN(2)/2))/(LN(2)/2)*AQ55*AT55*VLOOKUP('Données projet'!$B$10,Paramètres!$A$1:$I$89,3,0)*0.475*44/12</f>
        <v>3.8353155224224157E-5</v>
      </c>
      <c r="AX55" s="21">
        <f t="shared" si="6"/>
        <v>112.19974425312796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63.787126107306911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-5.6843418860808015E-14</v>
      </c>
      <c r="BE55" s="13">
        <f>BD55*VLOOKUP('Données projet'!$B$11,Paramètres!$A$1:$I$89,3,0)*VLOOKUP('Données projet'!$B$11,Paramètres!$A$1:$I$89,5,0)</f>
        <v>-2.5006556825246661E-14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180.42749272334603</v>
      </c>
      <c r="BJ55" s="59">
        <f t="shared" si="38"/>
        <v>346.61476512497495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41.360349700996778</v>
      </c>
      <c r="BQ55" s="21">
        <f>EXP(-LN(2)/25)*BQ54+(1-EXP(-LN(2)/25))/(LN(2)/25)*Calculateur!BL55*Calculateur!BN55*VLOOKUP('Données projet'!$B$11,Paramètres!$A$1:$I$89,3,0)*0.475*44/12</f>
        <v>9.0005658752390953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50.360915576235875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63.787126107306911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12.271428571428576</v>
      </c>
      <c r="BY55" s="12">
        <f>IF('Données projet'!$A$114&gt;35,BY54+BX55-CG54,IF(A55&lt;'Données projet'!$A$114,$BV$205^A55,IF(A55='Données projet'!$A$114,'Données projet'!$B$114,BY54+BX55-CG54)))</f>
        <v>240.85571428571441</v>
      </c>
      <c r="BZ55" s="13">
        <f>BY55*VLOOKUP('Données projet'!$B$12,Paramètres!$A$1:$I$89,3,0)*VLOOKUP('Données projet'!$B$12,Paramètres!$A$1:$I$89,5,0)</f>
        <v>217.92625028571439</v>
      </c>
      <c r="CA55" s="13">
        <f t="shared" si="39"/>
        <v>53.663918329427027</v>
      </c>
      <c r="CB55" s="20">
        <f t="shared" si="10"/>
        <v>473.01954367137131</v>
      </c>
      <c r="CC55" s="59">
        <f t="shared" si="11"/>
        <v>743.57233939816331</v>
      </c>
      <c r="CD55" s="59">
        <f ca="1">AVERAGE(OFFSET($CC$3,0,0,'Données projet'!$E$12+1,1))-AVERAGE(OFFSET($H$3,0,0,'Données projet'!$E$12+1,1))</f>
        <v>553.16421218123958</v>
      </c>
      <c r="CE55" s="59">
        <f t="shared" si="40"/>
        <v>291.73668613844416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62.056632851024133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62.056632851024133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63.787126107306911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12.271428571428576</v>
      </c>
      <c r="CT55" s="12">
        <f>IF('Données projet'!$A$140&gt;35,CT54+CS55-DB54,IF(A55&lt;'Données projet'!$A$140,$CQ$205^A55,IF(A55='Données projet'!$A$140,'Données projet'!$B$140,CT54+CS55-DB54)))</f>
        <v>240.85571428571441</v>
      </c>
      <c r="CU55" s="17">
        <f>CT55*VLOOKUP('Données projet'!$B$13,Paramètres!$A$1:$I$89,3,0)*VLOOKUP('Données projet'!$B$13,Paramètres!$A$1:$I$89,5,0)</f>
        <v>244.22769428571442</v>
      </c>
      <c r="CV55" s="13">
        <f t="shared" si="41"/>
        <v>59.348213013679157</v>
      </c>
      <c r="CW55" s="20">
        <f t="shared" si="13"/>
        <v>528.72803854644383</v>
      </c>
      <c r="CX55" s="59">
        <f t="shared" si="14"/>
        <v>799.28083427323577</v>
      </c>
      <c r="CY55" s="59">
        <f ca="1">AVERAGE(OFFSET($CX$3,0,0,'Données projet'!$E$13+1,1))-AVERAGE(OFFSET($H$3,0,0,'Données projet'!$E$13+1,1))</f>
        <v>611.82989382187804</v>
      </c>
      <c r="CZ55" s="59">
        <f t="shared" si="42"/>
        <v>320.34124600136363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69.546226470975341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69.546226470975341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63.787126107306911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12.271428571428576</v>
      </c>
      <c r="DO55" s="12">
        <f>IF('Données projet'!$A$166&gt;35,DO54+DN55-DW54,IF(A55&lt;'Données projet'!$A$166,$DL$205^A55,IF(A55='Données projet'!$A$166,'Données projet'!$B$166,DO54+DN55-DW54)))</f>
        <v>240.85571428571441</v>
      </c>
      <c r="DP55" s="17">
        <f>DO55*VLOOKUP('Données projet'!$B$14,Paramètres!$A$1:$I$89,3,0)*VLOOKUP('Données projet'!$B$14,Paramètres!$A$1:$I$89,5,0)</f>
        <v>259.257090857143</v>
      </c>
      <c r="DQ55" s="13">
        <f t="shared" si="43"/>
        <v>62.563993385948706</v>
      </c>
      <c r="DR55" s="20">
        <f t="shared" si="16"/>
        <v>560.50505505671811</v>
      </c>
      <c r="DS55" s="59">
        <f t="shared" si="17"/>
        <v>831.05785078351005</v>
      </c>
      <c r="DT55" s="59">
        <f ca="1">AVERAGE(OFFSET($DS$3,0,0,'Données projet'!$E$14+1,1))-AVERAGE(OFFSET($H$3,0,0,'Données projet'!$E$14+1,1))</f>
        <v>645.29541304800614</v>
      </c>
      <c r="DU55" s="59">
        <f t="shared" si="44"/>
        <v>336.65580771733323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73.825994253804581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73.825994253804581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63.787126107306911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256.8</v>
      </c>
      <c r="EK55" s="17">
        <f>EJ55*VLOOKUP('Données projet'!$B$15,Paramètres!$A$1:$I$89,3,0)*VLOOKUP('Données projet'!$B$15,Paramètres!$A$1:$I$89,5,0)</f>
        <v>188.28576000000001</v>
      </c>
      <c r="EL55" s="13">
        <f t="shared" si="45"/>
        <v>47.160759045639651</v>
      </c>
      <c r="EM55" s="20">
        <f t="shared" si="19"/>
        <v>410.06935400448907</v>
      </c>
      <c r="EN55" s="59">
        <f t="shared" si="20"/>
        <v>680.62214973128107</v>
      </c>
      <c r="EO55" s="59">
        <f ca="1">AVERAGE(OFFSET($EN$3,0,0,'Données projet'!$E$15+1,1))-AVERAGE(OFFSET($H$3,0,0,'Données projet'!$E$15+1,1))</f>
        <v>343.31122043016137</v>
      </c>
      <c r="EP55" s="59">
        <f t="shared" si="46"/>
        <v>333.61098411258877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31.976466068546308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31.976466068546308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63.787126107306911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256.8</v>
      </c>
      <c r="FF55" s="17">
        <f>FE55*VLOOKUP('Données projet'!$B$16,Paramètres!$A$1:$I$89,3,0)*VLOOKUP('Données projet'!$B$16,Paramètres!$A$1:$I$89,5,0)</f>
        <v>204.31008000000003</v>
      </c>
      <c r="FG55" s="13">
        <f t="shared" si="47"/>
        <v>50.690214235398379</v>
      </c>
      <c r="FH55" s="20">
        <f t="shared" si="22"/>
        <v>444.12551245998549</v>
      </c>
      <c r="FI55" s="59">
        <f t="shared" si="23"/>
        <v>714.67830818677749</v>
      </c>
      <c r="FJ55" s="59">
        <f ca="1">AVERAGE(OFFSET($FI$3,0,0,'Données projet'!$E$16+1,1))-AVERAGE(OFFSET($H$3,0,0,'Données projet'!$E$16+1,1))</f>
        <v>368.12945163484585</v>
      </c>
      <c r="FK55" s="59">
        <f t="shared" si="48"/>
        <v>357.27183934545121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42.767138932845469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42.767138932845469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63.787126107306911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63.787126107306911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3.0869565217391299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11.318840579710143</v>
      </c>
      <c r="H56" s="66">
        <f t="shared" si="1"/>
        <v>211.39130434782609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63.894905579439971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16.366250000000001</v>
      </c>
      <c r="N56" s="13">
        <f>IF('Données projet'!$A$36&gt;35,N55+M56-V55,IF(A56&lt;'Données projet'!$A$36,$K$205^A56,IF(A56='Données projet'!$A$36,'Données projet'!$B$36,N55+M56-V55)))</f>
        <v>318.27874999999972</v>
      </c>
      <c r="O56" s="13">
        <f>N56*VLOOKUP('Données projet'!$B$9,Paramètres!$A$1:$I$89,3,0)*VLOOKUP('Données projet'!$B$9,Paramètres!$A$1:$I$89,5,0)</f>
        <v>148.95445499999988</v>
      </c>
      <c r="P56" s="13">
        <f t="shared" si="33"/>
        <v>38.340885127757794</v>
      </c>
      <c r="Q56" s="20">
        <f t="shared" si="53"/>
        <v>326.20605072251124</v>
      </c>
      <c r="R56" s="59">
        <f t="shared" si="0"/>
        <v>597.15403784712453</v>
      </c>
      <c r="S56" s="59">
        <f ca="1">AVERAGE(OFFSET($R$3,0,0,'Données projet'!$E$9+1,1))-AVERAGE(OFFSET($H$3,0,0,'Données projet'!$E$9+1,1))</f>
        <v>320.30433416149219</v>
      </c>
      <c r="T56" s="59">
        <f t="shared" si="34"/>
        <v>201.33422682092797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63.218218623709717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63.218218623709717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63.894905579439971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20.2</v>
      </c>
      <c r="AI56" s="13">
        <f>IF('Données projet'!$A$62&gt;35,AI55+AH56-AQ55,IF(A56&lt;'Données projet'!$A$62,$AF$205^A56,IF(A56='Données projet'!$A$62,'Données projet'!$B$62,AI55+AH56-AQ55)))</f>
        <v>567.60000000000025</v>
      </c>
      <c r="AJ56" s="13">
        <f>AI56*VLOOKUP('Données projet'!$B$10,Paramètres!$A$1:$I$89,3,0)*VLOOKUP('Données projet'!$B$10,Paramètres!$A$1:$I$89,5,0)</f>
        <v>339.42480000000018</v>
      </c>
      <c r="AK56" s="13">
        <f t="shared" si="35"/>
        <v>79.38109475156449</v>
      </c>
      <c r="AL56" s="20">
        <f t="shared" si="4"/>
        <v>729.42026669230836</v>
      </c>
      <c r="AM56" s="59">
        <f t="shared" si="5"/>
        <v>1000.3682538169217</v>
      </c>
      <c r="AN56" s="59">
        <f ca="1">AVERAGE(OFFSET($AM$3,0,0,'Données projet'!$E$10+1,1))-AVERAGE(OFFSET($H$3,0,0,'Données projet'!$E$10+1,1))</f>
        <v>569.80473816957431</v>
      </c>
      <c r="AO56" s="59">
        <f t="shared" si="36"/>
        <v>495.56567790763199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75.148766081496149</v>
      </c>
      <c r="AV56" s="21">
        <f>EXP(-LN(2)/25)*AV55+(1-EXP(-LN(2)/25))/(LN(2)/25)*Calculateur!AQ56*Calculateur!AS56*VLOOKUP('Données projet'!$B$10,Paramètres!$A$1:$I$89,3,0)*0.475*44/12</f>
        <v>34.575785899552187</v>
      </c>
      <c r="AW56" s="21">
        <f>EXP(-LN(2)/2)*AW55+(1-EXP(-LN(2)/2))/(LN(2)/2)*AQ56*AT56*VLOOKUP('Données projet'!$B$10,Paramètres!$A$1:$I$89,3,0)*0.475*44/12</f>
        <v>2.7119776138949164E-5</v>
      </c>
      <c r="AX56" s="21">
        <f t="shared" si="6"/>
        <v>109.72457910082447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63.894905579439971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-5.6843418860808015E-14</v>
      </c>
      <c r="BE56" s="13">
        <f>BD56*VLOOKUP('Données projet'!$B$11,Paramètres!$A$1:$I$89,3,0)*VLOOKUP('Données projet'!$B$11,Paramètres!$A$1:$I$89,5,0)</f>
        <v>-2.5006556825246661E-14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180.42749272334603</v>
      </c>
      <c r="BJ56" s="59">
        <f t="shared" si="38"/>
        <v>346.61476512497495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40.549298470682558</v>
      </c>
      <c r="BQ56" s="21">
        <f>EXP(-LN(2)/25)*BQ55+(1-EXP(-LN(2)/25))/(LN(2)/25)*Calculateur!BL56*Calculateur!BN56*VLOOKUP('Données projet'!$B$11,Paramètres!$A$1:$I$89,3,0)*0.475*44/12</f>
        <v>8.7544449280614938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49.303743398744054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63.894905579439971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12.271428571428576</v>
      </c>
      <c r="BY56" s="12">
        <f>IF('Données projet'!$A$114&gt;35,BY55+BX56-CG55,IF(A56&lt;'Données projet'!$A$114,$BV$205^A56,IF(A56='Données projet'!$A$114,'Données projet'!$B$114,BY55+BX56-CG55)))</f>
        <v>253.12714285714299</v>
      </c>
      <c r="BZ56" s="13">
        <f>BY56*VLOOKUP('Données projet'!$B$12,Paramètres!$A$1:$I$89,3,0)*VLOOKUP('Données projet'!$B$12,Paramètres!$A$1:$I$89,5,0)</f>
        <v>229.02943885714296</v>
      </c>
      <c r="CA56" s="13">
        <f t="shared" si="39"/>
        <v>56.072771899312158</v>
      </c>
      <c r="CB56" s="20">
        <f t="shared" si="10"/>
        <v>496.55301706749265</v>
      </c>
      <c r="CC56" s="59">
        <f t="shared" si="11"/>
        <v>767.50100419210594</v>
      </c>
      <c r="CD56" s="59">
        <f ca="1">AVERAGE(OFFSET($CC$3,0,0,'Données projet'!$E$12+1,1))-AVERAGE(OFFSET($H$3,0,0,'Données projet'!$E$12+1,1))</f>
        <v>553.16421218123958</v>
      </c>
      <c r="CE56" s="59">
        <f t="shared" si="40"/>
        <v>291.73668613844416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60.839740131624133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60.839740131624133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63.894905579439971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12.271428571428576</v>
      </c>
      <c r="CT56" s="12">
        <f>IF('Données projet'!$A$140&gt;35,CT55+CS56-DB55,IF(A56&lt;'Données projet'!$A$140,$CQ$205^A56,IF(A56='Données projet'!$A$140,'Données projet'!$B$140,CT55+CS56-DB55)))</f>
        <v>253.12714285714299</v>
      </c>
      <c r="CU56" s="17">
        <f>CT56*VLOOKUP('Données projet'!$B$13,Paramètres!$A$1:$I$89,3,0)*VLOOKUP('Données projet'!$B$13,Paramètres!$A$1:$I$89,5,0)</f>
        <v>256.67092285714301</v>
      </c>
      <c r="CV56" s="13">
        <f t="shared" si="41"/>
        <v>62.012221890308474</v>
      </c>
      <c r="CW56" s="20">
        <f t="shared" si="13"/>
        <v>555.03981043514466</v>
      </c>
      <c r="CX56" s="59">
        <f t="shared" si="14"/>
        <v>825.98779755975784</v>
      </c>
      <c r="CY56" s="59">
        <f ca="1">AVERAGE(OFFSET($CX$3,0,0,'Données projet'!$E$13+1,1))-AVERAGE(OFFSET($H$3,0,0,'Données projet'!$E$13+1,1))</f>
        <v>611.82989382187804</v>
      </c>
      <c r="CZ56" s="59">
        <f t="shared" si="42"/>
        <v>320.34124600136363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68.182467388889137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68.182467388889137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63.894905579439971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12.271428571428576</v>
      </c>
      <c r="DO56" s="12">
        <f>IF('Données projet'!$A$166&gt;35,DO55+DN56-DW55,IF(A56&lt;'Données projet'!$A$166,$DL$205^A56,IF(A56='Données projet'!$A$166,'Données projet'!$B$166,DO55+DN56-DW55)))</f>
        <v>253.12714285714299</v>
      </c>
      <c r="DP56" s="17">
        <f>DO56*VLOOKUP('Données projet'!$B$14,Paramètres!$A$1:$I$89,3,0)*VLOOKUP('Données projet'!$B$14,Paramètres!$A$1:$I$89,5,0)</f>
        <v>272.46605657142868</v>
      </c>
      <c r="DQ56" s="13">
        <f t="shared" si="43"/>
        <v>65.37235146909984</v>
      </c>
      <c r="DR56" s="20">
        <f t="shared" si="16"/>
        <v>588.40189400392057</v>
      </c>
      <c r="DS56" s="59">
        <f t="shared" si="17"/>
        <v>859.34988112853375</v>
      </c>
      <c r="DT56" s="59">
        <f ca="1">AVERAGE(OFFSET($DS$3,0,0,'Données projet'!$E$14+1,1))-AVERAGE(OFFSET($H$3,0,0,'Données projet'!$E$14+1,1))</f>
        <v>645.29541304800614</v>
      </c>
      <c r="DU56" s="59">
        <f t="shared" si="44"/>
        <v>336.65580771733323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72.37831153589768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72.37831153589768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63.894905579439971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264.2</v>
      </c>
      <c r="EK56" s="17">
        <f>EJ56*VLOOKUP('Données projet'!$B$15,Paramètres!$A$1:$I$89,3,0)*VLOOKUP('Données projet'!$B$15,Paramètres!$A$1:$I$89,5,0)</f>
        <v>193.71143999999998</v>
      </c>
      <c r="EL56" s="13">
        <f t="shared" si="45"/>
        <v>48.359573394195209</v>
      </c>
      <c r="EM56" s="20">
        <f t="shared" si="19"/>
        <v>421.60701499488988</v>
      </c>
      <c r="EN56" s="59">
        <f t="shared" si="20"/>
        <v>692.55500211950311</v>
      </c>
      <c r="EO56" s="59">
        <f ca="1">AVERAGE(OFFSET($EN$3,0,0,'Données projet'!$E$15+1,1))-AVERAGE(OFFSET($H$3,0,0,'Données projet'!$E$15+1,1))</f>
        <v>343.31122043016137</v>
      </c>
      <c r="EP56" s="59">
        <f t="shared" si="46"/>
        <v>333.61098411258877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31.349427072660585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31.349427072660585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63.894905579439971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264.2</v>
      </c>
      <c r="FF56" s="17">
        <f>FE56*VLOOKUP('Données projet'!$B$16,Paramètres!$A$1:$I$89,3,0)*VLOOKUP('Données projet'!$B$16,Paramètres!$A$1:$I$89,5,0)</f>
        <v>210.19752</v>
      </c>
      <c r="FG56" s="13">
        <f t="shared" si="47"/>
        <v>51.978746425856599</v>
      </c>
      <c r="FH56" s="20">
        <f t="shared" si="22"/>
        <v>456.62366402503358</v>
      </c>
      <c r="FI56" s="59">
        <f t="shared" si="23"/>
        <v>727.57165114964687</v>
      </c>
      <c r="FJ56" s="59">
        <f ca="1">AVERAGE(OFFSET($FI$3,0,0,'Données projet'!$E$16+1,1))-AVERAGE(OFFSET($H$3,0,0,'Données projet'!$E$16+1,1))</f>
        <v>368.12945163484585</v>
      </c>
      <c r="FK56" s="59">
        <f t="shared" si="48"/>
        <v>357.27183934545121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41.928501423751399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41.928501423751399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63.894905579439971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63.894905579439971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3.0869565217391299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11.318840579710143</v>
      </c>
      <c r="H57" s="66">
        <f t="shared" si="1"/>
        <v>211.39130434782609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64.000815318690314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16.366250000000001</v>
      </c>
      <c r="N57" s="13">
        <f>IF('Données projet'!$A$36&gt;35,N56+M57-V56,IF(A57&lt;'Données projet'!$A$36,$K$205^A57,IF(A57='Données projet'!$A$36,'Données projet'!$B$36,N56+M57-V56)))</f>
        <v>334.6449999999997</v>
      </c>
      <c r="O57" s="13">
        <f>N57*VLOOKUP('Données projet'!$B$9,Paramètres!$A$1:$I$89,3,0)*VLOOKUP('Données projet'!$B$9,Paramètres!$A$1:$I$89,5,0)</f>
        <v>156.61385999999985</v>
      </c>
      <c r="P57" s="13">
        <f t="shared" si="33"/>
        <v>40.077813863626993</v>
      </c>
      <c r="Q57" s="20">
        <f t="shared" si="53"/>
        <v>342.5713319791501</v>
      </c>
      <c r="R57" s="59">
        <f t="shared" si="0"/>
        <v>613.90765481434789</v>
      </c>
      <c r="S57" s="59">
        <f ca="1">AVERAGE(OFFSET($R$3,0,0,'Données projet'!$E$9+1,1))-AVERAGE(OFFSET($H$3,0,0,'Données projet'!$E$9+1,1))</f>
        <v>320.30433416149219</v>
      </c>
      <c r="T57" s="59">
        <f t="shared" si="34"/>
        <v>201.33422682092797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61.978547915804718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61.978547915804718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64.000815318690314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20.2</v>
      </c>
      <c r="AI57" s="13">
        <f>IF('Données projet'!$A$62&gt;35,AI56+AH57-AQ56,IF(A57&lt;'Données projet'!$A$62,$AF$205^A57,IF(A57='Données projet'!$A$62,'Données projet'!$B$62,AI56+AH57-AQ56)))</f>
        <v>587.8000000000003</v>
      </c>
      <c r="AJ57" s="13">
        <f>AI57*VLOOKUP('Données projet'!$B$10,Paramètres!$A$1:$I$89,3,0)*VLOOKUP('Données projet'!$B$10,Paramètres!$A$1:$I$89,5,0)</f>
        <v>351.5044000000002</v>
      </c>
      <c r="AK57" s="13">
        <f t="shared" si="35"/>
        <v>81.872205453163147</v>
      </c>
      <c r="AL57" s="20">
        <f t="shared" si="4"/>
        <v>754.7975878309262</v>
      </c>
      <c r="AM57" s="59">
        <f t="shared" si="5"/>
        <v>1026.1339106661239</v>
      </c>
      <c r="AN57" s="59">
        <f ca="1">AVERAGE(OFFSET($AM$3,0,0,'Données projet'!$E$10+1,1))-AVERAGE(OFFSET($H$3,0,0,'Données projet'!$E$10+1,1))</f>
        <v>569.80473816957431</v>
      </c>
      <c r="AO57" s="59">
        <f t="shared" si="36"/>
        <v>495.56567790763199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73.675144614859363</v>
      </c>
      <c r="AV57" s="21">
        <f>EXP(-LN(2)/25)*AV56+(1-EXP(-LN(2)/25))/(LN(2)/25)*Calculateur!AQ57*Calculateur!AS57*VLOOKUP('Données projet'!$B$10,Paramètres!$A$1:$I$89,3,0)*0.475*44/12</f>
        <v>33.630309215867378</v>
      </c>
      <c r="AW57" s="21">
        <f>EXP(-LN(2)/2)*AW56+(1-EXP(-LN(2)/2))/(LN(2)/2)*AQ57*AT57*VLOOKUP('Données projet'!$B$10,Paramètres!$A$1:$I$89,3,0)*0.475*44/12</f>
        <v>1.9176577612112079E-5</v>
      </c>
      <c r="AX57" s="21">
        <f t="shared" si="6"/>
        <v>107.30547300730436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64.000815318690314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-5.6843418860808015E-14</v>
      </c>
      <c r="BE57" s="13">
        <f>BD57*VLOOKUP('Données projet'!$B$11,Paramètres!$A$1:$I$89,3,0)*VLOOKUP('Données projet'!$B$11,Paramètres!$A$1:$I$89,5,0)</f>
        <v>-2.5006556825246661E-14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180.42749272334603</v>
      </c>
      <c r="BJ57" s="59">
        <f t="shared" si="38"/>
        <v>346.61476512497495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39.754151460302396</v>
      </c>
      <c r="BQ57" s="21">
        <f>EXP(-LN(2)/25)*BQ56+(1-EXP(-LN(2)/25))/(LN(2)/25)*Calculateur!BL57*Calculateur!BN57*VLOOKUP('Données projet'!$B$11,Paramètres!$A$1:$I$89,3,0)*0.475*44/12</f>
        <v>8.5150541711274013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48.269205631429799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64.000815318690314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12.271428571428576</v>
      </c>
      <c r="BY57" s="12">
        <f>IF('Données projet'!$A$114&gt;35,BY56+BX57-CG56,IF(A57&lt;'Données projet'!$A$114,$BV$205^A57,IF(A57='Données projet'!$A$114,'Données projet'!$B$114,BY56+BX57-CG56)))</f>
        <v>265.39857142857159</v>
      </c>
      <c r="BZ57" s="13">
        <f>BY57*VLOOKUP('Données projet'!$B$12,Paramètres!$A$1:$I$89,3,0)*VLOOKUP('Données projet'!$B$12,Paramètres!$A$1:$I$89,5,0)</f>
        <v>240.13262742857154</v>
      </c>
      <c r="CA57" s="13">
        <f t="shared" si="39"/>
        <v>58.468065001979532</v>
      </c>
      <c r="CB57" s="20">
        <f t="shared" si="10"/>
        <v>520.06287264987645</v>
      </c>
      <c r="CC57" s="59">
        <f t="shared" si="11"/>
        <v>791.39919548507419</v>
      </c>
      <c r="CD57" s="59">
        <f ca="1">AVERAGE(OFFSET($CC$3,0,0,'Données projet'!$E$12+1,1))-AVERAGE(OFFSET($H$3,0,0,'Données projet'!$E$12+1,1))</f>
        <v>553.16421218123958</v>
      </c>
      <c r="CE57" s="59">
        <f t="shared" si="40"/>
        <v>291.73668613844416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59.646709936220297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59.646709936220297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64.000815318690314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12.271428571428576</v>
      </c>
      <c r="CT57" s="12">
        <f>IF('Données projet'!$A$140&gt;35,CT56+CS57-DB56,IF(A57&lt;'Données projet'!$A$140,$CQ$205^A57,IF(A57='Données projet'!$A$140,'Données projet'!$B$140,CT56+CS57-DB56)))</f>
        <v>265.39857142857159</v>
      </c>
      <c r="CU57" s="17">
        <f>CT57*VLOOKUP('Données projet'!$B$13,Paramètres!$A$1:$I$89,3,0)*VLOOKUP('Données projet'!$B$13,Paramètres!$A$1:$I$89,5,0)</f>
        <v>269.11415142857157</v>
      </c>
      <c r="CV57" s="13">
        <f t="shared" si="41"/>
        <v>64.661233921346607</v>
      </c>
      <c r="CW57" s="20">
        <f t="shared" si="13"/>
        <v>581.32546281777411</v>
      </c>
      <c r="CX57" s="59">
        <f t="shared" si="14"/>
        <v>852.66178565297196</v>
      </c>
      <c r="CY57" s="59">
        <f ca="1">AVERAGE(OFFSET($CX$3,0,0,'Données projet'!$E$13+1,1))-AVERAGE(OFFSET($H$3,0,0,'Données projet'!$E$13+1,1))</f>
        <v>611.82989382187804</v>
      </c>
      <c r="CZ57" s="59">
        <f t="shared" si="42"/>
        <v>320.34124600136363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66.845450790591727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66.845450790591727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64.000815318690314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12.271428571428576</v>
      </c>
      <c r="DO57" s="12">
        <f>IF('Données projet'!$A$166&gt;35,DO56+DN57-DW56,IF(A57&lt;'Données projet'!$A$166,$DL$205^A57,IF(A57='Données projet'!$A$166,'Données projet'!$B$166,DO56+DN57-DW56)))</f>
        <v>265.39857142857159</v>
      </c>
      <c r="DP57" s="17">
        <f>DO57*VLOOKUP('Données projet'!$B$14,Paramètres!$A$1:$I$89,3,0)*VLOOKUP('Données projet'!$B$14,Paramètres!$A$1:$I$89,5,0)</f>
        <v>285.67502228571442</v>
      </c>
      <c r="DQ57" s="13">
        <f t="shared" si="43"/>
        <v>68.164900103225833</v>
      </c>
      <c r="DR57" s="20">
        <f t="shared" si="16"/>
        <v>616.27119816073753</v>
      </c>
      <c r="DS57" s="59">
        <f t="shared" si="17"/>
        <v>887.60752099593537</v>
      </c>
      <c r="DT57" s="59">
        <f ca="1">AVERAGE(OFFSET($DS$3,0,0,'Données projet'!$E$14+1,1))-AVERAGE(OFFSET($H$3,0,0,'Données projet'!$E$14+1,1))</f>
        <v>645.29541304800614</v>
      </c>
      <c r="DU57" s="59">
        <f t="shared" si="44"/>
        <v>336.65580771733323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70.959016993089662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70.959016993089662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64.000815318690314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271.59999999999997</v>
      </c>
      <c r="EK57" s="17">
        <f>EJ57*VLOOKUP('Données projet'!$B$15,Paramètres!$A$1:$I$89,3,0)*VLOOKUP('Données projet'!$B$15,Paramètres!$A$1:$I$89,5,0)</f>
        <v>199.13711999999995</v>
      </c>
      <c r="EL57" s="13">
        <f t="shared" si="45"/>
        <v>49.554485124576232</v>
      </c>
      <c r="EM57" s="20">
        <f t="shared" si="19"/>
        <v>433.13787892530354</v>
      </c>
      <c r="EN57" s="59">
        <f t="shared" si="20"/>
        <v>704.47420176050127</v>
      </c>
      <c r="EO57" s="59">
        <f ca="1">AVERAGE(OFFSET($EN$3,0,0,'Données projet'!$E$15+1,1))-AVERAGE(OFFSET($H$3,0,0,'Données projet'!$E$15+1,1))</f>
        <v>343.31122043016137</v>
      </c>
      <c r="EP57" s="59">
        <f t="shared" si="46"/>
        <v>333.61098411258877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30.734683929028158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30.734683929028158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64.000815318690314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271.59999999999997</v>
      </c>
      <c r="FF57" s="17">
        <f>FE57*VLOOKUP('Données projet'!$B$16,Paramètres!$A$1:$I$89,3,0)*VLOOKUP('Données projet'!$B$16,Paramètres!$A$1:$I$89,5,0)</f>
        <v>216.08496</v>
      </c>
      <c r="FG57" s="13">
        <f t="shared" si="47"/>
        <v>53.26308393083157</v>
      </c>
      <c r="FH57" s="20">
        <f t="shared" si="22"/>
        <v>469.11450984619825</v>
      </c>
      <c r="FI57" s="59">
        <f t="shared" si="23"/>
        <v>740.45083268139604</v>
      </c>
      <c r="FJ57" s="59">
        <f ca="1">AVERAGE(OFFSET($FI$3,0,0,'Données projet'!$E$16+1,1))-AVERAGE(OFFSET($H$3,0,0,'Données projet'!$E$16+1,1))</f>
        <v>368.12945163484585</v>
      </c>
      <c r="FK57" s="59">
        <f t="shared" si="48"/>
        <v>357.27183934545121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41.106309084692292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41.106309084692292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64.000815318690314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64.000815318690314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3.0869565217391299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11.318840579710143</v>
      </c>
      <c r="H58" s="66">
        <f t="shared" si="1"/>
        <v>211.39130434782609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64.104887760743395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16.366250000000001</v>
      </c>
      <c r="N58" s="13">
        <f>IF('Données projet'!$A$36&gt;35,N57+M58-V57,IF(A58&lt;'Données projet'!$A$36,$K$205^A58,IF(A58='Données projet'!$A$36,'Données projet'!$B$36,N57+M58-V57)))</f>
        <v>351.01124999999968</v>
      </c>
      <c r="O58" s="13">
        <f>N58*VLOOKUP('Données projet'!$B$9,Paramètres!$A$1:$I$89,3,0)*VLOOKUP('Données projet'!$B$9,Paramètres!$A$1:$I$89,5,0)</f>
        <v>164.27326499999984</v>
      </c>
      <c r="P58" s="13">
        <f t="shared" si="33"/>
        <v>41.804878735392727</v>
      </c>
      <c r="Q58" s="20">
        <f t="shared" si="53"/>
        <v>358.91943367247535</v>
      </c>
      <c r="R58" s="59">
        <f t="shared" si="0"/>
        <v>630.63735546186786</v>
      </c>
      <c r="S58" s="59">
        <f ca="1">AVERAGE(OFFSET($R$3,0,0,'Données projet'!$E$9+1,1))-AVERAGE(OFFSET($H$3,0,0,'Données projet'!$E$9+1,1))</f>
        <v>320.30433416149219</v>
      </c>
      <c r="T58" s="59">
        <f t="shared" si="34"/>
        <v>201.33422682092797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60.763186394357263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60.763186394357263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64.104887760743395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608</v>
      </c>
      <c r="AG58" s="12">
        <f>VLOOKUP(A58,'Données projet'!$A$61:$I$81,9,0)</f>
        <v>20.2</v>
      </c>
      <c r="AH58" s="12">
        <f t="array" ref="AH58">INDEX(AG:AG,MIN(IF(ISNUMBER(AG58:AG254),ROW(AG58:AG254),"")))</f>
        <v>20.2</v>
      </c>
      <c r="AI58" s="13">
        <f>IF('Données projet'!$A$62&gt;35,AI57+AH58-AQ57,IF(A58&lt;'Données projet'!$A$62,$AF$205^A58,IF(A58='Données projet'!$A$62,'Données projet'!$B$62,AI57+AH58-AQ57)))</f>
        <v>608.00000000000034</v>
      </c>
      <c r="AJ58" s="13">
        <f>AI58*VLOOKUP('Données projet'!$B$10,Paramètres!$A$1:$I$89,3,0)*VLOOKUP('Données projet'!$B$10,Paramètres!$A$1:$I$89,5,0)</f>
        <v>363.58400000000023</v>
      </c>
      <c r="AK58" s="13">
        <f t="shared" si="35"/>
        <v>84.353369208346365</v>
      </c>
      <c r="AL58" s="20">
        <f t="shared" si="4"/>
        <v>780.15758470453693</v>
      </c>
      <c r="AM58" s="59">
        <f t="shared" si="5"/>
        <v>1051.8755064939294</v>
      </c>
      <c r="AN58" s="59">
        <f ca="1">AVERAGE(OFFSET($AM$3,0,0,'Données projet'!$E$10+1,1))-AVERAGE(OFFSET($H$3,0,0,'Données projet'!$E$10+1,1))</f>
        <v>569.80473816957431</v>
      </c>
      <c r="AO58" s="59">
        <f t="shared" si="36"/>
        <v>495.56567790763199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48</v>
      </c>
      <c r="AR58" s="16">
        <f>IF(ISNA(VLOOKUP(A58,'Données projet'!$A$61:$I$81,5,0)),0%,VLOOKUP(A58,'Données projet'!$A$61:$I$81,5,0)*VLOOKUP('Données projet'!$B$10,Paramètres!$A$1:$I$89,7,0))</f>
        <v>0.45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89.365387724384448</v>
      </c>
      <c r="AV58" s="21">
        <f>EXP(-LN(2)/25)*AV57+(1-EXP(-LN(2)/25))/(LN(2)/25)*Calculateur!AQ58*Calculateur!AS58*VLOOKUP('Données projet'!$B$10,Paramètres!$A$1:$I$89,3,0)*0.475*44/12</f>
        <v>32.710686641818384</v>
      </c>
      <c r="AW58" s="21">
        <f>EXP(-LN(2)/2)*AW57+(1-EXP(-LN(2)/2))/(LN(2)/2)*AQ58*AT58*VLOOKUP('Données projet'!$B$10,Paramètres!$A$1:$I$89,3,0)*0.475*44/12</f>
        <v>1.3559888069474582E-5</v>
      </c>
      <c r="AX58" s="21">
        <f t="shared" si="6"/>
        <v>122.07608792609091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64.104887760743395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-5.6843418860808015E-14</v>
      </c>
      <c r="BE58" s="13">
        <f>BD58*VLOOKUP('Données projet'!$B$11,Paramètres!$A$1:$I$89,3,0)*VLOOKUP('Données projet'!$B$11,Paramètres!$A$1:$I$89,5,0)</f>
        <v>-2.5006556825246661E-14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180.42749272334603</v>
      </c>
      <c r="BJ58" s="59">
        <f t="shared" si="38"/>
        <v>346.61476512497495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38.974596797804004</v>
      </c>
      <c r="BQ58" s="21">
        <f>EXP(-LN(2)/25)*BQ57+(1-EXP(-LN(2)/25))/(LN(2)/25)*Calculateur!BL58*Calculateur!BN58*VLOOKUP('Données projet'!$B$11,Paramètres!$A$1:$I$89,3,0)*0.475*44/12</f>
        <v>8.2822095670306854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47.256806364834688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64.104887760743395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277.67</v>
      </c>
      <c r="BW58" s="12">
        <f>VLOOKUP(A58,'Données projet'!$A$113:$I$133,9,0)</f>
        <v>12.271428571428576</v>
      </c>
      <c r="BX58" s="12">
        <f t="array" ref="BX58">INDEX(BW:BW,MIN(IF(ISNUMBER(BW58:BW254),ROW(BW58:BW254),"")))</f>
        <v>12.271428571428576</v>
      </c>
      <c r="BY58" s="12">
        <f>IF('Données projet'!$A$114&gt;35,BY57+BX58-CG57,IF(A58&lt;'Données projet'!$A$114,$BV$205^A58,IF(A58='Données projet'!$A$114,'Données projet'!$B$114,BY57+BX58-CG57)))</f>
        <v>277.67000000000019</v>
      </c>
      <c r="BZ58" s="13">
        <f>BY58*VLOOKUP('Données projet'!$B$12,Paramètres!$A$1:$I$89,3,0)*VLOOKUP('Données projet'!$B$12,Paramètres!$A$1:$I$89,5,0)</f>
        <v>251.23581600000017</v>
      </c>
      <c r="CA58" s="13">
        <f t="shared" si="39"/>
        <v>60.850496254681879</v>
      </c>
      <c r="CB58" s="20">
        <f t="shared" si="10"/>
        <v>543.55032717690449</v>
      </c>
      <c r="CC58" s="59">
        <f t="shared" si="11"/>
        <v>815.26824896629694</v>
      </c>
      <c r="CD58" s="59">
        <f ca="1">AVERAGE(OFFSET($CC$3,0,0,'Données projet'!$E$12+1,1))-AVERAGE(OFFSET($H$3,0,0,'Données projet'!$E$12+1,1))</f>
        <v>553.16421218123958</v>
      </c>
      <c r="CE58" s="59">
        <f t="shared" si="40"/>
        <v>291.73668613844416</v>
      </c>
      <c r="CF58" s="15">
        <f>IF(ISNA(VLOOKUP(A58,'Données projet'!$A$113:$I$133,3,0)),0,VLOOKUP(A58,'Données projet'!$A$113:$I$133,3,0))</f>
        <v>4</v>
      </c>
      <c r="CG58" s="15">
        <f>IF(ISNA(VLOOKUP(A58,'Données projet'!$A$113:$I$133,4,0)),0,VLOOKUP(A58,'Données projet'!$A$113:$I$133,4,0))</f>
        <v>58.24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83.526024239001245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83.526024239001245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64.104887760743395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277.67</v>
      </c>
      <c r="CR58" s="12">
        <f>VLOOKUP(A58,'Données projet'!$A$139:$I$159,9,0)</f>
        <v>12.271428571428576</v>
      </c>
      <c r="CS58" s="12">
        <f t="array" ref="CS58">INDEX(CR:CR,MIN(IF(ISNUMBER(CR58:CR254),ROW(CR58:CR254),"")))</f>
        <v>12.271428571428576</v>
      </c>
      <c r="CT58" s="12">
        <f>IF('Données projet'!$A$140&gt;35,CT57+CS58-DB57,IF(A58&lt;'Données projet'!$A$140,$CQ$205^A58,IF(A58='Données projet'!$A$140,'Données projet'!$B$140,CT57+CS58-DB57)))</f>
        <v>277.67000000000019</v>
      </c>
      <c r="CU58" s="17">
        <f>CT58*VLOOKUP('Données projet'!$B$13,Paramètres!$A$1:$I$89,3,0)*VLOOKUP('Données projet'!$B$13,Paramètres!$A$1:$I$89,5,0)</f>
        <v>281.55738000000019</v>
      </c>
      <c r="CV58" s="13">
        <f t="shared" si="41"/>
        <v>67.296021724351561</v>
      </c>
      <c r="CW58" s="20">
        <f t="shared" si="13"/>
        <v>607.58634133657927</v>
      </c>
      <c r="CX58" s="59">
        <f t="shared" si="14"/>
        <v>879.30426312597172</v>
      </c>
      <c r="CY58" s="59">
        <f ca="1">AVERAGE(OFFSET($CX$3,0,0,'Données projet'!$E$13+1,1))-AVERAGE(OFFSET($H$3,0,0,'Données projet'!$E$13+1,1))</f>
        <v>611.82989382187804</v>
      </c>
      <c r="CZ58" s="59">
        <f t="shared" si="42"/>
        <v>320.34124600136363</v>
      </c>
      <c r="DA58" s="15">
        <f>IF(ISNA(VLOOKUP(A58,'Données projet'!$A$139:$I$159,3,0)),0,VLOOKUP(A58,'Données projet'!$A$139:$I$159,3,0))</f>
        <v>4</v>
      </c>
      <c r="DB58" s="15">
        <f>IF(ISNA(VLOOKUP(A58,'Données projet'!$A$139:$I$159,4,0)),0,VLOOKUP(A58,'Données projet'!$A$139:$I$159,4,0))</f>
        <v>58.24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93.606751302328988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93.606751302328988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64.104887760743395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277.67</v>
      </c>
      <c r="DM58" s="12">
        <f>VLOOKUP(A58,'Données projet'!$A$165:$I$185,9,0)</f>
        <v>12.271428571428576</v>
      </c>
      <c r="DN58" s="12">
        <f t="array" ref="DN58">INDEX(DM:DM,MIN(IF(ISNUMBER(DM58:DM254),ROW(DM58:DM254),"")))</f>
        <v>12.271428571428576</v>
      </c>
      <c r="DO58" s="12">
        <f>IF('Données projet'!$A$166&gt;35,DO57+DN58-DW57,IF(A58&lt;'Données projet'!$A$166,$DL$205^A58,IF(A58='Données projet'!$A$166,'Données projet'!$B$166,DO57+DN58-DW57)))</f>
        <v>277.67000000000019</v>
      </c>
      <c r="DP58" s="17">
        <f>DO58*VLOOKUP('Données projet'!$B$14,Paramètres!$A$1:$I$89,3,0)*VLOOKUP('Données projet'!$B$14,Paramètres!$A$1:$I$89,5,0)</f>
        <v>298.88398800000016</v>
      </c>
      <c r="DQ58" s="13">
        <f t="shared" si="43"/>
        <v>70.942453770133753</v>
      </c>
      <c r="DR58" s="20">
        <f t="shared" si="16"/>
        <v>644.11438608298317</v>
      </c>
      <c r="DS58" s="59">
        <f t="shared" si="17"/>
        <v>915.83230787237562</v>
      </c>
      <c r="DT58" s="59">
        <f ca="1">AVERAGE(OFFSET($DS$3,0,0,'Données projet'!$E$14+1,1))-AVERAGE(OFFSET($H$3,0,0,'Données projet'!$E$14+1,1))</f>
        <v>645.29541304800614</v>
      </c>
      <c r="DU58" s="59">
        <f t="shared" si="44"/>
        <v>336.65580771733323</v>
      </c>
      <c r="DV58" s="15">
        <f>IF(ISNA(VLOOKUP(A58,'Données projet'!$A$165:$I$185,3,0)),0,VLOOKUP(A58,'Données projet'!$A$165:$I$185,3,0))</f>
        <v>4</v>
      </c>
      <c r="DW58" s="15">
        <f>IF(ISNA(VLOOKUP(A58,'Données projet'!$A$165:$I$185,4,0)),0,VLOOKUP(A58,'Données projet'!$A$165:$I$185,4,0))</f>
        <v>58.24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99.367166767087667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99.367166767087667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64.104887760743395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279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278.99999999999994</v>
      </c>
      <c r="EK58" s="17">
        <f>EJ58*VLOOKUP('Données projet'!$B$15,Paramètres!$A$1:$I$89,3,0)*VLOOKUP('Données projet'!$B$15,Paramètres!$A$1:$I$89,5,0)</f>
        <v>204.56279999999995</v>
      </c>
      <c r="EL58" s="13">
        <f t="shared" si="45"/>
        <v>50.74561278586372</v>
      </c>
      <c r="EM58" s="20">
        <f t="shared" si="19"/>
        <v>444.66215226871259</v>
      </c>
      <c r="EN58" s="59">
        <f t="shared" si="20"/>
        <v>716.38007405810504</v>
      </c>
      <c r="EO58" s="59">
        <f ca="1">AVERAGE(OFFSET($EN$3,0,0,'Données projet'!$E$15+1,1))-AVERAGE(OFFSET($H$3,0,0,'Données projet'!$E$15+1,1))</f>
        <v>343.31122043016137</v>
      </c>
      <c r="EP58" s="59">
        <f t="shared" si="46"/>
        <v>333.61098411258877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0.43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35.708447993528154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35.708447993528154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64.104887760743395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279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278.99999999999994</v>
      </c>
      <c r="FF58" s="17">
        <f>FE58*VLOOKUP('Données projet'!$B$16,Paramètres!$A$1:$I$89,3,0)*VLOOKUP('Données projet'!$B$16,Paramètres!$A$1:$I$89,5,0)</f>
        <v>221.97239999999996</v>
      </c>
      <c r="FG58" s="13">
        <f t="shared" si="47"/>
        <v>54.543354171476821</v>
      </c>
      <c r="FH58" s="20">
        <f t="shared" si="22"/>
        <v>481.59827184865543</v>
      </c>
      <c r="FI58" s="59">
        <f t="shared" si="23"/>
        <v>753.31619363804793</v>
      </c>
      <c r="FJ58" s="59">
        <f ca="1">AVERAGE(OFFSET($FI$3,0,0,'Données projet'!$E$16+1,1))-AVERAGE(OFFSET($H$3,0,0,'Données projet'!$E$16+1,1))</f>
        <v>368.12945163484585</v>
      </c>
      <c r="FK58" s="59">
        <f t="shared" si="48"/>
        <v>357.27183934545121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0.53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47.758503179864732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47.758503179864732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64.104887760743395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64.104887760743395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3.0869565217391299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11.318840579710143</v>
      </c>
      <c r="H59" s="66">
        <f t="shared" si="1"/>
        <v>211.39130434782609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64.207154778597953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16.366250000000001</v>
      </c>
      <c r="N59" s="13">
        <f>IF('Données projet'!$A$36&gt;35,N58+M59-V58,IF(A59&lt;'Données projet'!$A$36,$K$205^A59,IF(A59='Données projet'!$A$36,'Données projet'!$B$36,N58+M59-V58)))</f>
        <v>367.37749999999966</v>
      </c>
      <c r="O59" s="13">
        <f>N59*VLOOKUP('Données projet'!$B$9,Paramètres!$A$1:$I$89,3,0)*VLOOKUP('Données projet'!$B$9,Paramètres!$A$1:$I$89,5,0)</f>
        <v>171.93266999999986</v>
      </c>
      <c r="P59" s="13">
        <f t="shared" si="33"/>
        <v>43.522592178230106</v>
      </c>
      <c r="Q59" s="20">
        <f t="shared" si="53"/>
        <v>375.25124829375051</v>
      </c>
      <c r="R59" s="59">
        <f t="shared" si="0"/>
        <v>647.34414914860963</v>
      </c>
      <c r="S59" s="59">
        <f ca="1">AVERAGE(OFFSET($R$3,0,0,'Données projet'!$E$9+1,1))-AVERAGE(OFFSET($H$3,0,0,'Données projet'!$E$9+1,1))</f>
        <v>320.30433416149219</v>
      </c>
      <c r="T59" s="59">
        <f t="shared" si="34"/>
        <v>201.33422682092797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59.571657371048062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59.571657371048062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64.207154778597953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18.600000000000001</v>
      </c>
      <c r="AI59" s="13">
        <f>IF('Données projet'!$A$62&gt;35,AI58+AH59-AQ58,IF(A59&lt;'Données projet'!$A$62,$AF$205^A59,IF(A59='Données projet'!$A$62,'Données projet'!$B$62,AI58+AH59-AQ58)))</f>
        <v>578.60000000000036</v>
      </c>
      <c r="AJ59" s="13">
        <f>AI59*VLOOKUP('Données projet'!$B$10,Paramètres!$A$1:$I$89,3,0)*VLOOKUP('Données projet'!$B$10,Paramètres!$A$1:$I$89,5,0)</f>
        <v>346.00280000000026</v>
      </c>
      <c r="AK59" s="13">
        <f t="shared" si="35"/>
        <v>80.738896833300814</v>
      </c>
      <c r="AL59" s="20">
        <f t="shared" si="4"/>
        <v>743.24178865133274</v>
      </c>
      <c r="AM59" s="59">
        <f t="shared" si="5"/>
        <v>1015.3346895061919</v>
      </c>
      <c r="AN59" s="59">
        <f ca="1">AVERAGE(OFFSET($AM$3,0,0,'Données projet'!$E$10+1,1))-AVERAGE(OFFSET($H$3,0,0,'Données projet'!$E$10+1,1))</f>
        <v>569.80473816957431</v>
      </c>
      <c r="AO59" s="59">
        <f t="shared" si="36"/>
        <v>495.56567790763199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87.612986978613606</v>
      </c>
      <c r="AV59" s="21">
        <f>EXP(-LN(2)/25)*AV58+(1-EXP(-LN(2)/25))/(LN(2)/25)*Calculateur!AQ59*Calculateur!AS59*VLOOKUP('Données projet'!$B$10,Paramètres!$A$1:$I$89,3,0)*0.475*44/12</f>
        <v>31.816211195417612</v>
      </c>
      <c r="AW59" s="21">
        <f>EXP(-LN(2)/2)*AW58+(1-EXP(-LN(2)/2))/(LN(2)/2)*AQ59*AT59*VLOOKUP('Données projet'!$B$10,Paramètres!$A$1:$I$89,3,0)*0.475*44/12</f>
        <v>9.5882888060560393E-6</v>
      </c>
      <c r="AX59" s="21">
        <f t="shared" si="6"/>
        <v>119.42920776232002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64.207154778597953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-5.6843418860808015E-14</v>
      </c>
      <c r="BE59" s="13">
        <f>BD59*VLOOKUP('Données projet'!$B$11,Paramètres!$A$1:$I$89,3,0)*VLOOKUP('Données projet'!$B$11,Paramètres!$A$1:$I$89,5,0)</f>
        <v>-2.5006556825246661E-14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180.42749272334603</v>
      </c>
      <c r="BJ59" s="59">
        <f t="shared" si="38"/>
        <v>346.61476512497495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38.210328726755812</v>
      </c>
      <c r="BQ59" s="21">
        <f>EXP(-LN(2)/25)*BQ58+(1-EXP(-LN(2)/25))/(LN(2)/25)*Calculateur!BL59*Calculateur!BN59*VLOOKUP('Données projet'!$B$11,Paramètres!$A$1:$I$89,3,0)*0.475*44/12</f>
        <v>8.0557321108777593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46.266060837633574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64.207154778597953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11.644999999999996</v>
      </c>
      <c r="BY59" s="12">
        <f>IF('Données projet'!$A$114&gt;35,BY58+BX59-CG58,IF(A59&lt;'Données projet'!$A$114,$BV$205^A59,IF(A59='Données projet'!$A$114,'Données projet'!$B$114,BY58+BX59-CG58)))</f>
        <v>231.07500000000016</v>
      </c>
      <c r="BZ59" s="13">
        <f>BY59*VLOOKUP('Données projet'!$B$12,Paramètres!$A$1:$I$89,3,0)*VLOOKUP('Données projet'!$B$12,Paramètres!$A$1:$I$89,5,0)</f>
        <v>209.07666000000012</v>
      </c>
      <c r="CA59" s="13">
        <f t="shared" si="39"/>
        <v>51.733760959596957</v>
      </c>
      <c r="CB59" s="20">
        <f t="shared" si="10"/>
        <v>454.24481650463161</v>
      </c>
      <c r="CC59" s="59">
        <f t="shared" si="11"/>
        <v>726.33771735949085</v>
      </c>
      <c r="CD59" s="59">
        <f ca="1">AVERAGE(OFFSET($CC$3,0,0,'Données projet'!$E$12+1,1))-AVERAGE(OFFSET($H$3,0,0,'Données projet'!$E$12+1,1))</f>
        <v>553.16421218123958</v>
      </c>
      <c r="CE59" s="59">
        <f t="shared" si="40"/>
        <v>291.73668613844416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81.888129849518734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81.888129849518734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64.207154778597953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11.644999999999996</v>
      </c>
      <c r="CT59" s="12">
        <f>IF('Données projet'!$A$140&gt;35,CT58+CS59-DB58,IF(A59&lt;'Données projet'!$A$140,$CQ$205^A59,IF(A59='Données projet'!$A$140,'Données projet'!$B$140,CT58+CS59-DB58)))</f>
        <v>231.07500000000016</v>
      </c>
      <c r="CU59" s="17">
        <f>CT59*VLOOKUP('Données projet'!$B$13,Paramètres!$A$1:$I$89,3,0)*VLOOKUP('Données projet'!$B$13,Paramètres!$A$1:$I$89,5,0)</f>
        <v>234.31005000000016</v>
      </c>
      <c r="CV59" s="13">
        <f t="shared" si="41"/>
        <v>57.21360573376716</v>
      </c>
      <c r="CW59" s="20">
        <f t="shared" si="13"/>
        <v>507.73703373631139</v>
      </c>
      <c r="CX59" s="59">
        <f t="shared" si="14"/>
        <v>779.82993459117051</v>
      </c>
      <c r="CY59" s="59">
        <f ca="1">AVERAGE(OFFSET($CX$3,0,0,'Données projet'!$E$13+1,1))-AVERAGE(OFFSET($H$3,0,0,'Données projet'!$E$13+1,1))</f>
        <v>611.82989382187804</v>
      </c>
      <c r="CZ59" s="59">
        <f t="shared" si="42"/>
        <v>320.34124600136363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91.771180003770993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91.771180003770993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64.207154778597953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11.644999999999996</v>
      </c>
      <c r="DO59" s="12">
        <f>IF('Données projet'!$A$166&gt;35,DO58+DN59-DW58,IF(A59&lt;'Données projet'!$A$166,$DL$205^A59,IF(A59='Données projet'!$A$166,'Données projet'!$B$166,DO58+DN59-DW58)))</f>
        <v>231.07500000000016</v>
      </c>
      <c r="DP59" s="17">
        <f>DO59*VLOOKUP('Données projet'!$B$14,Paramètres!$A$1:$I$89,3,0)*VLOOKUP('Données projet'!$B$14,Paramètres!$A$1:$I$89,5,0)</f>
        <v>248.72913000000017</v>
      </c>
      <c r="DQ59" s="13">
        <f t="shared" si="43"/>
        <v>60.313722502287384</v>
      </c>
      <c r="DR59" s="20">
        <f t="shared" si="16"/>
        <v>538.24963477481742</v>
      </c>
      <c r="DS59" s="59">
        <f t="shared" si="17"/>
        <v>810.3425356296766</v>
      </c>
      <c r="DT59" s="59">
        <f ca="1">AVERAGE(OFFSET($DS$3,0,0,'Données projet'!$E$14+1,1))-AVERAGE(OFFSET($H$3,0,0,'Données projet'!$E$14+1,1))</f>
        <v>645.29541304800614</v>
      </c>
      <c r="DU59" s="59">
        <f t="shared" si="44"/>
        <v>336.65580771733323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97.418637234772262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97.418637234772262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64.207154778597953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6.2</v>
      </c>
      <c r="EJ59" s="12">
        <f>IF('Données projet'!$A$192&gt;35,EJ58+EI59-ER58,IF(A59&lt;'Données projet'!$A$192,$EG$205^A59,IF(A59='Données projet'!$A$192,'Données projet'!$B$192,EJ58+EI59-ER58)))</f>
        <v>269.19999999999993</v>
      </c>
      <c r="EK59" s="17">
        <f>EJ59*VLOOKUP('Données projet'!$B$15,Paramètres!$A$1:$I$89,3,0)*VLOOKUP('Données projet'!$B$15,Paramètres!$A$1:$I$89,5,0)</f>
        <v>197.37743999999995</v>
      </c>
      <c r="EL59" s="13">
        <f t="shared" si="45"/>
        <v>49.167366395757924</v>
      </c>
      <c r="EM59" s="20">
        <f t="shared" si="19"/>
        <v>429.39887113927824</v>
      </c>
      <c r="EN59" s="59">
        <f t="shared" si="20"/>
        <v>701.49177199413748</v>
      </c>
      <c r="EO59" s="59">
        <f ca="1">AVERAGE(OFFSET($EN$3,0,0,'Données projet'!$E$15+1,1))-AVERAGE(OFFSET($H$3,0,0,'Données projet'!$E$15+1,1))</f>
        <v>343.31122043016137</v>
      </c>
      <c r="EP59" s="59">
        <f t="shared" si="46"/>
        <v>333.61098411258877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35.008227108377746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35.008227108377746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64.207154778597953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6.2</v>
      </c>
      <c r="FE59" s="12">
        <f>IF('Données projet'!$A$218&gt;35,FE58+FD59-FM58,IF(A59&lt;'Données projet'!$A$218,$FB$205^A59,IF(A59='Données projet'!$A$218,'Données projet'!$B$218,FE58+FD59-FM58)))</f>
        <v>269.19999999999993</v>
      </c>
      <c r="FF59" s="17">
        <f>FE59*VLOOKUP('Données projet'!$B$16,Paramètres!$A$1:$I$89,3,0)*VLOOKUP('Données projet'!$B$16,Paramètres!$A$1:$I$89,5,0)</f>
        <v>214.17551999999998</v>
      </c>
      <c r="FG59" s="13">
        <f t="shared" si="47"/>
        <v>52.846993696165399</v>
      </c>
      <c r="FH59" s="20">
        <f t="shared" si="22"/>
        <v>465.06421135415468</v>
      </c>
      <c r="FI59" s="59">
        <f t="shared" si="23"/>
        <v>737.1571122090138</v>
      </c>
      <c r="FJ59" s="59">
        <f ca="1">AVERAGE(OFFSET($FI$3,0,0,'Données projet'!$E$16+1,1))-AVERAGE(OFFSET($H$3,0,0,'Données projet'!$E$16+1,1))</f>
        <v>368.12945163484585</v>
      </c>
      <c r="FK59" s="59">
        <f t="shared" si="48"/>
        <v>357.27183934545121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46.821988062318198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46.821988062318198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64.207154778597953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64.207154778597953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3.0869565217391299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11.318840579710143</v>
      </c>
      <c r="H60" s="66">
        <f t="shared" si="1"/>
        <v>211.39130434782609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64.307647692327549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16.366250000000001</v>
      </c>
      <c r="N60" s="13">
        <f>IF('Données projet'!$A$36&gt;35,N59+M60-V59,IF(A60&lt;'Données projet'!$A$36,$K$205^A60,IF(A60='Données projet'!$A$36,'Données projet'!$B$36,N59+M60-V59)))</f>
        <v>383.74374999999964</v>
      </c>
      <c r="O60" s="13">
        <f>N60*VLOOKUP('Données projet'!$B$9,Paramètres!$A$1:$I$89,3,0)*VLOOKUP('Données projet'!$B$9,Paramètres!$A$1:$I$89,5,0)</f>
        <v>179.59207499999982</v>
      </c>
      <c r="P60" s="13">
        <f t="shared" si="33"/>
        <v>45.231418389225027</v>
      </c>
      <c r="Q60" s="20">
        <f t="shared" si="53"/>
        <v>391.56758431956655</v>
      </c>
      <c r="R60" s="59">
        <f t="shared" si="0"/>
        <v>664.0289591914343</v>
      </c>
      <c r="S60" s="59">
        <f ca="1">AVERAGE(OFFSET($R$3,0,0,'Données projet'!$E$9+1,1))-AVERAGE(OFFSET($H$3,0,0,'Données projet'!$E$9+1,1))</f>
        <v>320.30433416149219</v>
      </c>
      <c r="T60" s="59">
        <f t="shared" si="34"/>
        <v>201.33422682092797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58.403493505125013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58.403493505125013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64.307647692327549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18.600000000000001</v>
      </c>
      <c r="AI60" s="13">
        <f>IF('Données projet'!$A$62&gt;35,AI59+AH60-AQ59,IF(A60&lt;'Données projet'!$A$62,$AF$205^A60,IF(A60='Données projet'!$A$62,'Données projet'!$B$62,AI59+AH60-AQ59)))</f>
        <v>597.20000000000039</v>
      </c>
      <c r="AJ60" s="13">
        <f>AI60*VLOOKUP('Données projet'!$B$10,Paramètres!$A$1:$I$89,3,0)*VLOOKUP('Données projet'!$B$10,Paramètres!$A$1:$I$89,5,0)</f>
        <v>357.1256000000003</v>
      </c>
      <c r="AK60" s="13">
        <f t="shared" si="35"/>
        <v>83.028020806745801</v>
      </c>
      <c r="AL60" s="20">
        <f t="shared" si="4"/>
        <v>766.60088957174946</v>
      </c>
      <c r="AM60" s="59">
        <f t="shared" si="5"/>
        <v>1039.0622644436171</v>
      </c>
      <c r="AN60" s="59">
        <f ca="1">AVERAGE(OFFSET($AM$3,0,0,'Données projet'!$E$10+1,1))-AVERAGE(OFFSET($H$3,0,0,'Données projet'!$E$10+1,1))</f>
        <v>569.80473816957431</v>
      </c>
      <c r="AO60" s="59">
        <f t="shared" si="36"/>
        <v>495.56567790763199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85.894949742608418</v>
      </c>
      <c r="AV60" s="21">
        <f>EXP(-LN(2)/25)*AV59+(1-EXP(-LN(2)/25))/(LN(2)/25)*Calculateur!AQ60*Calculateur!AS60*VLOOKUP('Données projet'!$B$10,Paramètres!$A$1:$I$89,3,0)*0.475*44/12</f>
        <v>30.946195227137089</v>
      </c>
      <c r="AW60" s="21">
        <f>EXP(-LN(2)/2)*AW59+(1-EXP(-LN(2)/2))/(LN(2)/2)*AQ60*AT60*VLOOKUP('Données projet'!$B$10,Paramètres!$A$1:$I$89,3,0)*0.475*44/12</f>
        <v>6.7799440347372909E-6</v>
      </c>
      <c r="AX60" s="21">
        <f t="shared" si="6"/>
        <v>116.84115174968953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64.307647692327549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-5.6843418860808015E-14</v>
      </c>
      <c r="BE60" s="13">
        <f>BD60*VLOOKUP('Données projet'!$B$11,Paramètres!$A$1:$I$89,3,0)*VLOOKUP('Données projet'!$B$11,Paramètres!$A$1:$I$89,5,0)</f>
        <v>-2.5006556825246661E-14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180.42749272334603</v>
      </c>
      <c r="BJ60" s="59">
        <f t="shared" si="38"/>
        <v>346.61476512497495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37.461047486423375</v>
      </c>
      <c r="BQ60" s="21">
        <f>EXP(-LN(2)/25)*BQ59+(1-EXP(-LN(2)/25))/(LN(2)/25)*Calculateur!BL60*Calculateur!BN60*VLOOKUP('Données projet'!$B$11,Paramètres!$A$1:$I$89,3,0)*0.475*44/12</f>
        <v>7.8354476926732666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45.296495179096638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64.307647692327549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11.644999999999996</v>
      </c>
      <c r="BY60" s="12">
        <f>IF('Données projet'!$A$114&gt;35,BY59+BX60-CG59,IF(A60&lt;'Données projet'!$A$114,$BV$205^A60,IF(A60='Données projet'!$A$114,'Données projet'!$B$114,BY59+BX60-CG59)))</f>
        <v>242.72000000000014</v>
      </c>
      <c r="BZ60" s="13">
        <f>BY60*VLOOKUP('Données projet'!$B$12,Paramètres!$A$1:$I$89,3,0)*VLOOKUP('Données projet'!$B$12,Paramètres!$A$1:$I$89,5,0)</f>
        <v>219.61305600000011</v>
      </c>
      <c r="CA60" s="13">
        <f t="shared" si="39"/>
        <v>54.030776739498059</v>
      </c>
      <c r="CB60" s="20">
        <f t="shared" si="10"/>
        <v>476.59634202129263</v>
      </c>
      <c r="CC60" s="59">
        <f t="shared" si="11"/>
        <v>749.05771689316032</v>
      </c>
      <c r="CD60" s="59">
        <f ca="1">AVERAGE(OFFSET($CC$3,0,0,'Données projet'!$E$12+1,1))-AVERAGE(OFFSET($H$3,0,0,'Données projet'!$E$12+1,1))</f>
        <v>553.16421218123958</v>
      </c>
      <c r="CE60" s="59">
        <f t="shared" si="40"/>
        <v>291.73668613844416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80.282353569997042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80.282353569997042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64.307647692327549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11.644999999999996</v>
      </c>
      <c r="CT60" s="12">
        <f>IF('Données projet'!$A$140&gt;35,CT59+CS60-DB59,IF(A60&lt;'Données projet'!$A$140,$CQ$205^A60,IF(A60='Données projet'!$A$140,'Données projet'!$B$140,CT59+CS60-DB59)))</f>
        <v>242.72000000000014</v>
      </c>
      <c r="CU60" s="17">
        <f>CT60*VLOOKUP('Données projet'!$B$13,Paramètres!$A$1:$I$89,3,0)*VLOOKUP('Données projet'!$B$13,Paramètres!$A$1:$I$89,5,0)</f>
        <v>246.11808000000013</v>
      </c>
      <c r="CV60" s="13">
        <f t="shared" si="41"/>
        <v>59.753930518932897</v>
      </c>
      <c r="CW60" s="20">
        <f t="shared" si="13"/>
        <v>532.72708498714167</v>
      </c>
      <c r="CX60" s="59">
        <f t="shared" si="14"/>
        <v>805.1884598590093</v>
      </c>
      <c r="CY60" s="59">
        <f ca="1">AVERAGE(OFFSET($CX$3,0,0,'Données projet'!$E$13+1,1))-AVERAGE(OFFSET($H$3,0,0,'Données projet'!$E$13+1,1))</f>
        <v>611.82989382187804</v>
      </c>
      <c r="CZ60" s="59">
        <f t="shared" si="42"/>
        <v>320.34124600136363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89.971603138789789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89.971603138789789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64.307647692327549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11.644999999999996</v>
      </c>
      <c r="DO60" s="12">
        <f>IF('Données projet'!$A$166&gt;35,DO59+DN60-DW59,IF(A60&lt;'Données projet'!$A$166,$DL$205^A60,IF(A60='Données projet'!$A$166,'Données projet'!$B$166,DO59+DN60-DW59)))</f>
        <v>242.72000000000014</v>
      </c>
      <c r="DP60" s="17">
        <f>DO60*VLOOKUP('Données projet'!$B$14,Paramètres!$A$1:$I$89,3,0)*VLOOKUP('Données projet'!$B$14,Paramètres!$A$1:$I$89,5,0)</f>
        <v>261.26380800000015</v>
      </c>
      <c r="DQ60" s="13">
        <f t="shared" si="43"/>
        <v>62.991694676793095</v>
      </c>
      <c r="DR60" s="20">
        <f t="shared" si="16"/>
        <v>564.74500049541484</v>
      </c>
      <c r="DS60" s="59">
        <f t="shared" si="17"/>
        <v>837.20637536728259</v>
      </c>
      <c r="DT60" s="59">
        <f ca="1">AVERAGE(OFFSET($DS$3,0,0,'Données projet'!$E$14+1,1))-AVERAGE(OFFSET($H$3,0,0,'Données projet'!$E$14+1,1))</f>
        <v>645.29541304800614</v>
      </c>
      <c r="DU60" s="59">
        <f t="shared" si="44"/>
        <v>336.65580771733323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95.508317178099901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95.508317178099901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64.307647692327549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6.2</v>
      </c>
      <c r="EJ60" s="12">
        <f>IF('Données projet'!$A$192&gt;35,EJ59+EI60-ER59,IF(A60&lt;'Données projet'!$A$192,$EG$205^A60,IF(A60='Données projet'!$A$192,'Données projet'!$B$192,EJ59+EI60-ER59)))</f>
        <v>275.39999999999992</v>
      </c>
      <c r="EK60" s="17">
        <f>EJ60*VLOOKUP('Données projet'!$B$15,Paramètres!$A$1:$I$89,3,0)*VLOOKUP('Données projet'!$B$15,Paramètres!$A$1:$I$89,5,0)</f>
        <v>201.92327999999995</v>
      </c>
      <c r="EL60" s="13">
        <f t="shared" si="45"/>
        <v>50.166610737265309</v>
      </c>
      <c r="EM60" s="20">
        <f t="shared" si="19"/>
        <v>439.05655970073695</v>
      </c>
      <c r="EN60" s="59">
        <f t="shared" si="20"/>
        <v>711.51793457260464</v>
      </c>
      <c r="EO60" s="59">
        <f ca="1">AVERAGE(OFFSET($EN$3,0,0,'Données projet'!$E$15+1,1))-AVERAGE(OFFSET($H$3,0,0,'Données projet'!$E$15+1,1))</f>
        <v>343.31122043016137</v>
      </c>
      <c r="EP60" s="59">
        <f t="shared" si="46"/>
        <v>333.61098411258877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34.321737127692572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34.321737127692572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64.307647692327549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6.2</v>
      </c>
      <c r="FE60" s="12">
        <f>IF('Données projet'!$A$218&gt;35,FE59+FD60-FM59,IF(A60&lt;'Données projet'!$A$218,$FB$205^A60,IF(A60='Données projet'!$A$218,'Données projet'!$B$218,FE59+FD60-FM59)))</f>
        <v>275.39999999999992</v>
      </c>
      <c r="FF60" s="17">
        <f>FE60*VLOOKUP('Données projet'!$B$16,Paramètres!$A$1:$I$89,3,0)*VLOOKUP('Données projet'!$B$16,Paramètres!$A$1:$I$89,5,0)</f>
        <v>219.10823999999994</v>
      </c>
      <c r="FG60" s="13">
        <f t="shared" si="47"/>
        <v>53.921020297295854</v>
      </c>
      <c r="FH60" s="20">
        <f t="shared" si="22"/>
        <v>475.52596168445672</v>
      </c>
      <c r="FI60" s="59">
        <f t="shared" si="23"/>
        <v>747.98733655632441</v>
      </c>
      <c r="FJ60" s="59">
        <f ca="1">AVERAGE(OFFSET($FI$3,0,0,'Données projet'!$E$16+1,1))-AVERAGE(OFFSET($H$3,0,0,'Données projet'!$E$16+1,1))</f>
        <v>368.12945163484585</v>
      </c>
      <c r="FK60" s="59">
        <f t="shared" si="48"/>
        <v>357.27183934545121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45.903837435008931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45.903837435008931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64.307647692327549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64.307647692327549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3.0869565217391299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11.318840579710143</v>
      </c>
      <c r="H61" s="66">
        <f t="shared" si="1"/>
        <v>211.39130434782609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64.406397278672415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400.11</v>
      </c>
      <c r="L61" s="12">
        <f>VLOOKUP(A61,'Données projet'!$A$35:$I$55,9,0)</f>
        <v>16.366250000000001</v>
      </c>
      <c r="M61" s="12">
        <f t="array" ref="M61">INDEX(L:L,MIN(IF(ISNUMBER(L61:L257),ROW(L61:L257),"")))</f>
        <v>16.366250000000001</v>
      </c>
      <c r="N61" s="13">
        <f>IF('Données projet'!$A$36&gt;35,N60+M61-V60,IF(A61&lt;'Données projet'!$A$36,$K$205^A61,IF(A61='Données projet'!$A$36,'Données projet'!$B$36,N60+M61-V60)))</f>
        <v>400.10999999999962</v>
      </c>
      <c r="O61" s="13">
        <f>N61*VLOOKUP('Données projet'!$B$9,Paramètres!$A$1:$I$89,3,0)*VLOOKUP('Données projet'!$B$9,Paramètres!$A$1:$I$89,5,0)</f>
        <v>187.25147999999984</v>
      </c>
      <c r="P61" s="13">
        <f t="shared" si="33"/>
        <v>46.931779730921761</v>
      </c>
      <c r="Q61" s="20">
        <f t="shared" si="53"/>
        <v>407.86917736468848</v>
      </c>
      <c r="R61" s="59">
        <f t="shared" si="0"/>
        <v>680.69263405315405</v>
      </c>
      <c r="S61" s="59">
        <f ca="1">AVERAGE(OFFSET($R$3,0,0,'Données projet'!$E$9+1,1))-AVERAGE(OFFSET($H$3,0,0,'Données projet'!$E$9+1,1))</f>
        <v>320.30433416149219</v>
      </c>
      <c r="T61" s="59">
        <f t="shared" si="34"/>
        <v>201.33422682092797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87.34</v>
      </c>
      <c r="W61" s="16">
        <f>IF(ISNA(VLOOKUP(A61,'Données projet'!$A$35:$I$55,5,0)),0%,VLOOKUP(A61,'Données projet'!$A$35:$I$55,5,0)*VLOOKUP('Données projet'!$B$9,Paramètres!$A$1:$I$89,7,0))</f>
        <v>0.55000000000000004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87.081151337207331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87.081151337207331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64.406397278672415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18.600000000000001</v>
      </c>
      <c r="AI61" s="13">
        <f>IF('Données projet'!$A$62&gt;35,AI60+AH61-AQ60,IF(A61&lt;'Données projet'!$A$62,$AF$205^A61,IF(A61='Données projet'!$A$62,'Données projet'!$B$62,AI60+AH61-AQ60)))</f>
        <v>615.80000000000041</v>
      </c>
      <c r="AJ61" s="13">
        <f>AI61*VLOOKUP('Données projet'!$B$10,Paramètres!$A$1:$I$89,3,0)*VLOOKUP('Données projet'!$B$10,Paramètres!$A$1:$I$89,5,0)</f>
        <v>368.24840000000029</v>
      </c>
      <c r="AK61" s="13">
        <f t="shared" si="35"/>
        <v>85.308859587029715</v>
      </c>
      <c r="AL61" s="20">
        <f t="shared" si="4"/>
        <v>789.94556044741057</v>
      </c>
      <c r="AM61" s="59">
        <f t="shared" si="5"/>
        <v>1062.7690171358761</v>
      </c>
      <c r="AN61" s="59">
        <f ca="1">AVERAGE(OFFSET($AM$3,0,0,'Données projet'!$E$10+1,1))-AVERAGE(OFFSET($H$3,0,0,'Données projet'!$E$10+1,1))</f>
        <v>569.80473816957431</v>
      </c>
      <c r="AO61" s="59">
        <f t="shared" si="36"/>
        <v>495.56567790763199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84.210602168902057</v>
      </c>
      <c r="AV61" s="21">
        <f>EXP(-LN(2)/25)*AV60+(1-EXP(-LN(2)/25))/(LN(2)/25)*Calculateur!AQ61*Calculateur!AS61*VLOOKUP('Données projet'!$B$10,Paramètres!$A$1:$I$89,3,0)*0.475*44/12</f>
        <v>30.099969891261345</v>
      </c>
      <c r="AW61" s="21">
        <f>EXP(-LN(2)/2)*AW60+(1-EXP(-LN(2)/2))/(LN(2)/2)*AQ61*AT61*VLOOKUP('Données projet'!$B$10,Paramètres!$A$1:$I$89,3,0)*0.475*44/12</f>
        <v>4.7941444030280196E-6</v>
      </c>
      <c r="AX61" s="21">
        <f t="shared" si="6"/>
        <v>114.3105768543078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64.406397278672415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-5.6843418860808015E-14</v>
      </c>
      <c r="BE61" s="13">
        <f>BD61*VLOOKUP('Données projet'!$B$11,Paramètres!$A$1:$I$89,3,0)*VLOOKUP('Données projet'!$B$11,Paramètres!$A$1:$I$89,5,0)</f>
        <v>-2.5006556825246661E-14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180.42749272334603</v>
      </c>
      <c r="BJ61" s="59">
        <f t="shared" si="38"/>
        <v>346.61476512497495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36.726459194197432</v>
      </c>
      <c r="BQ61" s="21">
        <f>EXP(-LN(2)/25)*BQ60+(1-EXP(-LN(2)/25))/(LN(2)/25)*Calculateur!BL61*Calculateur!BN61*VLOOKUP('Données projet'!$B$11,Paramètres!$A$1:$I$89,3,0)*0.475*44/12</f>
        <v>7.6211869634688298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44.347646157666262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64.406397278672415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11.644999999999996</v>
      </c>
      <c r="BY61" s="12">
        <f>IF('Données projet'!$A$114&gt;35,BY60+BX61-CG60,IF(A61&lt;'Données projet'!$A$114,$BV$205^A61,IF(A61='Données projet'!$A$114,'Données projet'!$B$114,BY60+BX61-CG60)))</f>
        <v>254.36500000000012</v>
      </c>
      <c r="BZ61" s="13">
        <f>BY61*VLOOKUP('Données projet'!$B$12,Paramètres!$A$1:$I$89,3,0)*VLOOKUP('Données projet'!$B$12,Paramètres!$A$1:$I$89,5,0)</f>
        <v>230.14945200000011</v>
      </c>
      <c r="CA61" s="13">
        <f t="shared" si="39"/>
        <v>56.314995325940238</v>
      </c>
      <c r="CB61" s="20">
        <f t="shared" si="10"/>
        <v>498.92557909267936</v>
      </c>
      <c r="CC61" s="59">
        <f t="shared" si="11"/>
        <v>771.74903578114481</v>
      </c>
      <c r="CD61" s="59">
        <f ca="1">AVERAGE(OFFSET($CC$3,0,0,'Données projet'!$E$12+1,1))-AVERAGE(OFFSET($H$3,0,0,'Données projet'!$E$12+1,1))</f>
        <v>553.16421218123958</v>
      </c>
      <c r="CE61" s="59">
        <f t="shared" si="40"/>
        <v>291.73668613844416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78.708065583889947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78.708065583889947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64.406397278672415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11.644999999999996</v>
      </c>
      <c r="CT61" s="12">
        <f>IF('Données projet'!$A$140&gt;35,CT60+CS61-DB60,IF(A61&lt;'Données projet'!$A$140,$CQ$205^A61,IF(A61='Données projet'!$A$140,'Données projet'!$B$140,CT60+CS61-DB60)))</f>
        <v>254.36500000000012</v>
      </c>
      <c r="CU61" s="17">
        <f>CT61*VLOOKUP('Données projet'!$B$13,Paramètres!$A$1:$I$89,3,0)*VLOOKUP('Données projet'!$B$13,Paramètres!$A$1:$I$89,5,0)</f>
        <v>257.92611000000016</v>
      </c>
      <c r="CV61" s="13">
        <f t="shared" si="41"/>
        <v>62.280102581244591</v>
      </c>
      <c r="CW61" s="20">
        <f t="shared" si="13"/>
        <v>557.69248691233463</v>
      </c>
      <c r="CX61" s="59">
        <f t="shared" si="14"/>
        <v>830.51594360080014</v>
      </c>
      <c r="CY61" s="59">
        <f ca="1">AVERAGE(OFFSET($CX$3,0,0,'Données projet'!$E$13+1,1))-AVERAGE(OFFSET($H$3,0,0,'Données projet'!$E$13+1,1))</f>
        <v>611.82989382187804</v>
      </c>
      <c r="CZ61" s="59">
        <f t="shared" si="42"/>
        <v>320.34124600136363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88.207314878497357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88.207314878497357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64.406397278672415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11.644999999999996</v>
      </c>
      <c r="DO61" s="12">
        <f>IF('Données projet'!$A$166&gt;35,DO60+DN61-DW60,IF(A61&lt;'Données projet'!$A$166,$DL$205^A61,IF(A61='Données projet'!$A$166,'Données projet'!$B$166,DO60+DN61-DW60)))</f>
        <v>254.36500000000012</v>
      </c>
      <c r="DP61" s="17">
        <f>DO61*VLOOKUP('Données projet'!$B$14,Paramètres!$A$1:$I$89,3,0)*VLOOKUP('Données projet'!$B$14,Paramètres!$A$1:$I$89,5,0)</f>
        <v>273.79848600000014</v>
      </c>
      <c r="DQ61" s="13">
        <f t="shared" si="43"/>
        <v>65.654747263764932</v>
      </c>
      <c r="DR61" s="20">
        <f t="shared" si="16"/>
        <v>591.21438126772421</v>
      </c>
      <c r="DS61" s="59">
        <f t="shared" si="17"/>
        <v>864.03783795618972</v>
      </c>
      <c r="DT61" s="59">
        <f ca="1">AVERAGE(OFFSET($DS$3,0,0,'Données projet'!$E$14+1,1))-AVERAGE(OFFSET($H$3,0,0,'Données projet'!$E$14+1,1))</f>
        <v>645.29541304800614</v>
      </c>
      <c r="DU61" s="59">
        <f t="shared" si="44"/>
        <v>336.65580771733323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93.635457332558701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93.635457332558701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64.406397278672415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6.2</v>
      </c>
      <c r="EJ61" s="12">
        <f>IF('Données projet'!$A$192&gt;35,EJ60+EI61-ER60,IF(A61&lt;'Données projet'!$A$192,$EG$205^A61,IF(A61='Données projet'!$A$192,'Données projet'!$B$192,EJ60+EI61-ER60)))</f>
        <v>281.59999999999991</v>
      </c>
      <c r="EK61" s="17">
        <f>EJ61*VLOOKUP('Données projet'!$B$15,Paramètres!$A$1:$I$89,3,0)*VLOOKUP('Données projet'!$B$15,Paramètres!$A$1:$I$89,5,0)</f>
        <v>206.46911999999992</v>
      </c>
      <c r="EL61" s="13">
        <f t="shared" si="45"/>
        <v>51.163239774028327</v>
      </c>
      <c r="EM61" s="20">
        <f t="shared" si="19"/>
        <v>448.70969327309916</v>
      </c>
      <c r="EN61" s="59">
        <f t="shared" si="20"/>
        <v>721.53314996156473</v>
      </c>
      <c r="EO61" s="59">
        <f ca="1">AVERAGE(OFFSET($EN$3,0,0,'Données projet'!$E$15+1,1))-AVERAGE(OFFSET($H$3,0,0,'Données projet'!$E$15+1,1))</f>
        <v>343.31122043016137</v>
      </c>
      <c r="EP61" s="59">
        <f t="shared" si="46"/>
        <v>333.61098411258877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33.648708796811086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33.648708796811086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64.406397278672415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6.2</v>
      </c>
      <c r="FE61" s="12">
        <f>IF('Données projet'!$A$218&gt;35,FE60+FD61-FM60,IF(A61&lt;'Données projet'!$A$218,$FB$205^A61,IF(A61='Données projet'!$A$218,'Données projet'!$B$218,FE60+FD61-FM60)))</f>
        <v>281.59999999999991</v>
      </c>
      <c r="FF61" s="17">
        <f>FE61*VLOOKUP('Données projet'!$B$16,Paramètres!$A$1:$I$89,3,0)*VLOOKUP('Données projet'!$B$16,Paramètres!$A$1:$I$89,5,0)</f>
        <v>224.04095999999993</v>
      </c>
      <c r="FG61" s="13">
        <f t="shared" si="47"/>
        <v>54.992235867381233</v>
      </c>
      <c r="FH61" s="20">
        <f t="shared" si="22"/>
        <v>485.98281613568884</v>
      </c>
      <c r="FI61" s="59">
        <f t="shared" si="23"/>
        <v>758.80627282415435</v>
      </c>
      <c r="FJ61" s="59">
        <f ca="1">AVERAGE(OFFSET($FI$3,0,0,'Données projet'!$E$16+1,1))-AVERAGE(OFFSET($H$3,0,0,'Données projet'!$E$16+1,1))</f>
        <v>368.12945163484585</v>
      </c>
      <c r="FK61" s="59">
        <f t="shared" si="48"/>
        <v>357.27183934545121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45.003691181484612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45.003691181484612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64.406397278672415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64.406397278672415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3.0869565217391299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11.318840579710143</v>
      </c>
      <c r="H62" s="66">
        <f t="shared" si="1"/>
        <v>211.39130434782609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64.503433780465215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15.928750000000001</v>
      </c>
      <c r="N62" s="13">
        <f>IF('Données projet'!$A$36&gt;35,N61+M62-V61,IF(A62&lt;'Données projet'!$A$36,$K$205^A62,IF(A62='Données projet'!$A$36,'Données projet'!$B$36,N61+M62-V61)))</f>
        <v>328.69874999999956</v>
      </c>
      <c r="O62" s="13">
        <f>N62*VLOOKUP('Données projet'!$B$9,Paramètres!$A$1:$I$89,3,0)*VLOOKUP('Données projet'!$B$9,Paramètres!$A$1:$I$89,5,0)</f>
        <v>153.83101499999978</v>
      </c>
      <c r="P62" s="13">
        <f t="shared" si="33"/>
        <v>39.447915555701208</v>
      </c>
      <c r="Q62" s="20">
        <f t="shared" si="53"/>
        <v>336.62747071784582</v>
      </c>
      <c r="R62" s="59">
        <f t="shared" si="0"/>
        <v>609.80672791288498</v>
      </c>
      <c r="S62" s="59">
        <f ca="1">AVERAGE(OFFSET($R$3,0,0,'Données projet'!$E$9+1,1))-AVERAGE(OFFSET($H$3,0,0,'Données projet'!$E$9+1,1))</f>
        <v>320.30433416149219</v>
      </c>
      <c r="T62" s="59">
        <f t="shared" si="34"/>
        <v>201.33422682092797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85.373543073742411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85.373543073742411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64.503433780465215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18.600000000000001</v>
      </c>
      <c r="AI62" s="13">
        <f>IF('Données projet'!$A$62&gt;35,AI61+AH62-AQ61,IF(A62&lt;'Données projet'!$A$62,$AF$205^A62,IF(A62='Données projet'!$A$62,'Données projet'!$B$62,AI61+AH62-AQ61)))</f>
        <v>634.40000000000043</v>
      </c>
      <c r="AJ62" s="13">
        <f>AI62*VLOOKUP('Données projet'!$B$10,Paramètres!$A$1:$I$89,3,0)*VLOOKUP('Données projet'!$B$10,Paramètres!$A$1:$I$89,5,0)</f>
        <v>379.37120000000033</v>
      </c>
      <c r="AK62" s="13">
        <f t="shared" si="35"/>
        <v>87.58169214989708</v>
      </c>
      <c r="AL62" s="20">
        <f t="shared" si="4"/>
        <v>813.27628716107131</v>
      </c>
      <c r="AM62" s="59">
        <f t="shared" si="5"/>
        <v>1086.4555443561105</v>
      </c>
      <c r="AN62" s="59">
        <f ca="1">AVERAGE(OFFSET($AM$3,0,0,'Données projet'!$E$10+1,1))-AVERAGE(OFFSET($H$3,0,0,'Données projet'!$E$10+1,1))</f>
        <v>569.80473816957431</v>
      </c>
      <c r="AO62" s="59">
        <f t="shared" si="36"/>
        <v>495.56567790763199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82.559283623765495</v>
      </c>
      <c r="AV62" s="21">
        <f>EXP(-LN(2)/25)*AV61+(1-EXP(-LN(2)/25))/(LN(2)/25)*Calculateur!AQ62*Calculateur!AS62*VLOOKUP('Données projet'!$B$10,Paramètres!$A$1:$I$89,3,0)*0.475*44/12</f>
        <v>29.276884631696181</v>
      </c>
      <c r="AW62" s="21">
        <f>EXP(-LN(2)/2)*AW61+(1-EXP(-LN(2)/2))/(LN(2)/2)*AQ62*AT62*VLOOKUP('Données projet'!$B$10,Paramètres!$A$1:$I$89,3,0)*0.475*44/12</f>
        <v>3.3899720173686454E-6</v>
      </c>
      <c r="AX62" s="21">
        <f t="shared" si="6"/>
        <v>111.83617164543369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64.503433780465215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-5.6843418860808015E-14</v>
      </c>
      <c r="BE62" s="13">
        <f>BD62*VLOOKUP('Données projet'!$B$11,Paramètres!$A$1:$I$89,3,0)*VLOOKUP('Données projet'!$B$11,Paramètres!$A$1:$I$89,5,0)</f>
        <v>-2.5006556825246661E-14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180.42749272334603</v>
      </c>
      <c r="BJ62" s="59">
        <f t="shared" si="38"/>
        <v>346.61476512497495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36.006275730327424</v>
      </c>
      <c r="BQ62" s="21">
        <f>EXP(-LN(2)/25)*BQ61+(1-EXP(-LN(2)/25))/(LN(2)/25)*Calculateur!BL62*Calculateur!BN62*VLOOKUP('Données projet'!$B$11,Paramètres!$A$1:$I$89,3,0)*0.475*44/12</f>
        <v>7.4127852051719705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43.419060935499395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64.503433780465215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11.644999999999996</v>
      </c>
      <c r="BY62" s="12">
        <f>IF('Données projet'!$A$114&gt;35,BY61+BX62-CG61,IF(A62&lt;'Données projet'!$A$114,$BV$205^A62,IF(A62='Données projet'!$A$114,'Données projet'!$B$114,BY61+BX62-CG61)))</f>
        <v>266.0100000000001</v>
      </c>
      <c r="BZ62" s="13">
        <f>BY62*VLOOKUP('Données projet'!$B$12,Paramètres!$A$1:$I$89,3,0)*VLOOKUP('Données projet'!$B$12,Paramètres!$A$1:$I$89,5,0)</f>
        <v>240.68584800000008</v>
      </c>
      <c r="CA62" s="13">
        <f t="shared" si="39"/>
        <v>58.587069504016014</v>
      </c>
      <c r="CB62" s="20">
        <f t="shared" si="10"/>
        <v>521.233664652828</v>
      </c>
      <c r="CC62" s="59">
        <f t="shared" si="11"/>
        <v>794.41292184786721</v>
      </c>
      <c r="CD62" s="59">
        <f ca="1">AVERAGE(OFFSET($CC$3,0,0,'Données projet'!$E$12+1,1))-AVERAGE(OFFSET($H$3,0,0,'Données projet'!$E$12+1,1))</f>
        <v>553.16421218123958</v>
      </c>
      <c r="CE62" s="59">
        <f t="shared" si="40"/>
        <v>291.73668613844416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77.164648424969556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77.164648424969556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64.503433780465215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11.644999999999996</v>
      </c>
      <c r="CT62" s="12">
        <f>IF('Données projet'!$A$140&gt;35,CT61+CS62-DB61,IF(A62&lt;'Données projet'!$A$140,$CQ$205^A62,IF(A62='Données projet'!$A$140,'Données projet'!$B$140,CT61+CS62-DB61)))</f>
        <v>266.0100000000001</v>
      </c>
      <c r="CU62" s="17">
        <f>CT62*VLOOKUP('Données projet'!$B$13,Paramètres!$A$1:$I$89,3,0)*VLOOKUP('Données projet'!$B$13,Paramètres!$A$1:$I$89,5,0)</f>
        <v>269.73414000000014</v>
      </c>
      <c r="CV62" s="13">
        <f t="shared" si="41"/>
        <v>64.792843851376162</v>
      </c>
      <c r="CW62" s="20">
        <f t="shared" si="13"/>
        <v>582.63449687448042</v>
      </c>
      <c r="CX62" s="59">
        <f t="shared" si="14"/>
        <v>855.81375406951952</v>
      </c>
      <c r="CY62" s="59">
        <f ca="1">AVERAGE(OFFSET($CX$3,0,0,'Données projet'!$E$13+1,1))-AVERAGE(OFFSET($H$3,0,0,'Données projet'!$E$13+1,1))</f>
        <v>611.82989382187804</v>
      </c>
      <c r="CZ62" s="59">
        <f t="shared" si="42"/>
        <v>320.34124600136363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86.477623234879673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86.477623234879673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64.503433780465215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11.644999999999996</v>
      </c>
      <c r="DO62" s="12">
        <f>IF('Données projet'!$A$166&gt;35,DO61+DN62-DW61,IF(A62&lt;'Données projet'!$A$166,$DL$205^A62,IF(A62='Données projet'!$A$166,'Données projet'!$B$166,DO61+DN62-DW61)))</f>
        <v>266.0100000000001</v>
      </c>
      <c r="DP62" s="17">
        <f>DO62*VLOOKUP('Données projet'!$B$14,Paramètres!$A$1:$I$89,3,0)*VLOOKUP('Données projet'!$B$14,Paramètres!$A$1:$I$89,5,0)</f>
        <v>286.33316400000007</v>
      </c>
      <c r="DQ62" s="13">
        <f t="shared" si="43"/>
        <v>68.303641311659476</v>
      </c>
      <c r="DR62" s="20">
        <f t="shared" si="16"/>
        <v>617.65910258447366</v>
      </c>
      <c r="DS62" s="59">
        <f t="shared" si="17"/>
        <v>890.83835977951276</v>
      </c>
      <c r="DT62" s="59">
        <f ca="1">AVERAGE(OFFSET($DS$3,0,0,'Données projet'!$E$14+1,1))-AVERAGE(OFFSET($H$3,0,0,'Données projet'!$E$14+1,1))</f>
        <v>645.29541304800614</v>
      </c>
      <c r="DU62" s="59">
        <f t="shared" si="44"/>
        <v>336.65580771733323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91.799323126256851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91.799323126256851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64.503433780465215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6.2</v>
      </c>
      <c r="EJ62" s="12">
        <f>IF('Données projet'!$A$192&gt;35,EJ61+EI62-ER61,IF(A62&lt;'Données projet'!$A$192,$EG$205^A62,IF(A62='Données projet'!$A$192,'Données projet'!$B$192,EJ61+EI62-ER61)))</f>
        <v>287.7999999999999</v>
      </c>
      <c r="EK62" s="17">
        <f>EJ62*VLOOKUP('Données projet'!$B$15,Paramètres!$A$1:$I$89,3,0)*VLOOKUP('Données projet'!$B$15,Paramètres!$A$1:$I$89,5,0)</f>
        <v>211.01495999999992</v>
      </c>
      <c r="EL62" s="13">
        <f t="shared" si="45"/>
        <v>52.15731771796959</v>
      </c>
      <c r="EM62" s="20">
        <f t="shared" si="19"/>
        <v>458.35838369213019</v>
      </c>
      <c r="EN62" s="59">
        <f t="shared" si="20"/>
        <v>731.53764088716935</v>
      </c>
      <c r="EO62" s="59">
        <f ca="1">AVERAGE(OFFSET($EN$3,0,0,'Données projet'!$E$15+1,1))-AVERAGE(OFFSET($H$3,0,0,'Données projet'!$E$15+1,1))</f>
        <v>343.31122043016137</v>
      </c>
      <c r="EP62" s="59">
        <f t="shared" si="46"/>
        <v>333.61098411258877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32.988878140991439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32.988878140991439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64.503433780465215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6.2</v>
      </c>
      <c r="FE62" s="12">
        <f>IF('Données projet'!$A$218&gt;35,FE61+FD62-FM61,IF(A62&lt;'Données projet'!$A$218,$FB$205^A62,IF(A62='Données projet'!$A$218,'Données projet'!$B$218,FE61+FD62-FM61)))</f>
        <v>287.7999999999999</v>
      </c>
      <c r="FF62" s="17">
        <f>FE62*VLOOKUP('Données projet'!$B$16,Paramètres!$A$1:$I$89,3,0)*VLOOKUP('Données projet'!$B$16,Paramètres!$A$1:$I$89,5,0)</f>
        <v>228.97367999999994</v>
      </c>
      <c r="FG62" s="13">
        <f t="shared" si="47"/>
        <v>56.060709423888284</v>
      </c>
      <c r="FH62" s="20">
        <f t="shared" si="22"/>
        <v>496.43489491327199</v>
      </c>
      <c r="FI62" s="59">
        <f t="shared" si="23"/>
        <v>769.61415210831115</v>
      </c>
      <c r="FJ62" s="59">
        <f ca="1">AVERAGE(OFFSET($FI$3,0,0,'Données projet'!$E$16+1,1))-AVERAGE(OFFSET($H$3,0,0,'Données projet'!$E$16+1,1))</f>
        <v>368.12945163484585</v>
      </c>
      <c r="FK62" s="59">
        <f t="shared" si="48"/>
        <v>357.27183934545121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44.121196246956906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44.121196246956906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64.503433780465215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64.503433780465215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3.0869565217391299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11.318840579710143</v>
      </c>
      <c r="H63" s="66">
        <f t="shared" si="1"/>
        <v>211.39130434782609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64.598786915893029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15.928750000000001</v>
      </c>
      <c r="N63" s="13">
        <f>IF('Données projet'!$A$36&gt;35,N62+M63-V62,IF(A63&lt;'Données projet'!$A$36,$K$205^A63,IF(A63='Données projet'!$A$36,'Données projet'!$B$36,N62+M63-V62)))</f>
        <v>344.62749999999954</v>
      </c>
      <c r="O63" s="13">
        <f>N63*VLOOKUP('Données projet'!$B$9,Paramètres!$A$1:$I$89,3,0)*VLOOKUP('Données projet'!$B$9,Paramètres!$A$1:$I$89,5,0)</f>
        <v>161.28566999999978</v>
      </c>
      <c r="P63" s="13">
        <f t="shared" si="33"/>
        <v>41.132366651958954</v>
      </c>
      <c r="Q63" s="20">
        <f t="shared" si="53"/>
        <v>352.54474716882811</v>
      </c>
      <c r="R63" s="59">
        <f t="shared" si="0"/>
        <v>626.07363252710252</v>
      </c>
      <c r="S63" s="59">
        <f ca="1">AVERAGE(OFFSET($R$3,0,0,'Données projet'!$E$9+1,1))-AVERAGE(OFFSET($H$3,0,0,'Données projet'!$E$9+1,1))</f>
        <v>320.30433416149219</v>
      </c>
      <c r="T63" s="59">
        <f t="shared" si="34"/>
        <v>201.33422682092797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83.69941996678584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83.69941996678584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64.598786915893029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653</v>
      </c>
      <c r="AG63" s="12">
        <f>VLOOKUP(A63,'Données projet'!$A$61:$I$81,9,0)</f>
        <v>18.600000000000001</v>
      </c>
      <c r="AH63" s="12">
        <f t="array" ref="AH63">INDEX(AG:AG,MIN(IF(ISNUMBER(AG63:AG259),ROW(AG63:AG259),"")))</f>
        <v>18.600000000000001</v>
      </c>
      <c r="AI63" s="13">
        <f>IF('Données projet'!$A$62&gt;35,AI62+AH63-AQ62,IF(A63&lt;'Données projet'!$A$62,$AF$205^A63,IF(A63='Données projet'!$A$62,'Données projet'!$B$62,AI62+AH63-AQ62)))</f>
        <v>653.00000000000045</v>
      </c>
      <c r="AJ63" s="13">
        <f>AI63*VLOOKUP('Données projet'!$B$10,Paramètres!$A$1:$I$89,3,0)*VLOOKUP('Données projet'!$B$10,Paramètres!$A$1:$I$89,5,0)</f>
        <v>390.49400000000031</v>
      </c>
      <c r="AK63" s="13">
        <f t="shared" si="35"/>
        <v>89.846780182423473</v>
      </c>
      <c r="AL63" s="20">
        <f t="shared" si="4"/>
        <v>836.59352548438801</v>
      </c>
      <c r="AM63" s="59">
        <f t="shared" si="5"/>
        <v>1110.1224108426625</v>
      </c>
      <c r="AN63" s="59">
        <f ca="1">AVERAGE(OFFSET($AM$3,0,0,'Données projet'!$E$10+1,1))-AVERAGE(OFFSET($H$3,0,0,'Données projet'!$E$10+1,1))</f>
        <v>569.80473816957431</v>
      </c>
      <c r="AO63" s="59">
        <f t="shared" si="36"/>
        <v>495.56567790763199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0.45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95.933443216362974</v>
      </c>
      <c r="AV63" s="21">
        <f>EXP(-LN(2)/25)*AV62+(1-EXP(-LN(2)/25))/(LN(2)/25)*Calculateur!AQ63*Calculateur!AS63*VLOOKUP('Données projet'!$B$10,Paramètres!$A$1:$I$89,3,0)*0.475*44/12</f>
        <v>28.476306681838</v>
      </c>
      <c r="AW63" s="21">
        <f>EXP(-LN(2)/2)*AW62+(1-EXP(-LN(2)/2))/(LN(2)/2)*AQ63*AT63*VLOOKUP('Données projet'!$B$10,Paramètres!$A$1:$I$89,3,0)*0.475*44/12</f>
        <v>2.3970722015140098E-6</v>
      </c>
      <c r="AX63" s="21">
        <f t="shared" si="6"/>
        <v>124.40975229527318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64.598786915893029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-5.6843418860808015E-14</v>
      </c>
      <c r="BE63" s="13">
        <f>BD63*VLOOKUP('Données projet'!$B$11,Paramètres!$A$1:$I$89,3,0)*VLOOKUP('Données projet'!$B$11,Paramètres!$A$1:$I$89,5,0)</f>
        <v>-2.5006556825246661E-14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180.42749272334603</v>
      </c>
      <c r="BJ63" s="59">
        <f t="shared" si="38"/>
        <v>346.61476512497495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35.300214624915363</v>
      </c>
      <c r="BQ63" s="21">
        <f>EXP(-LN(2)/25)*BQ62+(1-EXP(-LN(2)/25))/(LN(2)/25)*Calculateur!BL63*Calculateur!BN63*VLOOKUP('Données projet'!$B$11,Paramètres!$A$1:$I$89,3,0)*0.475*44/12</f>
        <v>7.2100822039151113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42.510296828830477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64.598786915893029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11.644999999999996</v>
      </c>
      <c r="BY63" s="12">
        <f>IF('Données projet'!$A$114&gt;35,BY62+BX63-CG62,IF(A63&lt;'Données projet'!$A$114,$BV$205^A63,IF(A63='Données projet'!$A$114,'Données projet'!$B$114,BY62+BX63-CG62)))</f>
        <v>277.65500000000009</v>
      </c>
      <c r="BZ63" s="13">
        <f>BY63*VLOOKUP('Données projet'!$B$12,Paramètres!$A$1:$I$89,3,0)*VLOOKUP('Données projet'!$B$12,Paramètres!$A$1:$I$89,5,0)</f>
        <v>251.22224400000007</v>
      </c>
      <c r="CA63" s="13">
        <f t="shared" si="39"/>
        <v>60.847591673657284</v>
      </c>
      <c r="CB63" s="20">
        <f t="shared" si="10"/>
        <v>543.52163046495309</v>
      </c>
      <c r="CC63" s="59">
        <f t="shared" si="11"/>
        <v>817.05051582322744</v>
      </c>
      <c r="CD63" s="59">
        <f ca="1">AVERAGE(OFFSET($CC$3,0,0,'Données projet'!$E$12+1,1))-AVERAGE(OFFSET($H$3,0,0,'Données projet'!$E$12+1,1))</f>
        <v>553.16421218123958</v>
      </c>
      <c r="CE63" s="59">
        <f t="shared" si="40"/>
        <v>291.73668613844416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75.651496735144079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75.651496735144079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64.598786915893029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11.644999999999996</v>
      </c>
      <c r="CT63" s="12">
        <f>IF('Données projet'!$A$140&gt;35,CT62+CS63-DB62,IF(A63&lt;'Données projet'!$A$140,$CQ$205^A63,IF(A63='Données projet'!$A$140,'Données projet'!$B$140,CT62+CS63-DB62)))</f>
        <v>277.65500000000009</v>
      </c>
      <c r="CU63" s="17">
        <f>CT63*VLOOKUP('Données projet'!$B$13,Paramètres!$A$1:$I$89,3,0)*VLOOKUP('Données projet'!$B$13,Paramètres!$A$1:$I$89,5,0)</f>
        <v>281.54217000000011</v>
      </c>
      <c r="CV63" s="13">
        <f t="shared" si="41"/>
        <v>67.292809478605577</v>
      </c>
      <c r="CW63" s="20">
        <f t="shared" si="13"/>
        <v>607.55425592523818</v>
      </c>
      <c r="CX63" s="59">
        <f t="shared" si="14"/>
        <v>881.08314128351253</v>
      </c>
      <c r="CY63" s="59">
        <f ca="1">AVERAGE(OFFSET($CX$3,0,0,'Données projet'!$E$13+1,1))-AVERAGE(OFFSET($H$3,0,0,'Données projet'!$E$13+1,1))</f>
        <v>611.82989382187804</v>
      </c>
      <c r="CZ63" s="59">
        <f t="shared" si="42"/>
        <v>320.34124600136363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84.781849789385603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84.781849789385603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64.598786915893029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11.644999999999996</v>
      </c>
      <c r="DO63" s="12">
        <f>IF('Données projet'!$A$166&gt;35,DO62+DN63-DW62,IF(A63&lt;'Données projet'!$A$166,$DL$205^A63,IF(A63='Données projet'!$A$166,'Données projet'!$B$166,DO62+DN63-DW62)))</f>
        <v>277.65500000000009</v>
      </c>
      <c r="DP63" s="17">
        <f>DO63*VLOOKUP('Données projet'!$B$14,Paramètres!$A$1:$I$89,3,0)*VLOOKUP('Données projet'!$B$14,Paramètres!$A$1:$I$89,5,0)</f>
        <v>298.86784200000005</v>
      </c>
      <c r="DQ63" s="13">
        <f t="shared" si="43"/>
        <v>70.939067468990103</v>
      </c>
      <c r="DR63" s="20">
        <f t="shared" si="16"/>
        <v>644.08036732515791</v>
      </c>
      <c r="DS63" s="59">
        <f t="shared" si="17"/>
        <v>917.60925268343226</v>
      </c>
      <c r="DT63" s="59">
        <f ca="1">AVERAGE(OFFSET($DS$3,0,0,'Données projet'!$E$14+1,1))-AVERAGE(OFFSET($H$3,0,0,'Données projet'!$E$14+1,1))</f>
        <v>645.29541304800614</v>
      </c>
      <c r="DU63" s="59">
        <f t="shared" si="44"/>
        <v>336.65580771733323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89.999194391809311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89.999194391809311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64.598786915893029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6.2</v>
      </c>
      <c r="EI63" s="12">
        <f t="array" ref="EI63">INDEX(EH:EH,MIN(IF(ISNUMBER(EH63:EH259),ROW(EH63:EH259),"")))</f>
        <v>6.2</v>
      </c>
      <c r="EJ63" s="12">
        <f>IF('Données projet'!$A$192&gt;35,EJ62+EI63-ER62,IF(A63&lt;'Données projet'!$A$192,$EG$205^A63,IF(A63='Données projet'!$A$192,'Données projet'!$B$192,EJ62+EI63-ER62)))</f>
        <v>293.99999999999989</v>
      </c>
      <c r="EK63" s="17">
        <f>EJ63*VLOOKUP('Données projet'!$B$15,Paramètres!$A$1:$I$89,3,0)*VLOOKUP('Données projet'!$B$15,Paramètres!$A$1:$I$89,5,0)</f>
        <v>215.56079999999992</v>
      </c>
      <c r="EL63" s="13">
        <f t="shared" si="45"/>
        <v>53.14890585638225</v>
      </c>
      <c r="EM63" s="20">
        <f t="shared" si="19"/>
        <v>468.00273769986558</v>
      </c>
      <c r="EN63" s="59">
        <f t="shared" si="20"/>
        <v>741.53162305813999</v>
      </c>
      <c r="EO63" s="59">
        <f ca="1">AVERAGE(OFFSET($EN$3,0,0,'Données projet'!$E$15+1,1))-AVERAGE(OFFSET($H$3,0,0,'Données projet'!$E$15+1,1))</f>
        <v>343.31122043016137</v>
      </c>
      <c r="EP63" s="59">
        <f t="shared" si="46"/>
        <v>333.61098411258877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0.43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37.221382273162284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37.221382273162284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64.598786915893029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6.2</v>
      </c>
      <c r="FD63" s="12">
        <f t="array" ref="FD63">INDEX(FC:FC,MIN(IF(ISNUMBER(FC63:FC259),ROW(FC63:FC259),"")))</f>
        <v>6.2</v>
      </c>
      <c r="FE63" s="12">
        <f>IF('Données projet'!$A$218&gt;35,FE62+FD63-FM62,IF(A63&lt;'Données projet'!$A$218,$FB$205^A63,IF(A63='Données projet'!$A$218,'Données projet'!$B$218,FE62+FD63-FM62)))</f>
        <v>293.99999999999989</v>
      </c>
      <c r="FF63" s="17">
        <f>FE63*VLOOKUP('Données projet'!$B$16,Paramètres!$A$1:$I$89,3,0)*VLOOKUP('Données projet'!$B$16,Paramètres!$A$1:$I$89,5,0)</f>
        <v>233.90639999999991</v>
      </c>
      <c r="FG63" s="13">
        <f t="shared" si="47"/>
        <v>57.126506840778347</v>
      </c>
      <c r="FH63" s="20">
        <f t="shared" si="22"/>
        <v>506.88231274768879</v>
      </c>
      <c r="FI63" s="59">
        <f t="shared" si="23"/>
        <v>780.41119810596319</v>
      </c>
      <c r="FJ63" s="59">
        <f ca="1">AVERAGE(OFFSET($FI$3,0,0,'Données projet'!$E$16+1,1))-AVERAGE(OFFSET($H$3,0,0,'Données projet'!$E$16+1,1))</f>
        <v>368.12945163484585</v>
      </c>
      <c r="FK63" s="59">
        <f t="shared" si="48"/>
        <v>357.27183934545121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0.53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49.781987275783123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49.781987275783123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64.598786915893029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64.598786915893029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3.0869565217391299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11.318840579710143</v>
      </c>
      <c r="H64" s="66">
        <f t="shared" si="1"/>
        <v>211.39130434782609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64.692485887598849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15.928750000000001</v>
      </c>
      <c r="N64" s="13">
        <f>IF('Données projet'!$A$36&gt;35,N63+M64-V63,IF(A64&lt;'Données projet'!$A$36,$K$205^A64,IF(A64='Données projet'!$A$36,'Données projet'!$B$36,N63+M64-V63)))</f>
        <v>360.55624999999952</v>
      </c>
      <c r="O64" s="13">
        <f>N64*VLOOKUP('Données projet'!$B$9,Paramètres!$A$1:$I$89,3,0)*VLOOKUP('Données projet'!$B$9,Paramètres!$A$1:$I$89,5,0)</f>
        <v>168.74032499999979</v>
      </c>
      <c r="P64" s="13">
        <f t="shared" si="33"/>
        <v>42.807776284897514</v>
      </c>
      <c r="Q64" s="20">
        <f t="shared" si="53"/>
        <v>368.44627640452944</v>
      </c>
      <c r="R64" s="59">
        <f t="shared" si="0"/>
        <v>642.31872465905849</v>
      </c>
      <c r="S64" s="59">
        <f ca="1">AVERAGE(OFFSET($R$3,0,0,'Données projet'!$E$9+1,1))-AVERAGE(OFFSET($H$3,0,0,'Données projet'!$E$9+1,1))</f>
        <v>320.30433416149219</v>
      </c>
      <c r="T64" s="59">
        <f t="shared" si="34"/>
        <v>201.33422682092797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82.058125392842427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82.058125392842427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64.692485887598849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16.8</v>
      </c>
      <c r="AI64" s="13">
        <f>IF('Données projet'!$A$62&gt;35,AI63+AH64-AQ63,IF(A64&lt;'Données projet'!$A$62,$AF$205^A64,IF(A64='Données projet'!$A$62,'Données projet'!$B$62,AI63+AH64-AQ63)))</f>
        <v>627.80000000000041</v>
      </c>
      <c r="AJ64" s="13">
        <f>AI64*VLOOKUP('Données projet'!$B$10,Paramètres!$A$1:$I$89,3,0)*VLOOKUP('Données projet'!$B$10,Paramètres!$A$1:$I$89,5,0)</f>
        <v>375.42440000000028</v>
      </c>
      <c r="AK64" s="13">
        <f t="shared" si="35"/>
        <v>86.776102824676897</v>
      </c>
      <c r="AL64" s="20">
        <f t="shared" si="4"/>
        <v>804.99920908631259</v>
      </c>
      <c r="AM64" s="59">
        <f t="shared" si="5"/>
        <v>1078.8716573408417</v>
      </c>
      <c r="AN64" s="59">
        <f ca="1">AVERAGE(OFFSET($AM$3,0,0,'Données projet'!$E$10+1,1))-AVERAGE(OFFSET($H$3,0,0,'Données projet'!$E$10+1,1))</f>
        <v>569.80473816957431</v>
      </c>
      <c r="AO64" s="59">
        <f t="shared" si="36"/>
        <v>495.56567790763199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94.052246908512714</v>
      </c>
      <c r="AV64" s="21">
        <f>EXP(-LN(2)/25)*AV63+(1-EXP(-LN(2)/25))/(LN(2)/25)*Calculateur!AQ64*Calculateur!AS64*VLOOKUP('Données projet'!$B$10,Paramètres!$A$1:$I$89,3,0)*0.475*44/12</f>
        <v>27.697620578119256</v>
      </c>
      <c r="AW64" s="21">
        <f>EXP(-LN(2)/2)*AW63+(1-EXP(-LN(2)/2))/(LN(2)/2)*AQ64*AT64*VLOOKUP('Données projet'!$B$10,Paramètres!$A$1:$I$89,3,0)*0.475*44/12</f>
        <v>1.6949860086843227E-6</v>
      </c>
      <c r="AX64" s="21">
        <f t="shared" si="6"/>
        <v>121.74986918161798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64.692485887598849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-5.6843418860808015E-14</v>
      </c>
      <c r="BE64" s="13">
        <f>BD64*VLOOKUP('Données projet'!$B$11,Paramètres!$A$1:$I$89,3,0)*VLOOKUP('Données projet'!$B$11,Paramètres!$A$1:$I$89,5,0)</f>
        <v>-2.5006556825246661E-14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180.42749272334603</v>
      </c>
      <c r="BJ64" s="59">
        <f t="shared" si="38"/>
        <v>346.61476512497495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34.607998947125687</v>
      </c>
      <c r="BQ64" s="21">
        <f>EXP(-LN(2)/25)*BQ63+(1-EXP(-LN(2)/25))/(LN(2)/25)*Calculateur!BL64*Calculateur!BN64*VLOOKUP('Données projet'!$B$11,Paramètres!$A$1:$I$89,3,0)*0.475*44/12</f>
        <v>7.0129221268873083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41.620921074012998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64.692485887598849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11.644999999999996</v>
      </c>
      <c r="BY64" s="12">
        <f>IF('Données projet'!$A$114&gt;35,BY63+BX64-CG63,IF(A64&lt;'Données projet'!$A$114,$BV$205^A64,IF(A64='Données projet'!$A$114,'Données projet'!$B$114,BY63+BX64-CG63)))</f>
        <v>289.30000000000007</v>
      </c>
      <c r="BZ64" s="13">
        <f>BY64*VLOOKUP('Données projet'!$B$12,Paramètres!$A$1:$I$89,3,0)*VLOOKUP('Données projet'!$B$12,Paramètres!$A$1:$I$89,5,0)</f>
        <v>261.75864000000007</v>
      </c>
      <c r="CA64" s="13">
        <f t="shared" si="39"/>
        <v>63.097101732536537</v>
      </c>
      <c r="CB64" s="20">
        <f t="shared" si="10"/>
        <v>565.79041685083462</v>
      </c>
      <c r="CC64" s="59">
        <f t="shared" si="11"/>
        <v>839.66286510536372</v>
      </c>
      <c r="CD64" s="59">
        <f ca="1">AVERAGE(OFFSET($CC$3,0,0,'Données projet'!$E$12+1,1))-AVERAGE(OFFSET($H$3,0,0,'Données projet'!$E$12+1,1))</f>
        <v>553.16421218123958</v>
      </c>
      <c r="CE64" s="59">
        <f t="shared" si="40"/>
        <v>291.73668613844416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74.168017027024689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74.168017027024689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64.692485887598849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11.644999999999996</v>
      </c>
      <c r="CT64" s="12">
        <f>IF('Données projet'!$A$140&gt;35,CT63+CS64-DB63,IF(A64&lt;'Données projet'!$A$140,$CQ$205^A64,IF(A64='Données projet'!$A$140,'Données projet'!$B$140,CT63+CS64-DB63)))</f>
        <v>289.30000000000007</v>
      </c>
      <c r="CU64" s="17">
        <f>CT64*VLOOKUP('Données projet'!$B$13,Paramètres!$A$1:$I$89,3,0)*VLOOKUP('Données projet'!$B$13,Paramètres!$A$1:$I$89,5,0)</f>
        <v>293.35020000000009</v>
      </c>
      <c r="CV64" s="13">
        <f t="shared" si="41"/>
        <v>69.780596548704324</v>
      </c>
      <c r="CW64" s="20">
        <f t="shared" si="13"/>
        <v>632.45280398899365</v>
      </c>
      <c r="CX64" s="59">
        <f t="shared" si="14"/>
        <v>906.32525224352275</v>
      </c>
      <c r="CY64" s="59">
        <f ca="1">AVERAGE(OFFSET($CX$3,0,0,'Données projet'!$E$13+1,1))-AVERAGE(OFFSET($H$3,0,0,'Données projet'!$E$13+1,1))</f>
        <v>611.82989382187804</v>
      </c>
      <c r="CZ64" s="59">
        <f t="shared" si="42"/>
        <v>320.34124600136363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83.119329426838007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83.119329426838007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64.692485887598849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11.644999999999996</v>
      </c>
      <c r="DO64" s="12">
        <f>IF('Données projet'!$A$166&gt;35,DO63+DN64-DW63,IF(A64&lt;'Données projet'!$A$166,$DL$205^A64,IF(A64='Données projet'!$A$166,'Données projet'!$B$166,DO63+DN64-DW63)))</f>
        <v>289.30000000000007</v>
      </c>
      <c r="DP64" s="17">
        <f>DO64*VLOOKUP('Données projet'!$B$14,Paramètres!$A$1:$I$89,3,0)*VLOOKUP('Données projet'!$B$14,Paramètres!$A$1:$I$89,5,0)</f>
        <v>311.40252000000004</v>
      </c>
      <c r="DQ64" s="13">
        <f t="shared" si="43"/>
        <v>73.561655174595174</v>
      </c>
      <c r="DR64" s="20">
        <f t="shared" si="16"/>
        <v>670.4792717624199</v>
      </c>
      <c r="DS64" s="59">
        <f t="shared" si="17"/>
        <v>944.351720016949</v>
      </c>
      <c r="DT64" s="59">
        <f ca="1">AVERAGE(OFFSET($DS$3,0,0,'Données projet'!$E$14+1,1))-AVERAGE(OFFSET($H$3,0,0,'Données projet'!$E$14+1,1))</f>
        <v>645.29541304800614</v>
      </c>
      <c r="DU64" s="59">
        <f t="shared" si="44"/>
        <v>336.65580771733323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88.234365083874167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88.234365083874167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64.692485887598849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285.19999999999987</v>
      </c>
      <c r="EK64" s="17">
        <f>EJ64*VLOOKUP('Données projet'!$B$15,Paramètres!$A$1:$I$89,3,0)*VLOOKUP('Données projet'!$B$15,Paramètres!$A$1:$I$89,5,0)</f>
        <v>209.10863999999989</v>
      </c>
      <c r="EL64" s="13">
        <f t="shared" si="45"/>
        <v>51.740752917407036</v>
      </c>
      <c r="EM64" s="20">
        <f t="shared" si="19"/>
        <v>454.31269266448368</v>
      </c>
      <c r="EN64" s="59">
        <f t="shared" si="20"/>
        <v>728.18514091901284</v>
      </c>
      <c r="EO64" s="59">
        <f ca="1">AVERAGE(OFFSET($EN$3,0,0,'Données projet'!$E$15+1,1))-AVERAGE(OFFSET($H$3,0,0,'Données projet'!$E$15+1,1))</f>
        <v>343.31122043016137</v>
      </c>
      <c r="EP64" s="59">
        <f t="shared" si="46"/>
        <v>333.61098411258877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36.491493669587044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36.491493669587044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64.692485887598849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285.19999999999987</v>
      </c>
      <c r="FF64" s="17">
        <f>FE64*VLOOKUP('Données projet'!$B$16,Paramètres!$A$1:$I$89,3,0)*VLOOKUP('Données projet'!$B$16,Paramètres!$A$1:$I$89,5,0)</f>
        <v>226.90511999999993</v>
      </c>
      <c r="FG64" s="13">
        <f t="shared" si="47"/>
        <v>55.612969408444364</v>
      </c>
      <c r="FH64" s="20">
        <f t="shared" si="22"/>
        <v>492.05233905304044</v>
      </c>
      <c r="FI64" s="59">
        <f t="shared" si="23"/>
        <v>765.92478730756955</v>
      </c>
      <c r="FJ64" s="59">
        <f ca="1">AVERAGE(OFFSET($FI$3,0,0,'Données projet'!$E$16+1,1))-AVERAGE(OFFSET($H$3,0,0,'Données projet'!$E$16+1,1))</f>
        <v>368.12945163484585</v>
      </c>
      <c r="FK64" s="59">
        <f t="shared" si="48"/>
        <v>357.27183934545121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48.805792869319056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48.805792869319056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64.692485887598849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64.692485887598849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3.0869565217391299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11.318840579710143</v>
      </c>
      <c r="H65" s="66">
        <f t="shared" si="1"/>
        <v>211.39130434782609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64.784559391625066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15.928750000000001</v>
      </c>
      <c r="N65" s="13">
        <f>IF('Données projet'!$A$36&gt;35,N64+M65-V64,IF(A65&lt;'Données projet'!$A$36,$K$205^A65,IF(A65='Données projet'!$A$36,'Données projet'!$B$36,N64+M65-V64)))</f>
        <v>376.4849999999995</v>
      </c>
      <c r="O65" s="13">
        <f>N65*VLOOKUP('Données projet'!$B$9,Paramètres!$A$1:$I$89,3,0)*VLOOKUP('Données projet'!$B$9,Paramètres!$A$1:$I$89,5,0)</f>
        <v>176.19497999999976</v>
      </c>
      <c r="P65" s="13">
        <f t="shared" si="33"/>
        <v>44.474589536115268</v>
      </c>
      <c r="Q65" s="20">
        <f t="shared" si="53"/>
        <v>384.33283360873367</v>
      </c>
      <c r="R65" s="59">
        <f t="shared" si="0"/>
        <v>658.54288471135897</v>
      </c>
      <c r="S65" s="59">
        <f ca="1">AVERAGE(OFFSET($R$3,0,0,'Données projet'!$E$9+1,1))-AVERAGE(OFFSET($H$3,0,0,'Données projet'!$E$9+1,1))</f>
        <v>320.30433416149219</v>
      </c>
      <c r="T65" s="59">
        <f t="shared" si="34"/>
        <v>201.33422682092797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80.449015604403201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80.449015604403201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64.784559391625066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16.8</v>
      </c>
      <c r="AI65" s="13">
        <f>IF('Données projet'!$A$62&gt;35,AI64+AH65-AQ64,IF(A65&lt;'Données projet'!$A$62,$AF$205^A65,IF(A65='Données projet'!$A$62,'Données projet'!$B$62,AI64+AH65-AQ64)))</f>
        <v>644.60000000000036</v>
      </c>
      <c r="AJ65" s="13">
        <f>AI65*VLOOKUP('Données projet'!$B$10,Paramètres!$A$1:$I$89,3,0)*VLOOKUP('Données projet'!$B$10,Paramètres!$A$1:$I$89,5,0)</f>
        <v>385.47080000000028</v>
      </c>
      <c r="AK65" s="13">
        <f t="shared" si="35"/>
        <v>88.824780133563593</v>
      </c>
      <c r="AL65" s="20">
        <f t="shared" si="4"/>
        <v>826.064802065957</v>
      </c>
      <c r="AM65" s="59">
        <f t="shared" si="5"/>
        <v>1100.2748531685822</v>
      </c>
      <c r="AN65" s="59">
        <f ca="1">AVERAGE(OFFSET($AM$3,0,0,'Données projet'!$E$10+1,1))-AVERAGE(OFFSET($H$3,0,0,'Données projet'!$E$10+1,1))</f>
        <v>569.80473816957431</v>
      </c>
      <c r="AO65" s="59">
        <f t="shared" si="36"/>
        <v>495.56567790763199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92.207939712842958</v>
      </c>
      <c r="AV65" s="21">
        <f>EXP(-LN(2)/25)*AV64+(1-EXP(-LN(2)/25))/(LN(2)/25)*Calculateur!AQ65*Calculateur!AS65*VLOOKUP('Données projet'!$B$10,Paramètres!$A$1:$I$89,3,0)*0.475*44/12</f>
        <v>26.940227686856023</v>
      </c>
      <c r="AW65" s="21">
        <f>EXP(-LN(2)/2)*AW64+(1-EXP(-LN(2)/2))/(LN(2)/2)*AQ65*AT65*VLOOKUP('Données projet'!$B$10,Paramètres!$A$1:$I$89,3,0)*0.475*44/12</f>
        <v>1.1985361007570049E-6</v>
      </c>
      <c r="AX65" s="21">
        <f t="shared" si="6"/>
        <v>119.14816859823507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64.784559391625066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-5.6843418860808015E-14</v>
      </c>
      <c r="BE65" s="13">
        <f>BD65*VLOOKUP('Données projet'!$B$11,Paramètres!$A$1:$I$89,3,0)*VLOOKUP('Données projet'!$B$11,Paramètres!$A$1:$I$89,5,0)</f>
        <v>-2.5006556825246661E-14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180.42749272334603</v>
      </c>
      <c r="BJ65" s="59">
        <f t="shared" si="38"/>
        <v>346.61476512497495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33.929357196567587</v>
      </c>
      <c r="BQ65" s="21">
        <f>EXP(-LN(2)/25)*BQ64+(1-EXP(-LN(2)/25))/(LN(2)/25)*Calculateur!BL65*Calculateur!BN65*VLOOKUP('Données projet'!$B$11,Paramètres!$A$1:$I$89,3,0)*0.475*44/12</f>
        <v>6.8211534025340281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40.750510599101617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64.784559391625066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11.644999999999996</v>
      </c>
      <c r="BY65" s="12">
        <f>IF('Données projet'!$A$114&gt;35,BY64+BX65-CG64,IF(A65&lt;'Données projet'!$A$114,$BV$205^A65,IF(A65='Données projet'!$A$114,'Données projet'!$B$114,BY64+BX65-CG64)))</f>
        <v>300.94500000000005</v>
      </c>
      <c r="BZ65" s="13">
        <f>BY65*VLOOKUP('Données projet'!$B$12,Paramètres!$A$1:$I$89,3,0)*VLOOKUP('Données projet'!$B$12,Paramètres!$A$1:$I$89,5,0)</f>
        <v>272.29503600000004</v>
      </c>
      <c r="CA65" s="13">
        <f t="shared" si="39"/>
        <v>65.336093654015855</v>
      </c>
      <c r="CB65" s="20">
        <f t="shared" si="10"/>
        <v>588.04088414741102</v>
      </c>
      <c r="CC65" s="59">
        <f t="shared" si="11"/>
        <v>862.25093525003626</v>
      </c>
      <c r="CD65" s="59">
        <f ca="1">AVERAGE(OFFSET($CC$3,0,0,'Données projet'!$E$12+1,1))-AVERAGE(OFFSET($H$3,0,0,'Données projet'!$E$12+1,1))</f>
        <v>553.16421218123958</v>
      </c>
      <c r="CE65" s="59">
        <f t="shared" si="40"/>
        <v>291.73668613844416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72.713627451148241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72.713627451148241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64.784559391625066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11.644999999999996</v>
      </c>
      <c r="CT65" s="12">
        <f>IF('Données projet'!$A$140&gt;35,CT64+CS65-DB64,IF(A65&lt;'Données projet'!$A$140,$CQ$205^A65,IF(A65='Données projet'!$A$140,'Données projet'!$B$140,CT64+CS65-DB64)))</f>
        <v>300.94500000000005</v>
      </c>
      <c r="CU65" s="17">
        <f>CT65*VLOOKUP('Données projet'!$B$13,Paramètres!$A$1:$I$89,3,0)*VLOOKUP('Données projet'!$B$13,Paramètres!$A$1:$I$89,5,0)</f>
        <v>305.15823000000006</v>
      </c>
      <c r="CV65" s="13">
        <f t="shared" si="41"/>
        <v>72.256751358648415</v>
      </c>
      <c r="CW65" s="20">
        <f t="shared" si="13"/>
        <v>657.33109253297937</v>
      </c>
      <c r="CX65" s="59">
        <f t="shared" si="14"/>
        <v>931.54114363560461</v>
      </c>
      <c r="CY65" s="59">
        <f ca="1">AVERAGE(OFFSET($CX$3,0,0,'Données projet'!$E$13+1,1))-AVERAGE(OFFSET($H$3,0,0,'Données projet'!$E$13+1,1))</f>
        <v>611.82989382187804</v>
      </c>
      <c r="CZ65" s="59">
        <f t="shared" si="42"/>
        <v>320.34124600136363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81.48941007456267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81.48941007456267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64.784559391625066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11.644999999999996</v>
      </c>
      <c r="DO65" s="12">
        <f>IF('Données projet'!$A$166&gt;35,DO64+DN65-DW64,IF(A65&lt;'Données projet'!$A$166,$DL$205^A65,IF(A65='Données projet'!$A$166,'Données projet'!$B$166,DO64+DN65-DW64)))</f>
        <v>300.94500000000005</v>
      </c>
      <c r="DP65" s="17">
        <f>DO65*VLOOKUP('Données projet'!$B$14,Paramètres!$A$1:$I$89,3,0)*VLOOKUP('Données projet'!$B$14,Paramètres!$A$1:$I$89,5,0)</f>
        <v>323.93719800000008</v>
      </c>
      <c r="DQ65" s="13">
        <f t="shared" si="43"/>
        <v>76.171980326528896</v>
      </c>
      <c r="DR65" s="20">
        <f t="shared" si="16"/>
        <v>696.85681891870456</v>
      </c>
      <c r="DS65" s="59">
        <f t="shared" si="17"/>
        <v>971.06687002132981</v>
      </c>
      <c r="DT65" s="59">
        <f ca="1">AVERAGE(OFFSET($DS$3,0,0,'Données projet'!$E$14+1,1))-AVERAGE(OFFSET($H$3,0,0,'Données projet'!$E$14+1,1))</f>
        <v>645.29541304800614</v>
      </c>
      <c r="DU65" s="59">
        <f t="shared" si="44"/>
        <v>336.65580771733323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86.504143002228048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86.504143002228048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64.784559391625066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290.39999999999986</v>
      </c>
      <c r="EK65" s="17">
        <f>EJ65*VLOOKUP('Données projet'!$B$15,Paramètres!$A$1:$I$89,3,0)*VLOOKUP('Données projet'!$B$15,Paramètres!$A$1:$I$89,5,0)</f>
        <v>212.92127999999988</v>
      </c>
      <c r="EL65" s="13">
        <f t="shared" si="45"/>
        <v>52.57344469809297</v>
      </c>
      <c r="EM65" s="20">
        <f t="shared" si="19"/>
        <v>462.40331218251168</v>
      </c>
      <c r="EN65" s="59">
        <f t="shared" si="20"/>
        <v>736.61336328513698</v>
      </c>
      <c r="EO65" s="59">
        <f ca="1">AVERAGE(OFFSET($EN$3,0,0,'Données projet'!$E$15+1,1))-AVERAGE(OFFSET($H$3,0,0,'Données projet'!$E$15+1,1))</f>
        <v>343.31122043016137</v>
      </c>
      <c r="EP65" s="59">
        <f t="shared" si="46"/>
        <v>333.61098411258877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35.775917736339821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35.775917736339821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64.784559391625066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290.39999999999986</v>
      </c>
      <c r="FF65" s="17">
        <f>FE65*VLOOKUP('Données projet'!$B$16,Paramètres!$A$1:$I$89,3,0)*VLOOKUP('Données projet'!$B$16,Paramètres!$A$1:$I$89,5,0)</f>
        <v>231.04223999999991</v>
      </c>
      <c r="FG65" s="13">
        <f t="shared" si="47"/>
        <v>56.507978852931409</v>
      </c>
      <c r="FH65" s="20">
        <f t="shared" si="22"/>
        <v>500.81663116885539</v>
      </c>
      <c r="FI65" s="59">
        <f t="shared" si="23"/>
        <v>775.02668227148069</v>
      </c>
      <c r="FJ65" s="59">
        <f ca="1">AVERAGE(OFFSET($FI$3,0,0,'Données projet'!$E$16+1,1))-AVERAGE(OFFSET($H$3,0,0,'Données projet'!$E$16+1,1))</f>
        <v>368.12945163484585</v>
      </c>
      <c r="FK65" s="59">
        <f t="shared" si="48"/>
        <v>357.27183934545121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47.848741039745953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47.848741039745953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64.784559391625066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64.784559391625066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3.0869565217391299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11.318840579710143</v>
      </c>
      <c r="H66" s="66">
        <f t="shared" si="1"/>
        <v>211.39130434782609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64.875035626201964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15.928750000000001</v>
      </c>
      <c r="N66" s="13">
        <f>IF('Données projet'!$A$36&gt;35,N65+M66-V65,IF(A66&lt;'Données projet'!$A$36,$K$205^A66,IF(A66='Données projet'!$A$36,'Données projet'!$B$36,N65+M66-V65)))</f>
        <v>392.41374999999948</v>
      </c>
      <c r="O66" s="13">
        <f>N66*VLOOKUP('Données projet'!$B$9,Paramètres!$A$1:$I$89,3,0)*VLOOKUP('Données projet'!$B$9,Paramètres!$A$1:$I$89,5,0)</f>
        <v>183.64963499999976</v>
      </c>
      <c r="P66" s="13">
        <f t="shared" si="33"/>
        <v>46.133211694785324</v>
      </c>
      <c r="Q66" s="20">
        <f t="shared" si="53"/>
        <v>400.20512466008404</v>
      </c>
      <c r="R66" s="59">
        <f t="shared" si="0"/>
        <v>674.74692195615785</v>
      </c>
      <c r="S66" s="59">
        <f ca="1">AVERAGE(OFFSET($R$3,0,0,'Données projet'!$E$9+1,1))-AVERAGE(OFFSET($H$3,0,0,'Données projet'!$E$9+1,1))</f>
        <v>320.30433416149219</v>
      </c>
      <c r="T66" s="59">
        <f t="shared" si="34"/>
        <v>201.33422682092797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78.871459477455204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78.871459477455204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64.875035626201964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16.8</v>
      </c>
      <c r="AI66" s="13">
        <f>IF('Données projet'!$A$62&gt;35,AI65+AH66-AQ65,IF(A66&lt;'Données projet'!$A$62,$AF$205^A66,IF(A66='Données projet'!$A$62,'Données projet'!$B$62,AI65+AH66-AQ65)))</f>
        <v>661.40000000000032</v>
      </c>
      <c r="AJ66" s="13">
        <f>AI66*VLOOKUP('Données projet'!$B$10,Paramètres!$A$1:$I$89,3,0)*VLOOKUP('Données projet'!$B$10,Paramètres!$A$1:$I$89,5,0)</f>
        <v>395.51720000000017</v>
      </c>
      <c r="AK66" s="13">
        <f t="shared" si="35"/>
        <v>90.867251054957663</v>
      </c>
      <c r="AL66" s="20">
        <f t="shared" si="4"/>
        <v>847.11958558738479</v>
      </c>
      <c r="AM66" s="59">
        <f t="shared" si="5"/>
        <v>1121.6613828834586</v>
      </c>
      <c r="AN66" s="59">
        <f ca="1">AVERAGE(OFFSET($AM$3,0,0,'Données projet'!$E$10+1,1))-AVERAGE(OFFSET($H$3,0,0,'Données projet'!$E$10+1,1))</f>
        <v>569.80473816957431</v>
      </c>
      <c r="AO66" s="59">
        <f t="shared" si="36"/>
        <v>495.56567790763199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90.399798256363965</v>
      </c>
      <c r="AV66" s="21">
        <f>EXP(-LN(2)/25)*AV65+(1-EXP(-LN(2)/25))/(LN(2)/25)*Calculateur!AQ66*Calculateur!AS66*VLOOKUP('Données projet'!$B$10,Paramètres!$A$1:$I$89,3,0)*0.475*44/12</f>
        <v>26.203545744033942</v>
      </c>
      <c r="AW66" s="21">
        <f>EXP(-LN(2)/2)*AW65+(1-EXP(-LN(2)/2))/(LN(2)/2)*AQ66*AT66*VLOOKUP('Données projet'!$B$10,Paramètres!$A$1:$I$89,3,0)*0.475*44/12</f>
        <v>8.4749300434216136E-7</v>
      </c>
      <c r="AX66" s="21">
        <f t="shared" si="6"/>
        <v>116.60334484789091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64.875035626201964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-5.6843418860808015E-14</v>
      </c>
      <c r="BE66" s="13">
        <f>BD66*VLOOKUP('Données projet'!$B$11,Paramètres!$A$1:$I$89,3,0)*VLOOKUP('Données projet'!$B$11,Paramètres!$A$1:$I$89,5,0)</f>
        <v>-2.5006556825246661E-14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180.42749272334603</v>
      </c>
      <c r="BJ66" s="59">
        <f t="shared" si="38"/>
        <v>346.61476512497495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33.264023196807337</v>
      </c>
      <c r="BQ66" s="21">
        <f>EXP(-LN(2)/25)*BQ65+(1-EXP(-LN(2)/25))/(LN(2)/25)*Calculateur!BL66*Calculateur!BN66*VLOOKUP('Données projet'!$B$11,Paramètres!$A$1:$I$89,3,0)*0.475*44/12</f>
        <v>6.6346286040328675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39.898651800840206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64.875035626201964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312.58999999999997</v>
      </c>
      <c r="BW66" s="12">
        <f>VLOOKUP(A66,'Données projet'!$A$113:$I$133,9,0)</f>
        <v>11.644999999999996</v>
      </c>
      <c r="BX66" s="12">
        <f t="array" ref="BX66">INDEX(BW:BW,MIN(IF(ISNUMBER(BW66:BW262),ROW(BW66:BW262),"")))</f>
        <v>11.644999999999996</v>
      </c>
      <c r="BY66" s="12">
        <f>IF('Données projet'!$A$114&gt;35,BY65+BX66-CG65,IF(A66&lt;'Données projet'!$A$114,$BV$205^A66,IF(A66='Données projet'!$A$114,'Données projet'!$B$114,BY65+BX66-CG65)))</f>
        <v>312.59000000000003</v>
      </c>
      <c r="BZ66" s="13">
        <f>BY66*VLOOKUP('Données projet'!$B$12,Paramètres!$A$1:$I$89,3,0)*VLOOKUP('Données projet'!$B$12,Paramètres!$A$1:$I$89,5,0)</f>
        <v>282.83143200000001</v>
      </c>
      <c r="CA66" s="13">
        <f t="shared" si="39"/>
        <v>67.565021018325808</v>
      </c>
      <c r="CB66" s="20">
        <f t="shared" si="10"/>
        <v>610.27382234025083</v>
      </c>
      <c r="CC66" s="59">
        <f t="shared" si="11"/>
        <v>884.81561963632475</v>
      </c>
      <c r="CD66" s="59">
        <f ca="1">AVERAGE(OFFSET($CC$3,0,0,'Données projet'!$E$12+1,1))-AVERAGE(OFFSET($H$3,0,0,'Données projet'!$E$12+1,1))</f>
        <v>553.16421218123958</v>
      </c>
      <c r="CE66" s="59">
        <f t="shared" si="40"/>
        <v>291.73668613844416</v>
      </c>
      <c r="CF66" s="15">
        <f>IF(ISNA(VLOOKUP(A66,'Données projet'!$A$113:$I$133,3,0)),0,VLOOKUP(A66,'Données projet'!$A$113:$I$133,3,0))</f>
        <v>5</v>
      </c>
      <c r="CG66" s="15">
        <f>IF(ISNA(VLOOKUP(A66,'Données projet'!$A$113:$I$133,4,0)),0,VLOOKUP(A66,'Données projet'!$A$113:$I$133,4,0))</f>
        <v>54.21</v>
      </c>
      <c r="CH66" s="16">
        <f>IF(ISNA(VLOOKUP(A66,'Données projet'!$A$113:$I$133,5,0)),0%,VLOOKUP(A66,'Données projet'!$A$113:$I$133,5,0)*VLOOKUP('Données projet'!$B$12,Paramètres!$A$1:$I$89,7,0))</f>
        <v>0.43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94.603409598691442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94.603409598691442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64.875035626201964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312.58999999999997</v>
      </c>
      <c r="CR66" s="12">
        <f>VLOOKUP(A66,'Données projet'!$A$139:$I$159,9,0)</f>
        <v>11.644999999999996</v>
      </c>
      <c r="CS66" s="12">
        <f t="array" ref="CS66">INDEX(CR:CR,MIN(IF(ISNUMBER(CR66:CR262),ROW(CR66:CR262),"")))</f>
        <v>11.644999999999996</v>
      </c>
      <c r="CT66" s="12">
        <f>IF('Données projet'!$A$140&gt;35,CT65+CS66-DB65,IF(A66&lt;'Données projet'!$A$140,$CQ$205^A66,IF(A66='Données projet'!$A$140,'Données projet'!$B$140,CT65+CS66-DB65)))</f>
        <v>312.59000000000003</v>
      </c>
      <c r="CU66" s="17">
        <f>CT66*VLOOKUP('Données projet'!$B$13,Paramètres!$A$1:$I$89,3,0)*VLOOKUP('Données projet'!$B$13,Paramètres!$A$1:$I$89,5,0)</f>
        <v>316.96626000000009</v>
      </c>
      <c r="CV66" s="13">
        <f t="shared" si="41"/>
        <v>74.721775533682376</v>
      </c>
      <c r="CW66" s="20">
        <f t="shared" si="13"/>
        <v>682.18999522116349</v>
      </c>
      <c r="CX66" s="59">
        <f t="shared" si="14"/>
        <v>956.73179251723741</v>
      </c>
      <c r="CY66" s="59">
        <f ca="1">AVERAGE(OFFSET($CX$3,0,0,'Données projet'!$E$13+1,1))-AVERAGE(OFFSET($H$3,0,0,'Données projet'!$E$13+1,1))</f>
        <v>611.82989382187804</v>
      </c>
      <c r="CZ66" s="59">
        <f t="shared" si="42"/>
        <v>320.34124600136363</v>
      </c>
      <c r="DA66" s="15">
        <f>IF(ISNA(VLOOKUP(A66,'Données projet'!$A$139:$I$159,3,0)),0,VLOOKUP(A66,'Données projet'!$A$139:$I$159,3,0))</f>
        <v>5</v>
      </c>
      <c r="DB66" s="15">
        <f>IF(ISNA(VLOOKUP(A66,'Données projet'!$A$139:$I$159,4,0)),0,VLOOKUP(A66,'Données projet'!$A$139:$I$159,4,0))</f>
        <v>54.21</v>
      </c>
      <c r="DC66" s="16">
        <f>IF(ISNA(VLOOKUP(A66,'Données projet'!$A$139:$I$159,5,0)),0%,VLOOKUP(A66,'Données projet'!$A$139:$I$159,5,0)*VLOOKUP('Données projet'!$B$13,Paramètres!$A$1:$I$89,7,0))</f>
        <v>0.43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106.02106248129212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106.02106248129212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64.875035626201964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312.58999999999997</v>
      </c>
      <c r="DM66" s="12">
        <f>VLOOKUP(A66,'Données projet'!$A$165:$I$185,9,0)</f>
        <v>11.644999999999996</v>
      </c>
      <c r="DN66" s="12">
        <f t="array" ref="DN66">INDEX(DM:DM,MIN(IF(ISNUMBER(DM66:DM262),ROW(DM66:DM262),"")))</f>
        <v>11.644999999999996</v>
      </c>
      <c r="DO66" s="12">
        <f>IF('Données projet'!$A$166&gt;35,DO65+DN66-DW65,IF(A66&lt;'Données projet'!$A$166,$DL$205^A66,IF(A66='Données projet'!$A$166,'Données projet'!$B$166,DO65+DN66-DW65)))</f>
        <v>312.59000000000003</v>
      </c>
      <c r="DP66" s="17">
        <f>DO66*VLOOKUP('Données projet'!$B$14,Paramètres!$A$1:$I$89,3,0)*VLOOKUP('Données projet'!$B$14,Paramètres!$A$1:$I$89,5,0)</f>
        <v>336.47187600000001</v>
      </c>
      <c r="DQ66" s="13">
        <f t="shared" si="43"/>
        <v>78.770571730578112</v>
      </c>
      <c r="DR66" s="20">
        <f t="shared" si="16"/>
        <v>723.21392979742359</v>
      </c>
      <c r="DS66" s="59">
        <f t="shared" si="17"/>
        <v>997.7557270934974</v>
      </c>
      <c r="DT66" s="59">
        <f ca="1">AVERAGE(OFFSET($DS$3,0,0,'Données projet'!$E$14+1,1))-AVERAGE(OFFSET($H$3,0,0,'Données projet'!$E$14+1,1))</f>
        <v>645.29541304800614</v>
      </c>
      <c r="DU66" s="59">
        <f t="shared" si="44"/>
        <v>336.65580771733323</v>
      </c>
      <c r="DV66" s="15">
        <f>IF(ISNA(VLOOKUP(A66,'Données projet'!$A$165:$I$185,3,0)),0,VLOOKUP(A66,'Données projet'!$A$165:$I$185,3,0))</f>
        <v>5</v>
      </c>
      <c r="DW66" s="15">
        <f>IF(ISNA(VLOOKUP(A66,'Données projet'!$A$165:$I$185,4,0)),0,VLOOKUP(A66,'Données projet'!$A$165:$I$185,4,0))</f>
        <v>54.21</v>
      </c>
      <c r="DX66" s="16">
        <f>IF(ISNA(VLOOKUP(A66,'Données projet'!$A$165:$I$185,5,0)),0%,VLOOKUP(A66,'Données projet'!$A$165:$I$185,5,0)*VLOOKUP('Données projet'!$B$14,Paramètres!$A$1:$I$89,7,0))</f>
        <v>0.43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112.54543555706393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112.54543555706393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64.875035626201964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295.59999999999985</v>
      </c>
      <c r="EK66" s="17">
        <f>EJ66*VLOOKUP('Données projet'!$B$15,Paramètres!$A$1:$I$89,3,0)*VLOOKUP('Données projet'!$B$15,Paramètres!$A$1:$I$89,5,0)</f>
        <v>216.7339199999999</v>
      </c>
      <c r="EL66" s="13">
        <f t="shared" si="45"/>
        <v>53.404402610883679</v>
      </c>
      <c r="EM66" s="20">
        <f t="shared" si="19"/>
        <v>470.49091188062221</v>
      </c>
      <c r="EN66" s="59">
        <f t="shared" si="20"/>
        <v>745.03270917669602</v>
      </c>
      <c r="EO66" s="59">
        <f ca="1">AVERAGE(OFFSET($EN$3,0,0,'Données projet'!$E$15+1,1))-AVERAGE(OFFSET($H$3,0,0,'Données projet'!$E$15+1,1))</f>
        <v>343.31122043016137</v>
      </c>
      <c r="EP66" s="59">
        <f t="shared" si="46"/>
        <v>333.61098411258877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35.074373810685358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35.074373810685358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64.875035626201964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295.59999999999985</v>
      </c>
      <c r="FF66" s="17">
        <f>FE66*VLOOKUP('Données projet'!$B$16,Paramètres!$A$1:$I$89,3,0)*VLOOKUP('Données projet'!$B$16,Paramètres!$A$1:$I$89,5,0)</f>
        <v>235.17935999999989</v>
      </c>
      <c r="FG66" s="13">
        <f t="shared" si="47"/>
        <v>57.401124668909425</v>
      </c>
      <c r="FH66" s="20">
        <f t="shared" si="22"/>
        <v>509.57767746501708</v>
      </c>
      <c r="FI66" s="59">
        <f t="shared" si="23"/>
        <v>784.11947476109094</v>
      </c>
      <c r="FJ66" s="59">
        <f ca="1">AVERAGE(OFFSET($FI$3,0,0,'Données projet'!$E$16+1,1))-AVERAGE(OFFSET($H$3,0,0,'Données projet'!$E$16+1,1))</f>
        <v>368.12945163484585</v>
      </c>
      <c r="FK66" s="59">
        <f t="shared" si="48"/>
        <v>357.27183934545121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46.910456412806802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46.910456412806802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64.875035626201964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64.875035626201964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3.0869565217391299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11.318840579710143</v>
      </c>
      <c r="H67" s="66">
        <f t="shared" si="1"/>
        <v>211.39130434782609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64.963942300383508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15.928750000000001</v>
      </c>
      <c r="N67" s="13">
        <f>IF('Données projet'!$A$36&gt;35,N66+M67-V66,IF(A67&lt;'Données projet'!$A$36,$K$205^A67,IF(A67='Données projet'!$A$36,'Données projet'!$B$36,N66+M67-V66)))</f>
        <v>408.34249999999946</v>
      </c>
      <c r="O67" s="13">
        <f>N67*VLOOKUP('Données projet'!$B$9,Paramètres!$A$1:$I$89,3,0)*VLOOKUP('Données projet'!$B$9,Paramètres!$A$1:$I$89,5,0)</f>
        <v>191.10428999999974</v>
      </c>
      <c r="P67" s="13">
        <f t="shared" si="33"/>
        <v>47.784013285238458</v>
      </c>
      <c r="Q67" s="20">
        <f t="shared" ref="Q67:Q98" si="54">(O67+P67)*0.475*44/12</f>
        <v>416.06379488845647</v>
      </c>
      <c r="R67" s="59">
        <f t="shared" ref="R67:R130" si="55">Q67+(I67+J67)*44/12</f>
        <v>690.93158332319604</v>
      </c>
      <c r="S67" s="59">
        <f ca="1">AVERAGE(OFFSET($R$3,0,0,'Données projet'!$E$9+1,1))-AVERAGE(OFFSET($H$3,0,0,'Données projet'!$E$9+1,1))</f>
        <v>320.30433416149219</v>
      </c>
      <c r="T67" s="59">
        <f t="shared" si="34"/>
        <v>201.33422682092797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77.324838263942439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77.324838263942439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64.963942300383508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16.8</v>
      </c>
      <c r="AI67" s="13">
        <f>IF('Données projet'!$A$62&gt;35,AI66+AH67-AQ66,IF(A67&lt;'Données projet'!$A$62,$AF$205^A67,IF(A67='Données projet'!$A$62,'Données projet'!$B$62,AI66+AH67-AQ66)))</f>
        <v>678.20000000000027</v>
      </c>
      <c r="AJ67" s="13">
        <f>AI67*VLOOKUP('Données projet'!$B$10,Paramètres!$A$1:$I$89,3,0)*VLOOKUP('Données projet'!$B$10,Paramètres!$A$1:$I$89,5,0)</f>
        <v>405.56360000000024</v>
      </c>
      <c r="AK67" s="13">
        <f t="shared" si="35"/>
        <v>92.90369136359071</v>
      </c>
      <c r="AL67" s="20">
        <f t="shared" si="4"/>
        <v>868.16386579158745</v>
      </c>
      <c r="AM67" s="59">
        <f t="shared" si="5"/>
        <v>1143.031654226327</v>
      </c>
      <c r="AN67" s="59">
        <f ca="1">AVERAGE(OFFSET($AM$3,0,0,'Données projet'!$E$10+1,1))-AVERAGE(OFFSET($H$3,0,0,'Données projet'!$E$10+1,1))</f>
        <v>569.80473816957431</v>
      </c>
      <c r="AO67" s="59">
        <f t="shared" si="36"/>
        <v>495.56567790763199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88.627113350989134</v>
      </c>
      <c r="AV67" s="21">
        <f>EXP(-LN(2)/25)*AV66+(1-EXP(-LN(2)/25))/(LN(2)/25)*Calculateur!AQ67*Calculateur!AS67*VLOOKUP('Données projet'!$B$10,Paramètres!$A$1:$I$89,3,0)*0.475*44/12</f>
        <v>25.487008407678751</v>
      </c>
      <c r="AW67" s="21">
        <f>EXP(-LN(2)/2)*AW66+(1-EXP(-LN(2)/2))/(LN(2)/2)*AQ67*AT67*VLOOKUP('Données projet'!$B$10,Paramètres!$A$1:$I$89,3,0)*0.475*44/12</f>
        <v>5.9926805037850246E-7</v>
      </c>
      <c r="AX67" s="21">
        <f t="shared" si="6"/>
        <v>114.11412235793594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64.963942300383508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-5.6843418860808015E-14</v>
      </c>
      <c r="BE67" s="13">
        <f>BD67*VLOOKUP('Données projet'!$B$11,Paramètres!$A$1:$I$89,3,0)*VLOOKUP('Données projet'!$B$11,Paramètres!$A$1:$I$89,5,0)</f>
        <v>-2.5006556825246661E-14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180.42749272334603</v>
      </c>
      <c r="BJ67" s="59">
        <f t="shared" si="38"/>
        <v>346.61476512497495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32.611735990968718</v>
      </c>
      <c r="BQ67" s="21">
        <f>EXP(-LN(2)/25)*BQ66+(1-EXP(-LN(2)/25))/(LN(2)/25)*Calculateur!BL67*Calculateur!BN67*VLOOKUP('Données projet'!$B$11,Paramètres!$A$1:$I$89,3,0)*0.475*44/12</f>
        <v>6.4532043359556344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39.064940326924351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64.963942300383508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11.28875</v>
      </c>
      <c r="BY67" s="12">
        <f>IF('Données projet'!$A$114&gt;35,BY66+BX67-CG66,IF(A67&lt;'Données projet'!$A$114,$BV$205^A67,IF(A67='Données projet'!$A$114,'Données projet'!$B$114,BY66+BX67-CG66)))</f>
        <v>269.66875000000005</v>
      </c>
      <c r="BZ67" s="13">
        <f>BY67*VLOOKUP('Données projet'!$B$12,Paramètres!$A$1:$I$89,3,0)*VLOOKUP('Données projet'!$B$12,Paramètres!$A$1:$I$89,5,0)</f>
        <v>243.99628500000003</v>
      </c>
      <c r="CA67" s="13">
        <f t="shared" si="39"/>
        <v>59.298522534643098</v>
      </c>
      <c r="CB67" s="20">
        <f t="shared" si="10"/>
        <v>528.23845645617007</v>
      </c>
      <c r="CC67" s="59">
        <f t="shared" si="11"/>
        <v>803.10624489090969</v>
      </c>
      <c r="CD67" s="59">
        <f ca="1">AVERAGE(OFFSET($CC$3,0,0,'Données projet'!$E$12+1,1))-AVERAGE(OFFSET($H$3,0,0,'Données projet'!$E$12+1,1))</f>
        <v>553.16421218123958</v>
      </c>
      <c r="CE67" s="59">
        <f t="shared" si="40"/>
        <v>291.73668613844416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92.748294438843317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92.748294438843317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64.963942300383508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11.28875</v>
      </c>
      <c r="CT67" s="12">
        <f>IF('Données projet'!$A$140&gt;35,CT66+CS67-DB66,IF(A67&lt;'Données projet'!$A$140,$CQ$205^A67,IF(A67='Données projet'!$A$140,'Données projet'!$B$140,CT66+CS67-DB66)))</f>
        <v>269.66875000000005</v>
      </c>
      <c r="CU67" s="17">
        <f>CT67*VLOOKUP('Données projet'!$B$13,Paramètres!$A$1:$I$89,3,0)*VLOOKUP('Données projet'!$B$13,Paramètres!$A$1:$I$89,5,0)</f>
        <v>273.44411250000007</v>
      </c>
      <c r="CV67" s="13">
        <f t="shared" si="41"/>
        <v>65.579656803641214</v>
      </c>
      <c r="CW67" s="20">
        <f t="shared" si="13"/>
        <v>590.46639820384189</v>
      </c>
      <c r="CX67" s="59">
        <f t="shared" si="14"/>
        <v>865.33418663858151</v>
      </c>
      <c r="CY67" s="59">
        <f ca="1">AVERAGE(OFFSET($CX$3,0,0,'Données projet'!$E$13+1,1))-AVERAGE(OFFSET($H$3,0,0,'Données projet'!$E$13+1,1))</f>
        <v>611.82989382187804</v>
      </c>
      <c r="CZ67" s="59">
        <f t="shared" si="42"/>
        <v>320.34124600136363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103.94205411249681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103.94205411249681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64.963942300383508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11.28875</v>
      </c>
      <c r="DO67" s="12">
        <f>IF('Données projet'!$A$166&gt;35,DO66+DN67-DW66,IF(A67&lt;'Données projet'!$A$166,$DL$205^A67,IF(A67='Données projet'!$A$166,'Données projet'!$B$166,DO66+DN67-DW66)))</f>
        <v>269.66875000000005</v>
      </c>
      <c r="DP67" s="17">
        <f>DO67*VLOOKUP('Données projet'!$B$14,Paramètres!$A$1:$I$89,3,0)*VLOOKUP('Données projet'!$B$14,Paramètres!$A$1:$I$89,5,0)</f>
        <v>290.27144250000003</v>
      </c>
      <c r="DQ67" s="13">
        <f t="shared" si="43"/>
        <v>69.133087689937838</v>
      </c>
      <c r="DR67" s="20">
        <f t="shared" si="16"/>
        <v>625.96289008080839</v>
      </c>
      <c r="DS67" s="59">
        <f t="shared" si="17"/>
        <v>900.83067851554802</v>
      </c>
      <c r="DT67" s="59">
        <f ca="1">AVERAGE(OFFSET($DS$3,0,0,'Données projet'!$E$14+1,1))-AVERAGE(OFFSET($H$3,0,0,'Données projet'!$E$14+1,1))</f>
        <v>645.29541304800614</v>
      </c>
      <c r="DU67" s="59">
        <f t="shared" si="44"/>
        <v>336.65580771733323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110.33848821172737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110.33848821172737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64.963942300383508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300.79999999999984</v>
      </c>
      <c r="EK67" s="17">
        <f>EJ67*VLOOKUP('Données projet'!$B$15,Paramètres!$A$1:$I$89,3,0)*VLOOKUP('Données projet'!$B$15,Paramètres!$A$1:$I$89,5,0)</f>
        <v>220.54655999999989</v>
      </c>
      <c r="EL67" s="13">
        <f t="shared" si="45"/>
        <v>54.233660675860236</v>
      </c>
      <c r="EM67" s="20">
        <f t="shared" si="19"/>
        <v>478.57555101045637</v>
      </c>
      <c r="EN67" s="59">
        <f t="shared" si="20"/>
        <v>753.44333944519599</v>
      </c>
      <c r="EO67" s="59">
        <f ca="1">AVERAGE(OFFSET($EN$3,0,0,'Données projet'!$E$15+1,1))-AVERAGE(OFFSET($H$3,0,0,'Données projet'!$E$15+1,1))</f>
        <v>343.31122043016137</v>
      </c>
      <c r="EP67" s="59">
        <f t="shared" si="46"/>
        <v>333.61098411258877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34.386586733513433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34.386586733513433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64.963942300383508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300.79999999999984</v>
      </c>
      <c r="FF67" s="17">
        <f>FE67*VLOOKUP('Données projet'!$B$16,Paramètres!$A$1:$I$89,3,0)*VLOOKUP('Données projet'!$B$16,Paramètres!$A$1:$I$89,5,0)</f>
        <v>239.3164799999999</v>
      </c>
      <c r="FG67" s="13">
        <f t="shared" si="47"/>
        <v>58.292443422481945</v>
      </c>
      <c r="FH67" s="20">
        <f t="shared" si="22"/>
        <v>518.33554162748919</v>
      </c>
      <c r="FI67" s="59">
        <f t="shared" si="23"/>
        <v>793.20333006222882</v>
      </c>
      <c r="FJ67" s="59">
        <f ca="1">AVERAGE(OFFSET($FI$3,0,0,'Données projet'!$E$16+1,1))-AVERAGE(OFFSET($H$3,0,0,'Données projet'!$E$16+1,1))</f>
        <v>368.12945163484585</v>
      </c>
      <c r="FK67" s="59">
        <f t="shared" si="48"/>
        <v>357.27183934545121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45.990570975104816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45.990570975104816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64.963942300383508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64.963942300383508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3.0869565217391299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11.318840579710143</v>
      </c>
      <c r="H68" s="66">
        <f t="shared" ref="H68:H131" si="56">(B68+E68+F68)*44/12+(C68+D68)*0.475*44/12</f>
        <v>211.39130434782609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65.051306642533547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15.928750000000001</v>
      </c>
      <c r="N68" s="13">
        <f>IF('Données projet'!$A$36&gt;35,N67+M68-V67,IF(A68&lt;'Données projet'!$A$36,$K$205^A68,IF(A68='Données projet'!$A$36,'Données projet'!$B$36,N67+M68-V67)))</f>
        <v>424.27124999999944</v>
      </c>
      <c r="O68" s="13">
        <f>N68*VLOOKUP('Données projet'!$B$9,Paramètres!$A$1:$I$89,3,0)*VLOOKUP('Données projet'!$B$9,Paramètres!$A$1:$I$89,5,0)</f>
        <v>198.55894499999974</v>
      </c>
      <c r="P68" s="13">
        <f t="shared" si="33"/>
        <v>49.427334288005518</v>
      </c>
      <c r="Q68" s="20">
        <f t="shared" si="54"/>
        <v>431.90943642660909</v>
      </c>
      <c r="R68" s="59">
        <f t="shared" si="55"/>
        <v>707.09756078256544</v>
      </c>
      <c r="S68" s="59">
        <f ca="1">AVERAGE(OFFSET($R$3,0,0,'Données projet'!$E$9+1,1))-AVERAGE(OFFSET($H$3,0,0,'Données projet'!$E$9+1,1))</f>
        <v>320.30433416149219</v>
      </c>
      <c r="T68" s="59">
        <f t="shared" si="34"/>
        <v>201.33422682092797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75.808545349080859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75.808545349080859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65.051306642533547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695</v>
      </c>
      <c r="AG68" s="12">
        <f>VLOOKUP(A68,'Données projet'!$A$61:$I$81,9,0)</f>
        <v>16.8</v>
      </c>
      <c r="AH68" s="12">
        <f t="array" ref="AH68">INDEX(AG:AG,MIN(IF(ISNUMBER(AG68:AG264),ROW(AG68:AG264),"")))</f>
        <v>16.8</v>
      </c>
      <c r="AI68" s="13">
        <f>IF('Données projet'!$A$62&gt;35,AI67+AH68-AQ67,IF(A68&lt;'Données projet'!$A$62,$AF$205^A68,IF(A68='Données projet'!$A$62,'Données projet'!$B$62,AI67+AH68-AQ67)))</f>
        <v>695.00000000000023</v>
      </c>
      <c r="AJ68" s="13">
        <f>AI68*VLOOKUP('Données projet'!$B$10,Paramètres!$A$1:$I$89,3,0)*VLOOKUP('Données projet'!$B$10,Paramètres!$A$1:$I$89,5,0)</f>
        <v>415.61000000000013</v>
      </c>
      <c r="AK68" s="13">
        <f t="shared" si="35"/>
        <v>94.934267629409874</v>
      </c>
      <c r="AL68" s="20">
        <f t="shared" ref="AL68:AL131" si="58">(AJ68+AK68)*0.475*44/12</f>
        <v>889.19793278788904</v>
      </c>
      <c r="AM68" s="59">
        <f t="shared" ref="AM68:AM131" si="59">AL68+(AD68+AE68)*44/12</f>
        <v>1164.3860571438454</v>
      </c>
      <c r="AN68" s="59">
        <f ca="1">AVERAGE(OFFSET($AM$3,0,0,'Données projet'!$E$10+1,1))-AVERAGE(OFFSET($H$3,0,0,'Données projet'!$E$10+1,1))</f>
        <v>569.80473816957431</v>
      </c>
      <c r="AO68" s="59">
        <f t="shared" si="36"/>
        <v>495.56567790763199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37</v>
      </c>
      <c r="AR68" s="16">
        <f>IF(ISNA(VLOOKUP(A68,'Données projet'!$A$61:$I$81,5,0)),0%,VLOOKUP(A68,'Données projet'!$A$61:$I$81,5,0)*VLOOKUP('Données projet'!$B$10,Paramètres!$A$1:$I$89,7,0))</f>
        <v>0.45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100.09739402885255</v>
      </c>
      <c r="AV68" s="21">
        <f>EXP(-LN(2)/25)*AV67+(1-EXP(-LN(2)/25))/(LN(2)/25)*Calculateur!AQ68*Calculateur!AS68*VLOOKUP('Données projet'!$B$10,Paramètres!$A$1:$I$89,3,0)*0.475*44/12</f>
        <v>24.790064822467254</v>
      </c>
      <c r="AW68" s="21">
        <f>EXP(-LN(2)/2)*AW67+(1-EXP(-LN(2)/2))/(LN(2)/2)*AQ68*AT68*VLOOKUP('Données projet'!$B$10,Paramètres!$A$1:$I$89,3,0)*0.475*44/12</f>
        <v>4.2374650217108068E-7</v>
      </c>
      <c r="AX68" s="21">
        <f t="shared" ref="AX68:AX131" si="60">SUM(AU68:AW68)</f>
        <v>124.88745927506631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65.051306642533547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-5.6843418860808015E-14</v>
      </c>
      <c r="BE68" s="13">
        <f>BD68*VLOOKUP('Données projet'!$B$11,Paramètres!$A$1:$I$89,3,0)*VLOOKUP('Données projet'!$B$11,Paramètres!$A$1:$I$89,5,0)</f>
        <v>-2.5006556825246661E-14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180.42749272334603</v>
      </c>
      <c r="BJ68" s="59">
        <f t="shared" si="38"/>
        <v>346.61476512497495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31.972239739380683</v>
      </c>
      <c r="BQ68" s="21">
        <f>EXP(-LN(2)/25)*BQ67+(1-EXP(-LN(2)/25))/(LN(2)/25)*Calculateur!BL68*Calculateur!BN68*VLOOKUP('Données projet'!$B$11,Paramètres!$A$1:$I$89,3,0)*0.475*44/12</f>
        <v>6.2767411240296607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38.248980863410345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65.051306642533547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11.28875</v>
      </c>
      <c r="BY68" s="12">
        <f>IF('Données projet'!$A$114&gt;35,BY67+BX68-CG67,IF(A68&lt;'Données projet'!$A$114,$BV$205^A68,IF(A68='Données projet'!$A$114,'Données projet'!$B$114,BY67+BX68-CG67)))</f>
        <v>280.95750000000004</v>
      </c>
      <c r="BZ68" s="13">
        <f>BY68*VLOOKUP('Données projet'!$B$12,Paramètres!$A$1:$I$89,3,0)*VLOOKUP('Données projet'!$B$12,Paramètres!$A$1:$I$89,5,0)</f>
        <v>254.21034600000002</v>
      </c>
      <c r="CA68" s="13">
        <f t="shared" si="39"/>
        <v>61.486644866788161</v>
      </c>
      <c r="CB68" s="20">
        <f t="shared" ref="CB68:CB131" si="64">(BZ68+CA68)*0.475*44/12</f>
        <v>549.83892575965604</v>
      </c>
      <c r="CC68" s="59">
        <f t="shared" ref="CC68:CC131" si="65">CB68+(BT68+BU68)*44/12</f>
        <v>825.02705011561238</v>
      </c>
      <c r="CD68" s="59">
        <f ca="1">AVERAGE(OFFSET($CC$3,0,0,'Données projet'!$E$12+1,1))-AVERAGE(OFFSET($H$3,0,0,'Données projet'!$E$12+1,1))</f>
        <v>553.16421218123958</v>
      </c>
      <c r="CE68" s="59">
        <f t="shared" si="40"/>
        <v>291.73668613844416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90.929556955771304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90.929556955771304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65.051306642533547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11.28875</v>
      </c>
      <c r="CT68" s="12">
        <f>IF('Données projet'!$A$140&gt;35,CT67+CS68-DB67,IF(A68&lt;'Données projet'!$A$140,$CQ$205^A68,IF(A68='Données projet'!$A$140,'Données projet'!$B$140,CT67+CS68-DB67)))</f>
        <v>280.95750000000004</v>
      </c>
      <c r="CU68" s="17">
        <f>CT68*VLOOKUP('Données projet'!$B$13,Paramètres!$A$1:$I$89,3,0)*VLOOKUP('Données projet'!$B$13,Paramètres!$A$1:$I$89,5,0)</f>
        <v>284.89090500000009</v>
      </c>
      <c r="CV68" s="13">
        <f t="shared" si="41"/>
        <v>67.99955371595675</v>
      </c>
      <c r="CW68" s="20">
        <f t="shared" ref="CW68:CW131" si="67">(CU68+CV68)*0.475*44/12</f>
        <v>614.61754893029149</v>
      </c>
      <c r="CX68" s="59">
        <f t="shared" ref="CX68:CX131" si="68">CW68+(CO68+CP68)*44/12</f>
        <v>889.80567328624784</v>
      </c>
      <c r="CY68" s="59">
        <f ca="1">AVERAGE(OFFSET($CX$3,0,0,'Données projet'!$E$13+1,1))-AVERAGE(OFFSET($H$3,0,0,'Données projet'!$E$13+1,1))</f>
        <v>611.82989382187804</v>
      </c>
      <c r="CZ68" s="59">
        <f t="shared" si="42"/>
        <v>320.34124600136363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101.90381382974368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101.90381382974368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65.051306642533547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11.28875</v>
      </c>
      <c r="DO68" s="12">
        <f>IF('Données projet'!$A$166&gt;35,DO67+DN68-DW67,IF(A68&lt;'Données projet'!$A$166,$DL$205^A68,IF(A68='Données projet'!$A$166,'Données projet'!$B$166,DO67+DN68-DW67)))</f>
        <v>280.95750000000004</v>
      </c>
      <c r="DP68" s="17">
        <f>DO68*VLOOKUP('Données projet'!$B$14,Paramètres!$A$1:$I$89,3,0)*VLOOKUP('Données projet'!$B$14,Paramètres!$A$1:$I$89,5,0)</f>
        <v>302.42265300000003</v>
      </c>
      <c r="DQ68" s="13">
        <f t="shared" si="43"/>
        <v>71.684106612477109</v>
      </c>
      <c r="DR68" s="20">
        <f t="shared" ref="DR68:DR131" si="70">(DP68+DQ68)*0.475*44/12</f>
        <v>651.56927299173105</v>
      </c>
      <c r="DS68" s="59">
        <f t="shared" ref="DS68:DS131" si="71">DR68+(DJ68+DK68)*44/12</f>
        <v>926.7573973476874</v>
      </c>
      <c r="DT68" s="59">
        <f ca="1">AVERAGE(OFFSET($DS$3,0,0,'Données projet'!$E$14+1,1))-AVERAGE(OFFSET($H$3,0,0,'Données projet'!$E$14+1,1))</f>
        <v>645.29541304800614</v>
      </c>
      <c r="DU68" s="59">
        <f t="shared" si="44"/>
        <v>336.65580771733323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108.17481775772789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108.17481775772789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65.051306642533547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305.99999999999983</v>
      </c>
      <c r="EK68" s="17">
        <f>EJ68*VLOOKUP('Données projet'!$B$15,Paramètres!$A$1:$I$89,3,0)*VLOOKUP('Données projet'!$B$15,Paramètres!$A$1:$I$89,5,0)</f>
        <v>224.35919999999987</v>
      </c>
      <c r="EL68" s="13">
        <f t="shared" si="45"/>
        <v>55.061251669487255</v>
      </c>
      <c r="EM68" s="20">
        <f t="shared" ref="EM68:EM131" si="73">(EK68+EL68)*0.475*44/12</f>
        <v>486.65728665769001</v>
      </c>
      <c r="EN68" s="59">
        <f t="shared" ref="EN68:EN131" si="74">EM68+(EE68+EF68)*44/12</f>
        <v>761.8454110136463</v>
      </c>
      <c r="EO68" s="59">
        <f ca="1">AVERAGE(OFFSET($EN$3,0,0,'Données projet'!$E$15+1,1))-AVERAGE(OFFSET($H$3,0,0,'Données projet'!$E$15+1,1))</f>
        <v>343.31122043016137</v>
      </c>
      <c r="EP68" s="59">
        <f t="shared" si="46"/>
        <v>333.61098411258877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0.43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38.243154373325353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38.243154373325353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65.051306642533547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305.99999999999983</v>
      </c>
      <c r="FF68" s="17">
        <f>FE68*VLOOKUP('Données projet'!$B$16,Paramètres!$A$1:$I$89,3,0)*VLOOKUP('Données projet'!$B$16,Paramètres!$A$1:$I$89,5,0)</f>
        <v>243.45359999999988</v>
      </c>
      <c r="FG68" s="13">
        <f t="shared" si="47"/>
        <v>59.181970343065267</v>
      </c>
      <c r="FH68" s="20">
        <f t="shared" ref="FH68:FH131" si="76">(FF68+FG68)*0.475*44/12</f>
        <v>527.09028501417163</v>
      </c>
      <c r="FI68" s="59">
        <f t="shared" ref="FI68:FI131" si="77">FH68+(EZ68+FA68)*44/12</f>
        <v>802.27840937012797</v>
      </c>
      <c r="FJ68" s="59">
        <f ca="1">AVERAGE(OFFSET($FI$3,0,0,'Données projet'!$E$16+1,1))-AVERAGE(OFFSET($H$3,0,0,'Données projet'!$E$16+1,1))</f>
        <v>368.12945163484585</v>
      </c>
      <c r="FK68" s="59">
        <f t="shared" si="48"/>
        <v>357.27183934545121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0.53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51.148563221721147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51.148563221721147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65.051306642533547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65.051306642533547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3.0869565217391299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11.318840579710143</v>
      </c>
      <c r="H69" s="66">
        <f t="shared" si="56"/>
        <v>211.39130434782609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65.137155408664697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440.2</v>
      </c>
      <c r="L69" s="12">
        <f>VLOOKUP(A69,'Données projet'!$A$35:$I$55,9,0)</f>
        <v>15.928750000000001</v>
      </c>
      <c r="M69" s="12">
        <f t="array" ref="M69">INDEX(L:L,MIN(IF(ISNUMBER(L69:L265),ROW(L69:L265),"")))</f>
        <v>15.928750000000001</v>
      </c>
      <c r="N69" s="13">
        <f>IF('Données projet'!$A$36&gt;35,N68+M69-V68,IF(A69&lt;'Données projet'!$A$36,$K$205^A69,IF(A69='Données projet'!$A$36,'Données projet'!$B$36,N68+M69-V68)))</f>
        <v>440.19999999999942</v>
      </c>
      <c r="O69" s="13">
        <f>N69*VLOOKUP('Données projet'!$B$9,Paramètres!$A$1:$I$89,3,0)*VLOOKUP('Données projet'!$B$9,Paramètres!$A$1:$I$89,5,0)</f>
        <v>206.01359999999971</v>
      </c>
      <c r="P69" s="13">
        <f t="shared" ref="P69:P132" si="87">EXP(-1.0587+0.8836*LN(O69)+0.284)</f>
        <v>51.063487709141434</v>
      </c>
      <c r="Q69" s="20">
        <f t="shared" si="54"/>
        <v>447.74259442675412</v>
      </c>
      <c r="R69" s="59">
        <f t="shared" si="55"/>
        <v>723.245497591858</v>
      </c>
      <c r="S69" s="59">
        <f ca="1">AVERAGE(OFFSET($R$3,0,0,'Données projet'!$E$9+1,1))-AVERAGE(OFFSET($H$3,0,0,'Données projet'!$E$9+1,1))</f>
        <v>320.30433416149219</v>
      </c>
      <c r="T69" s="59">
        <f t="shared" ref="T69:T132" si="88">$T$3</f>
        <v>201.33422682092797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87.73</v>
      </c>
      <c r="W69" s="16">
        <f>IF(ISNA(VLOOKUP(A69,'Données projet'!$A$35:$I$55,5,0)),0%,VLOOKUP(A69,'Données projet'!$A$35:$I$55,5,0)*VLOOKUP('Données projet'!$B$9,Paramètres!$A$1:$I$89,7,0))</f>
        <v>0.55000000000000004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104.27806922996035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104.27806922996035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65.137155408664697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15</v>
      </c>
      <c r="AI69" s="13">
        <f>IF('Données projet'!$A$62&gt;35,AI68+AH69-AQ68,IF(A69&lt;'Données projet'!$A$62,$AF$205^A69,IF(A69='Données projet'!$A$62,'Données projet'!$B$62,AI68+AH69-AQ68)))</f>
        <v>673.00000000000023</v>
      </c>
      <c r="AJ69" s="13">
        <f>AI69*VLOOKUP('Données projet'!$B$10,Paramètres!$A$1:$I$89,3,0)*VLOOKUP('Données projet'!$B$10,Paramètres!$A$1:$I$89,5,0)</f>
        <v>402.45400000000012</v>
      </c>
      <c r="AK69" s="13">
        <f t="shared" ref="AK69:AK132" si="89">EXP(-1.0587+0.8836*LN(AJ69)+0.284)</f>
        <v>92.273998825389043</v>
      </c>
      <c r="AL69" s="20">
        <f t="shared" si="58"/>
        <v>861.65126462088608</v>
      </c>
      <c r="AM69" s="59">
        <f t="shared" si="59"/>
        <v>1137.15416778599</v>
      </c>
      <c r="AN69" s="59">
        <f ca="1">AVERAGE(OFFSET($AM$3,0,0,'Données projet'!$E$10+1,1))-AVERAGE(OFFSET($H$3,0,0,'Données projet'!$E$10+1,1))</f>
        <v>569.80473816957431</v>
      </c>
      <c r="AO69" s="59">
        <f t="shared" ref="AO69:AO132" si="90">$AO$3</f>
        <v>495.56567790763199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98.134545185328591</v>
      </c>
      <c r="AV69" s="21">
        <f>EXP(-LN(2)/25)*AV68+(1-EXP(-LN(2)/25))/(LN(2)/25)*Calculateur!AQ69*Calculateur!AS69*VLOOKUP('Données projet'!$B$10,Paramètres!$A$1:$I$89,3,0)*0.475*44/12</f>
        <v>24.112179196244035</v>
      </c>
      <c r="AW69" s="21">
        <f>EXP(-LN(2)/2)*AW68+(1-EXP(-LN(2)/2))/(LN(2)/2)*AQ69*AT69*VLOOKUP('Données projet'!$B$10,Paramètres!$A$1:$I$89,3,0)*0.475*44/12</f>
        <v>2.9963402518925123E-7</v>
      </c>
      <c r="AX69" s="21">
        <f t="shared" si="60"/>
        <v>122.24672468120664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65.137155408664697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-5.6843418860808015E-14</v>
      </c>
      <c r="BE69" s="13">
        <f>BD69*VLOOKUP('Données projet'!$B$11,Paramètres!$A$1:$I$89,3,0)*VLOOKUP('Données projet'!$B$11,Paramètres!$A$1:$I$89,5,0)</f>
        <v>-2.5006556825246661E-14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180.42749272334603</v>
      </c>
      <c r="BJ69" s="59">
        <f t="shared" ref="BJ69:BJ132" si="92">$BJ$3</f>
        <v>346.61476512497495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31.345283619232092</v>
      </c>
      <c r="BQ69" s="21">
        <f>EXP(-LN(2)/25)*BQ68+(1-EXP(-LN(2)/25))/(LN(2)/25)*Calculateur!BL69*Calculateur!BN69*VLOOKUP('Données projet'!$B$11,Paramètres!$A$1:$I$89,3,0)*0.475*44/12</f>
        <v>6.1051033079135992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37.450386927145694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65.137155408664697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11.28875</v>
      </c>
      <c r="BY69" s="12">
        <f>IF('Données projet'!$A$114&gt;35,BY68+BX69-CG68,IF(A69&lt;'Données projet'!$A$114,$BV$205^A69,IF(A69='Données projet'!$A$114,'Données projet'!$B$114,BY68+BX69-CG68)))</f>
        <v>292.24625000000003</v>
      </c>
      <c r="BZ69" s="13">
        <f>BY69*VLOOKUP('Données projet'!$B$12,Paramètres!$A$1:$I$89,3,0)*VLOOKUP('Données projet'!$B$12,Paramètres!$A$1:$I$89,5,0)</f>
        <v>264.42440700000003</v>
      </c>
      <c r="CA69" s="13">
        <f t="shared" ref="CA69:CA132" si="93">EXP(-1.0587+0.8836*LN(BZ69)+0.284)</f>
        <v>63.664554558165378</v>
      </c>
      <c r="CB69" s="20">
        <f t="shared" si="64"/>
        <v>571.42160804713808</v>
      </c>
      <c r="CC69" s="59">
        <f t="shared" si="65"/>
        <v>846.9245112122419</v>
      </c>
      <c r="CD69" s="59">
        <f ca="1">AVERAGE(OFFSET($CC$3,0,0,'Données projet'!$E$12+1,1))-AVERAGE(OFFSET($H$3,0,0,'Données projet'!$E$12+1,1))</f>
        <v>553.16421218123958</v>
      </c>
      <c r="CE69" s="59">
        <f t="shared" ref="CE69:CE132" si="94">$CE$3</f>
        <v>291.73668613844416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89.146483805421994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89.146483805421994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65.137155408664697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11.28875</v>
      </c>
      <c r="CT69" s="12">
        <f>IF('Données projet'!$A$140&gt;35,CT68+CS69-DB68,IF(A69&lt;'Données projet'!$A$140,$CQ$205^A69,IF(A69='Données projet'!$A$140,'Données projet'!$B$140,CT68+CS69-DB68)))</f>
        <v>292.24625000000003</v>
      </c>
      <c r="CU69" s="17">
        <f>CT69*VLOOKUP('Données projet'!$B$13,Paramètres!$A$1:$I$89,3,0)*VLOOKUP('Données projet'!$B$13,Paramètres!$A$1:$I$89,5,0)</f>
        <v>296.33769750000005</v>
      </c>
      <c r="CV69" s="13">
        <f t="shared" ref="CV69:CV132" si="95">EXP(-1.0587+0.8836*LN(CU69)+0.284)</f>
        <v>70.408156224162596</v>
      </c>
      <c r="CW69" s="20">
        <f t="shared" si="67"/>
        <v>638.74902856958317</v>
      </c>
      <c r="CX69" s="59">
        <f t="shared" si="68"/>
        <v>914.2519317346871</v>
      </c>
      <c r="CY69" s="59">
        <f ca="1">AVERAGE(OFFSET($CX$3,0,0,'Données projet'!$E$13+1,1))-AVERAGE(OFFSET($H$3,0,0,'Données projet'!$E$13+1,1))</f>
        <v>611.82989382187804</v>
      </c>
      <c r="CZ69" s="59">
        <f t="shared" ref="CZ69:CZ132" si="96">$CZ$3</f>
        <v>320.34124600136363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99.905542195731527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99.905542195731527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65.137155408664697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11.28875</v>
      </c>
      <c r="DO69" s="12">
        <f>IF('Données projet'!$A$166&gt;35,DO68+DN69-DW68,IF(A69&lt;'Données projet'!$A$166,$DL$205^A69,IF(A69='Données projet'!$A$166,'Données projet'!$B$166,DO68+DN69-DW68)))</f>
        <v>292.24625000000003</v>
      </c>
      <c r="DP69" s="17">
        <f>DO69*VLOOKUP('Données projet'!$B$14,Paramètres!$A$1:$I$89,3,0)*VLOOKUP('Données projet'!$B$14,Paramètres!$A$1:$I$89,5,0)</f>
        <v>314.57386350000002</v>
      </c>
      <c r="DQ69" s="13">
        <f t="shared" ref="DQ69:DQ132" si="97">EXP(-1.0587+0.8836*LN(DP69)+0.284)</f>
        <v>74.223219144105187</v>
      </c>
      <c r="DR69" s="20">
        <f t="shared" si="70"/>
        <v>677.15491893848332</v>
      </c>
      <c r="DS69" s="59">
        <f t="shared" si="71"/>
        <v>952.65782210358725</v>
      </c>
      <c r="DT69" s="59">
        <f ca="1">AVERAGE(OFFSET($DS$3,0,0,'Données projet'!$E$14+1,1))-AVERAGE(OFFSET($H$3,0,0,'Données projet'!$E$14+1,1))</f>
        <v>645.29541304800614</v>
      </c>
      <c r="DU69" s="59">
        <f t="shared" ref="DU69:DU132" si="98">$DU$3</f>
        <v>336.65580771733323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106.05357556162268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106.05357556162268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65.137155408664697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4.5999999999999996</v>
      </c>
      <c r="EJ69" s="12">
        <f>IF('Données projet'!$A$192&gt;35,EJ68+EI69-ER68,IF(A69&lt;'Données projet'!$A$192,$EG$205^A69,IF(A69='Données projet'!$A$192,'Données projet'!$B$192,EJ68+EI69-ER68)))</f>
        <v>297.59999999999985</v>
      </c>
      <c r="EK69" s="17">
        <f>EJ69*VLOOKUP('Données projet'!$B$15,Paramètres!$A$1:$I$89,3,0)*VLOOKUP('Données projet'!$B$15,Paramètres!$A$1:$I$89,5,0)</f>
        <v>218.20031999999989</v>
      </c>
      <c r="EL69" s="13">
        <f t="shared" ref="EL69:EL132" si="99">EXP(-1.0587+0.8836*LN(EK69)+0.284)</f>
        <v>53.723547368945667</v>
      </c>
      <c r="EM69" s="20">
        <f t="shared" si="73"/>
        <v>473.60073566758007</v>
      </c>
      <c r="EN69" s="59">
        <f t="shared" si="74"/>
        <v>749.10363883268394</v>
      </c>
      <c r="EO69" s="59">
        <f ca="1">AVERAGE(OFFSET($EN$3,0,0,'Données projet'!$E$15+1,1))-AVERAGE(OFFSET($H$3,0,0,'Données projet'!$E$15+1,1))</f>
        <v>343.31122043016137</v>
      </c>
      <c r="EP69" s="59">
        <f t="shared" ref="EP69:EP132" si="100">$EP$3</f>
        <v>333.61098411258877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37.493229442085358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37.493229442085358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65.137155408664697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4.5999999999999996</v>
      </c>
      <c r="FE69" s="12">
        <f>IF('Données projet'!$A$218&gt;35,FE68+FD69-FM68,IF(A69&lt;'Données projet'!$A$218,$FB$205^A69,IF(A69='Données projet'!$A$218,'Données projet'!$B$218,FE68+FD69-FM68)))</f>
        <v>297.59999999999985</v>
      </c>
      <c r="FF69" s="17">
        <f>FE69*VLOOKUP('Données projet'!$B$16,Paramètres!$A$1:$I$89,3,0)*VLOOKUP('Données projet'!$B$16,Paramètres!$A$1:$I$89,5,0)</f>
        <v>236.7705599999999</v>
      </c>
      <c r="FG69" s="13">
        <f t="shared" ref="FG69:FG132" si="101">EXP(-1.0587+0.8836*LN(FF69)+0.284)</f>
        <v>57.744153841586879</v>
      </c>
      <c r="FH69" s="20">
        <f t="shared" si="76"/>
        <v>512.9464599407637</v>
      </c>
      <c r="FI69" s="59">
        <f t="shared" si="77"/>
        <v>788.44936310586763</v>
      </c>
      <c r="FJ69" s="59">
        <f ca="1">AVERAGE(OFFSET($FI$3,0,0,'Données projet'!$E$16+1,1))-AVERAGE(OFFSET($H$3,0,0,'Données projet'!$E$16+1,1))</f>
        <v>368.12945163484585</v>
      </c>
      <c r="FK69" s="59">
        <f t="shared" ref="FK69:FK132" si="102">$FK$3</f>
        <v>357.27183934545121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50.145571094486257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50.145571094486257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65.137155408664697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65.137155408664697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3.0869565217391299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11.318840579710143</v>
      </c>
      <c r="H70" s="66">
        <f t="shared" si="56"/>
        <v>211.39130434782609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65.221514890632562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15.211111111111116</v>
      </c>
      <c r="N70" s="13">
        <f>IF('Données projet'!$A$36&gt;35,N69+M70-V69,IF(A70&lt;'Données projet'!$A$36,$K$205^A70,IF(A70='Données projet'!$A$36,'Données projet'!$B$36,N69+M70-V69)))</f>
        <v>367.68111111111051</v>
      </c>
      <c r="O70" s="13">
        <f>N70*VLOOKUP('Données projet'!$B$9,Paramètres!$A$1:$I$89,3,0)*VLOOKUP('Données projet'!$B$9,Paramètres!$A$1:$I$89,5,0)</f>
        <v>172.07475999999974</v>
      </c>
      <c r="P70" s="13">
        <f t="shared" si="87"/>
        <v>43.554372236184811</v>
      </c>
      <c r="Q70" s="20">
        <f t="shared" si="54"/>
        <v>375.55407197802145</v>
      </c>
      <c r="R70" s="59">
        <f t="shared" si="55"/>
        <v>651.36629324367414</v>
      </c>
      <c r="S70" s="59">
        <f ca="1">AVERAGE(OFFSET($R$3,0,0,'Données projet'!$E$9+1,1))-AVERAGE(OFFSET($H$3,0,0,'Données projet'!$E$9+1,1))</f>
        <v>320.30433416149219</v>
      </c>
      <c r="T70" s="59">
        <f t="shared" si="88"/>
        <v>201.33422682092797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102.23323989570275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102.23323989570275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65.221514890632562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</v>
      </c>
      <c r="AI70" s="13">
        <f>IF('Données projet'!$A$62&gt;35,AI69+AH70-AQ69,IF(A70&lt;'Données projet'!$A$62,$AF$205^A70,IF(A70='Données projet'!$A$62,'Données projet'!$B$62,AI69+AH70-AQ69)))</f>
        <v>688.00000000000023</v>
      </c>
      <c r="AJ70" s="13">
        <f>AI70*VLOOKUP('Données projet'!$B$10,Paramètres!$A$1:$I$89,3,0)*VLOOKUP('Données projet'!$B$10,Paramètres!$A$1:$I$89,5,0)</f>
        <v>411.42400000000021</v>
      </c>
      <c r="AK70" s="13">
        <f t="shared" si="89"/>
        <v>94.088896505909247</v>
      </c>
      <c r="AL70" s="20">
        <f t="shared" si="58"/>
        <v>880.43496141445894</v>
      </c>
      <c r="AM70" s="59">
        <f t="shared" si="59"/>
        <v>1156.2471826801116</v>
      </c>
      <c r="AN70" s="59">
        <f ca="1">AVERAGE(OFFSET($AM$3,0,0,'Données projet'!$E$10+1,1))-AVERAGE(OFFSET($H$3,0,0,'Données projet'!$E$10+1,1))</f>
        <v>569.80473816957431</v>
      </c>
      <c r="AO70" s="59">
        <f t="shared" si="90"/>
        <v>495.56567790763199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96.210186610406552</v>
      </c>
      <c r="AV70" s="21">
        <f>EXP(-LN(2)/25)*AV69+(1-EXP(-LN(2)/25))/(LN(2)/25)*Calculateur!AQ70*Calculateur!AS70*VLOOKUP('Données projet'!$B$10,Paramètres!$A$1:$I$89,3,0)*0.475*44/12</f>
        <v>23.452830388118347</v>
      </c>
      <c r="AW70" s="21">
        <f>EXP(-LN(2)/2)*AW69+(1-EXP(-LN(2)/2))/(LN(2)/2)*AQ70*AT70*VLOOKUP('Données projet'!$B$10,Paramètres!$A$1:$I$89,3,0)*0.475*44/12</f>
        <v>2.1187325108554034E-7</v>
      </c>
      <c r="AX70" s="21">
        <f t="shared" si="60"/>
        <v>119.66301721039815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65.221514890632562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-5.6843418860808015E-14</v>
      </c>
      <c r="BE70" s="13">
        <f>BD70*VLOOKUP('Données projet'!$B$11,Paramètres!$A$1:$I$89,3,0)*VLOOKUP('Données projet'!$B$11,Paramètres!$A$1:$I$89,5,0)</f>
        <v>-2.5006556825246661E-14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180.42749272334603</v>
      </c>
      <c r="BJ70" s="59">
        <f t="shared" si="92"/>
        <v>346.61476512497495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30.730621726194141</v>
      </c>
      <c r="BQ70" s="21">
        <f>EXP(-LN(2)/25)*BQ69+(1-EXP(-LN(2)/25))/(LN(2)/25)*Calculateur!BL70*Calculateur!BN70*VLOOKUP('Données projet'!$B$11,Paramètres!$A$1:$I$89,3,0)*0.475*44/12</f>
        <v>5.9381589369052721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36.668780663099412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65.221514890632562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11.28875</v>
      </c>
      <c r="BY70" s="12">
        <f>IF('Données projet'!$A$114&gt;35,BY69+BX70-CG69,IF(A70&lt;'Données projet'!$A$114,$BV$205^A70,IF(A70='Données projet'!$A$114,'Données projet'!$B$114,BY69+BX70-CG69)))</f>
        <v>303.53500000000003</v>
      </c>
      <c r="BZ70" s="13">
        <f>BY70*VLOOKUP('Données projet'!$B$12,Paramètres!$A$1:$I$89,3,0)*VLOOKUP('Données projet'!$B$12,Paramètres!$A$1:$I$89,5,0)</f>
        <v>274.63846799999999</v>
      </c>
      <c r="CA70" s="13">
        <f t="shared" si="93"/>
        <v>65.832691250400728</v>
      </c>
      <c r="CB70" s="20">
        <f t="shared" si="64"/>
        <v>592.98726902778128</v>
      </c>
      <c r="CC70" s="59">
        <f t="shared" si="65"/>
        <v>868.79949029343402</v>
      </c>
      <c r="CD70" s="59">
        <f ca="1">AVERAGE(OFFSET($CC$3,0,0,'Données projet'!$E$12+1,1))-AVERAGE(OFFSET($H$3,0,0,'Données projet'!$E$12+1,1))</f>
        <v>553.16421218123958</v>
      </c>
      <c r="CE70" s="59">
        <f t="shared" si="94"/>
        <v>291.73668613844416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87.398375631983811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87.398375631983811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65.221514890632562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11.28875</v>
      </c>
      <c r="CT70" s="12">
        <f>IF('Données projet'!$A$140&gt;35,CT69+CS70-DB69,IF(A70&lt;'Données projet'!$A$140,$CQ$205^A70,IF(A70='Données projet'!$A$140,'Données projet'!$B$140,CT69+CS70-DB69)))</f>
        <v>303.53500000000003</v>
      </c>
      <c r="CU70" s="17">
        <f>CT70*VLOOKUP('Données projet'!$B$13,Paramètres!$A$1:$I$89,3,0)*VLOOKUP('Données projet'!$B$13,Paramètres!$A$1:$I$89,5,0)</f>
        <v>307.78449000000006</v>
      </c>
      <c r="CV70" s="13">
        <f t="shared" si="95"/>
        <v>72.805950538466206</v>
      </c>
      <c r="CW70" s="20">
        <f t="shared" si="67"/>
        <v>662.86168393782884</v>
      </c>
      <c r="CX70" s="59">
        <f t="shared" si="68"/>
        <v>938.67390520348158</v>
      </c>
      <c r="CY70" s="59">
        <f ca="1">AVERAGE(OFFSET($CX$3,0,0,'Données projet'!$E$13+1,1))-AVERAGE(OFFSET($H$3,0,0,'Données projet'!$E$13+1,1))</f>
        <v>611.82989382187804</v>
      </c>
      <c r="CZ70" s="59">
        <f t="shared" si="96"/>
        <v>320.34124600136363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97.946455449637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97.946455449637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65.221514890632562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11.28875</v>
      </c>
      <c r="DO70" s="12">
        <f>IF('Données projet'!$A$166&gt;35,DO69+DN70-DW69,IF(A70&lt;'Données projet'!$A$166,$DL$205^A70,IF(A70='Données projet'!$A$166,'Données projet'!$B$166,DO69+DN70-DW69)))</f>
        <v>303.53500000000003</v>
      </c>
      <c r="DP70" s="17">
        <f>DO70*VLOOKUP('Données projet'!$B$14,Paramètres!$A$1:$I$89,3,0)*VLOOKUP('Données projet'!$B$14,Paramètres!$A$1:$I$89,5,0)</f>
        <v>326.72507400000001</v>
      </c>
      <c r="DQ70" s="13">
        <f t="shared" si="97"/>
        <v>76.75093784030895</v>
      </c>
      <c r="DR70" s="20">
        <f t="shared" si="70"/>
        <v>702.72072062187135</v>
      </c>
      <c r="DS70" s="59">
        <f t="shared" si="71"/>
        <v>978.53294188752409</v>
      </c>
      <c r="DT70" s="59">
        <f ca="1">AVERAGE(OFFSET($DS$3,0,0,'Données projet'!$E$14+1,1))-AVERAGE(OFFSET($H$3,0,0,'Données projet'!$E$14+1,1))</f>
        <v>645.29541304800614</v>
      </c>
      <c r="DU70" s="59">
        <f t="shared" si="98"/>
        <v>336.65580771733323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103.97392963115311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103.97392963115311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65.221514890632562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4.5999999999999996</v>
      </c>
      <c r="EJ70" s="12">
        <f>IF('Données projet'!$A$192&gt;35,EJ69+EI70-ER69,IF(A70&lt;'Données projet'!$A$192,$EG$205^A70,IF(A70='Données projet'!$A$192,'Données projet'!$B$192,EJ69+EI70-ER69)))</f>
        <v>302.19999999999987</v>
      </c>
      <c r="EK70" s="17">
        <f>EJ70*VLOOKUP('Données projet'!$B$15,Paramètres!$A$1:$I$89,3,0)*VLOOKUP('Données projet'!$B$15,Paramètres!$A$1:$I$89,5,0)</f>
        <v>221.57303999999991</v>
      </c>
      <c r="EL70" s="13">
        <f t="shared" si="99"/>
        <v>54.456636294321989</v>
      </c>
      <c r="EM70" s="20">
        <f t="shared" si="73"/>
        <v>480.75168621261065</v>
      </c>
      <c r="EN70" s="59">
        <f t="shared" si="74"/>
        <v>756.56390747826345</v>
      </c>
      <c r="EO70" s="59">
        <f ca="1">AVERAGE(OFFSET($EN$3,0,0,'Données projet'!$E$15+1,1))-AVERAGE(OFFSET($H$3,0,0,'Données projet'!$E$15+1,1))</f>
        <v>343.31122043016137</v>
      </c>
      <c r="EP70" s="59">
        <f t="shared" si="100"/>
        <v>333.61098411258877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36.758010081337936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36.758010081337936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65.221514890632562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4.5999999999999996</v>
      </c>
      <c r="FE70" s="12">
        <f>IF('Données projet'!$A$218&gt;35,FE69+FD70-FM69,IF(A70&lt;'Données projet'!$A$218,$FB$205^A70,IF(A70='Données projet'!$A$218,'Données projet'!$B$218,FE69+FD70-FM69)))</f>
        <v>302.19999999999987</v>
      </c>
      <c r="FF70" s="17">
        <f>FE70*VLOOKUP('Données projet'!$B$16,Paramètres!$A$1:$I$89,3,0)*VLOOKUP('Données projet'!$B$16,Paramètres!$A$1:$I$89,5,0)</f>
        <v>240.43031999999991</v>
      </c>
      <c r="FG70" s="13">
        <f t="shared" si="101"/>
        <v>58.532106271380506</v>
      </c>
      <c r="FH70" s="20">
        <f t="shared" si="76"/>
        <v>520.69289242265415</v>
      </c>
      <c r="FI70" s="59">
        <f t="shared" si="77"/>
        <v>796.50511368830689</v>
      </c>
      <c r="FJ70" s="59">
        <f ca="1">AVERAGE(OFFSET($FI$3,0,0,'Données projet'!$E$16+1,1))-AVERAGE(OFFSET($H$3,0,0,'Données projet'!$E$16+1,1))</f>
        <v>368.12945163484585</v>
      </c>
      <c r="FK70" s="59">
        <f t="shared" si="102"/>
        <v>357.27183934545121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49.162247031101657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49.162247031101657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65.221514890632562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65.221514890632562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3.0869565217391299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11.318840579710143</v>
      </c>
      <c r="H71" s="66">
        <f t="shared" si="56"/>
        <v>211.39130434782609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65.30441092418782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15.211111111111116</v>
      </c>
      <c r="N71" s="13">
        <f>IF('Données projet'!$A$36&gt;35,N70+M71-V70,IF(A71&lt;'Données projet'!$A$36,$K$205^A71,IF(A71='Données projet'!$A$36,'Données projet'!$B$36,N70+M71-V70)))</f>
        <v>382.89222222222162</v>
      </c>
      <c r="O71" s="13">
        <f>N71*VLOOKUP('Données projet'!$B$9,Paramètres!$A$1:$I$89,3,0)*VLOOKUP('Données projet'!$B$9,Paramètres!$A$1:$I$89,5,0)</f>
        <v>179.19355999999974</v>
      </c>
      <c r="P71" s="13">
        <f t="shared" si="87"/>
        <v>45.14272126309222</v>
      </c>
      <c r="Q71" s="20">
        <f t="shared" si="54"/>
        <v>390.71902319988516</v>
      </c>
      <c r="R71" s="59">
        <f t="shared" si="55"/>
        <v>666.83519658857381</v>
      </c>
      <c r="S71" s="59">
        <f ca="1">AVERAGE(OFFSET($R$3,0,0,'Données projet'!$E$9+1,1))-AVERAGE(OFFSET($H$3,0,0,'Données projet'!$E$9+1,1))</f>
        <v>320.30433416149219</v>
      </c>
      <c r="T71" s="59">
        <f t="shared" si="88"/>
        <v>201.33422682092797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100.2285084174672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100.2285084174672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65.30441092418782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</v>
      </c>
      <c r="AI71" s="13">
        <f>IF('Données projet'!$A$62&gt;35,AI70+AH71-AQ70,IF(A71&lt;'Données projet'!$A$62,$AF$205^A71,IF(A71='Données projet'!$A$62,'Données projet'!$B$62,AI70+AH71-AQ70)))</f>
        <v>703.00000000000023</v>
      </c>
      <c r="AJ71" s="13">
        <f>AI71*VLOOKUP('Données projet'!$B$10,Paramètres!$A$1:$I$89,3,0)*VLOOKUP('Données projet'!$B$10,Paramètres!$A$1:$I$89,5,0)</f>
        <v>420.39400000000018</v>
      </c>
      <c r="AK71" s="13">
        <f t="shared" si="89"/>
        <v>95.899193810129589</v>
      </c>
      <c r="AL71" s="20">
        <f t="shared" si="58"/>
        <v>899.21064588597585</v>
      </c>
      <c r="AM71" s="59">
        <f t="shared" si="59"/>
        <v>1175.3268192746646</v>
      </c>
      <c r="AN71" s="59">
        <f ca="1">AVERAGE(OFFSET($AM$3,0,0,'Données projet'!$E$10+1,1))-AVERAGE(OFFSET($H$3,0,0,'Données projet'!$E$10+1,1))</f>
        <v>569.80473816957431</v>
      </c>
      <c r="AO71" s="59">
        <f t="shared" si="90"/>
        <v>495.56567790763199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94.323563533395898</v>
      </c>
      <c r="AV71" s="21">
        <f>EXP(-LN(2)/25)*AV70+(1-EXP(-LN(2)/25))/(LN(2)/25)*Calculateur!AQ71*Calculateur!AS71*VLOOKUP('Données projet'!$B$10,Paramètres!$A$1:$I$89,3,0)*0.475*44/12</f>
        <v>22.811511507824502</v>
      </c>
      <c r="AW71" s="21">
        <f>EXP(-LN(2)/2)*AW70+(1-EXP(-LN(2)/2))/(LN(2)/2)*AQ71*AT71*VLOOKUP('Données projet'!$B$10,Paramètres!$A$1:$I$89,3,0)*0.475*44/12</f>
        <v>1.4981701259462561E-7</v>
      </c>
      <c r="AX71" s="21">
        <f t="shared" si="60"/>
        <v>117.13507519103742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65.30441092418782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-5.6843418860808015E-14</v>
      </c>
      <c r="BE71" s="13">
        <f>BD71*VLOOKUP('Données projet'!$B$11,Paramètres!$A$1:$I$89,3,0)*VLOOKUP('Données projet'!$B$11,Paramètres!$A$1:$I$89,5,0)</f>
        <v>-2.5006556825246661E-14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180.42749272334603</v>
      </c>
      <c r="BJ71" s="59">
        <f t="shared" si="92"/>
        <v>346.61476512497495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30.128012977971927</v>
      </c>
      <c r="BQ71" s="21">
        <f>EXP(-LN(2)/25)*BQ70+(1-EXP(-LN(2)/25))/(LN(2)/25)*Calculateur!BL71*Calculateur!BN71*VLOOKUP('Données projet'!$B$11,Paramètres!$A$1:$I$89,3,0)*0.475*44/12</f>
        <v>5.7757796685013911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35.90379264647332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65.30441092418782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11.28875</v>
      </c>
      <c r="BY71" s="12">
        <f>IF('Données projet'!$A$114&gt;35,BY70+BX71-CG70,IF(A71&lt;'Données projet'!$A$114,$BV$205^A71,IF(A71='Données projet'!$A$114,'Données projet'!$B$114,BY70+BX71-CG70)))</f>
        <v>314.82375000000002</v>
      </c>
      <c r="BZ71" s="13">
        <f>BY71*VLOOKUP('Données projet'!$B$12,Paramètres!$A$1:$I$89,3,0)*VLOOKUP('Données projet'!$B$12,Paramètres!$A$1:$I$89,5,0)</f>
        <v>284.852529</v>
      </c>
      <c r="CA71" s="13">
        <f t="shared" si="93"/>
        <v>67.991460031008771</v>
      </c>
      <c r="CB71" s="20">
        <f t="shared" si="64"/>
        <v>614.53661422900689</v>
      </c>
      <c r="CC71" s="59">
        <f t="shared" si="65"/>
        <v>890.65278761769559</v>
      </c>
      <c r="CD71" s="59">
        <f ca="1">AVERAGE(OFFSET($CC$3,0,0,'Données projet'!$E$12+1,1))-AVERAGE(OFFSET($H$3,0,0,'Données projet'!$E$12+1,1))</f>
        <v>553.16421218123958</v>
      </c>
      <c r="CE71" s="59">
        <f t="shared" si="94"/>
        <v>291.73668613844416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85.684546793586037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85.684546793586037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65.30441092418782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11.28875</v>
      </c>
      <c r="CT71" s="12">
        <f>IF('Données projet'!$A$140&gt;35,CT70+CS71-DB70,IF(A71&lt;'Données projet'!$A$140,$CQ$205^A71,IF(A71='Données projet'!$A$140,'Données projet'!$B$140,CT70+CS71-DB70)))</f>
        <v>314.82375000000002</v>
      </c>
      <c r="CU71" s="17">
        <f>CT71*VLOOKUP('Données projet'!$B$13,Paramètres!$A$1:$I$89,3,0)*VLOOKUP('Données projet'!$B$13,Paramètres!$A$1:$I$89,5,0)</f>
        <v>319.23128250000002</v>
      </c>
      <c r="CV71" s="13">
        <f t="shared" si="95"/>
        <v>75.193384654855564</v>
      </c>
      <c r="CW71" s="20">
        <f t="shared" si="67"/>
        <v>686.95629529470671</v>
      </c>
      <c r="CX71" s="59">
        <f t="shared" si="68"/>
        <v>963.0724686833953</v>
      </c>
      <c r="CY71" s="59">
        <f ca="1">AVERAGE(OFFSET($CX$3,0,0,'Données projet'!$E$13+1,1))-AVERAGE(OFFSET($H$3,0,0,'Données projet'!$E$13+1,1))</f>
        <v>611.82989382187804</v>
      </c>
      <c r="CZ71" s="59">
        <f t="shared" si="96"/>
        <v>320.34124600136363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96.025785199708466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96.025785199708466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65.30441092418782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11.28875</v>
      </c>
      <c r="DO71" s="12">
        <f>IF('Données projet'!$A$166&gt;35,DO70+DN71-DW70,IF(A71&lt;'Données projet'!$A$166,$DL$205^A71,IF(A71='Données projet'!$A$166,'Données projet'!$B$166,DO70+DN71-DW70)))</f>
        <v>314.82375000000002</v>
      </c>
      <c r="DP71" s="17">
        <f>DO71*VLOOKUP('Données projet'!$B$14,Paramètres!$A$1:$I$89,3,0)*VLOOKUP('Données projet'!$B$14,Paramètres!$A$1:$I$89,5,0)</f>
        <v>338.8762845</v>
      </c>
      <c r="DQ71" s="13">
        <f t="shared" si="97"/>
        <v>79.267734971719548</v>
      </c>
      <c r="DR71" s="20">
        <f t="shared" si="70"/>
        <v>728.26750057991148</v>
      </c>
      <c r="DS71" s="59">
        <f t="shared" si="71"/>
        <v>1004.3836739686001</v>
      </c>
      <c r="DT71" s="59">
        <f ca="1">AVERAGE(OFFSET($DS$3,0,0,'Données projet'!$E$14+1,1))-AVERAGE(OFFSET($H$3,0,0,'Données projet'!$E$14+1,1))</f>
        <v>645.29541304800614</v>
      </c>
      <c r="DU71" s="59">
        <f t="shared" si="98"/>
        <v>336.65580771733323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101.93506428892128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101.93506428892128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65.30441092418782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4.5999999999999996</v>
      </c>
      <c r="EJ71" s="12">
        <f>IF('Données projet'!$A$192&gt;35,EJ70+EI71-ER70,IF(A71&lt;'Données projet'!$A$192,$EG$205^A71,IF(A71='Données projet'!$A$192,'Données projet'!$B$192,EJ70+EI71-ER70)))</f>
        <v>306.7999999999999</v>
      </c>
      <c r="EK71" s="17">
        <f>EJ71*VLOOKUP('Données projet'!$B$15,Paramètres!$A$1:$I$89,3,0)*VLOOKUP('Données projet'!$B$15,Paramètres!$A$1:$I$89,5,0)</f>
        <v>224.94575999999992</v>
      </c>
      <c r="EL71" s="13">
        <f t="shared" si="99"/>
        <v>55.188427424815572</v>
      </c>
      <c r="EM71" s="20">
        <f t="shared" si="73"/>
        <v>487.90037643155364</v>
      </c>
      <c r="EN71" s="59">
        <f t="shared" si="74"/>
        <v>764.01654982024229</v>
      </c>
      <c r="EO71" s="59">
        <f ca="1">AVERAGE(OFFSET($EN$3,0,0,'Données projet'!$E$15+1,1))-AVERAGE(OFFSET($H$3,0,0,'Données projet'!$E$15+1,1))</f>
        <v>343.31122043016137</v>
      </c>
      <c r="EP71" s="59">
        <f t="shared" si="100"/>
        <v>333.61098411258877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36.037207923815238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36.037207923815238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65.30441092418782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4.5999999999999996</v>
      </c>
      <c r="FE71" s="12">
        <f>IF('Données projet'!$A$218&gt;35,FE70+FD71-FM70,IF(A71&lt;'Données projet'!$A$218,$FB$205^A71,IF(A71='Données projet'!$A$218,'Données projet'!$B$218,FE70+FD71-FM70)))</f>
        <v>306.7999999999999</v>
      </c>
      <c r="FF71" s="17">
        <f>FE71*VLOOKUP('Données projet'!$B$16,Paramètres!$A$1:$I$89,3,0)*VLOOKUP('Données projet'!$B$16,Paramètres!$A$1:$I$89,5,0)</f>
        <v>244.09007999999994</v>
      </c>
      <c r="FG71" s="13">
        <f t="shared" si="101"/>
        <v>59.318663780863893</v>
      </c>
      <c r="FH71" s="20">
        <f t="shared" si="76"/>
        <v>528.43689541833794</v>
      </c>
      <c r="FI71" s="59">
        <f t="shared" si="77"/>
        <v>804.55306880702665</v>
      </c>
      <c r="FJ71" s="59">
        <f ca="1">AVERAGE(OFFSET($FI$3,0,0,'Données projet'!$E$16+1,1))-AVERAGE(OFFSET($H$3,0,0,'Données projet'!$E$16+1,1))</f>
        <v>368.12945163484585</v>
      </c>
      <c r="FK71" s="59">
        <f t="shared" si="102"/>
        <v>357.27183934545121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48.198205352831572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48.198205352831572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65.30441092418782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65.30441092418782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3.0869565217391299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11.318840579710143</v>
      </c>
      <c r="H72" s="66">
        <f t="shared" si="56"/>
        <v>211.39130434782609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65.385868896888667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15.211111111111116</v>
      </c>
      <c r="N72" s="13">
        <f>IF('Données projet'!$A$36&gt;35,N71+M72-V71,IF(A72&lt;'Données projet'!$A$36,$K$205^A72,IF(A72='Données projet'!$A$36,'Données projet'!$B$36,N71+M72-V71)))</f>
        <v>398.10333333333273</v>
      </c>
      <c r="O72" s="13">
        <f>N72*VLOOKUP('Données projet'!$B$9,Paramètres!$A$1:$I$89,3,0)*VLOOKUP('Données projet'!$B$9,Paramètres!$A$1:$I$89,5,0)</f>
        <v>186.31235999999973</v>
      </c>
      <c r="P72" s="13">
        <f t="shared" si="87"/>
        <v>46.723740353090498</v>
      </c>
      <c r="Q72" s="20">
        <f t="shared" si="54"/>
        <v>405.87120811496544</v>
      </c>
      <c r="R72" s="59">
        <f t="shared" si="55"/>
        <v>682.28606073689048</v>
      </c>
      <c r="S72" s="59">
        <f ca="1">AVERAGE(OFFSET($R$3,0,0,'Données projet'!$E$9+1,1))-AVERAGE(OFFSET($H$3,0,0,'Données projet'!$E$9+1,1))</f>
        <v>320.30433416149219</v>
      </c>
      <c r="T72" s="59">
        <f t="shared" si="88"/>
        <v>201.33422682092797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98.263088500754378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98.263088500754378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65.385868896888667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</v>
      </c>
      <c r="AI72" s="13">
        <f>IF('Données projet'!$A$62&gt;35,AI71+AH72-AQ71,IF(A72&lt;'Données projet'!$A$62,$AF$205^A72,IF(A72='Données projet'!$A$62,'Données projet'!$B$62,AI71+AH72-AQ71)))</f>
        <v>718.00000000000023</v>
      </c>
      <c r="AJ72" s="13">
        <f>AI72*VLOOKUP('Données projet'!$B$10,Paramètres!$A$1:$I$89,3,0)*VLOOKUP('Données projet'!$B$10,Paramètres!$A$1:$I$89,5,0)</f>
        <v>429.3640000000002</v>
      </c>
      <c r="AK72" s="13">
        <f t="shared" si="89"/>
        <v>97.705000203350153</v>
      </c>
      <c r="AL72" s="20">
        <f t="shared" si="58"/>
        <v>917.97850868750186</v>
      </c>
      <c r="AM72" s="59">
        <f t="shared" si="59"/>
        <v>1194.3933613094268</v>
      </c>
      <c r="AN72" s="59">
        <f ca="1">AVERAGE(OFFSET($AM$3,0,0,'Données projet'!$E$10+1,1))-AVERAGE(OFFSET($H$3,0,0,'Données projet'!$E$10+1,1))</f>
        <v>569.80473816957431</v>
      </c>
      <c r="AO72" s="59">
        <f t="shared" si="90"/>
        <v>495.56567790763199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92.473935984198974</v>
      </c>
      <c r="AV72" s="21">
        <f>EXP(-LN(2)/25)*AV71+(1-EXP(-LN(2)/25))/(LN(2)/25)*Calculateur!AQ72*Calculateur!AS72*VLOOKUP('Données projet'!$B$10,Paramètres!$A$1:$I$89,3,0)*0.475*44/12</f>
        <v>22.187729526037788</v>
      </c>
      <c r="AW72" s="21">
        <f>EXP(-LN(2)/2)*AW71+(1-EXP(-LN(2)/2))/(LN(2)/2)*AQ72*AT72*VLOOKUP('Données projet'!$B$10,Paramètres!$A$1:$I$89,3,0)*0.475*44/12</f>
        <v>1.0593662554277017E-7</v>
      </c>
      <c r="AX72" s="21">
        <f t="shared" si="60"/>
        <v>114.66166561617338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65.385868896888667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-5.6843418860808015E-14</v>
      </c>
      <c r="BE72" s="13">
        <f>BD72*VLOOKUP('Données projet'!$B$11,Paramètres!$A$1:$I$89,3,0)*VLOOKUP('Données projet'!$B$11,Paramètres!$A$1:$I$89,5,0)</f>
        <v>-2.5006556825246661E-14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180.42749272334603</v>
      </c>
      <c r="BJ72" s="59">
        <f t="shared" si="92"/>
        <v>346.61476512497495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29.537221019747307</v>
      </c>
      <c r="BQ72" s="21">
        <f>EXP(-LN(2)/25)*BQ71+(1-EXP(-LN(2)/25))/(LN(2)/25)*Calculateur!BL72*Calculateur!BN72*VLOOKUP('Données projet'!$B$11,Paramètres!$A$1:$I$89,3,0)*0.475*44/12</f>
        <v>5.6178406697311685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35.155061689478472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65.385868896888667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11.28875</v>
      </c>
      <c r="BY72" s="12">
        <f>IF('Données projet'!$A$114&gt;35,BY71+BX72-CG71,IF(A72&lt;'Données projet'!$A$114,$BV$205^A72,IF(A72='Données projet'!$A$114,'Données projet'!$B$114,BY71+BX72-CG71)))</f>
        <v>326.11250000000001</v>
      </c>
      <c r="BZ72" s="13">
        <f>BY72*VLOOKUP('Données projet'!$B$12,Paramètres!$A$1:$I$89,3,0)*VLOOKUP('Données projet'!$B$12,Paramètres!$A$1:$I$89,5,0)</f>
        <v>295.06659000000002</v>
      </c>
      <c r="CA72" s="13">
        <f t="shared" si="93"/>
        <v>70.141235290018571</v>
      </c>
      <c r="CB72" s="20">
        <f t="shared" si="64"/>
        <v>636.07029571344913</v>
      </c>
      <c r="CC72" s="59">
        <f t="shared" si="65"/>
        <v>912.48514833537422</v>
      </c>
      <c r="CD72" s="59">
        <f ca="1">AVERAGE(OFFSET($CC$3,0,0,'Données projet'!$E$12+1,1))-AVERAGE(OFFSET($H$3,0,0,'Données projet'!$E$12+1,1))</f>
        <v>553.16421218123958</v>
      </c>
      <c r="CE72" s="59">
        <f t="shared" si="94"/>
        <v>291.73668613844416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84.004325093376877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84.004325093376877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65.385868896888667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11.28875</v>
      </c>
      <c r="CT72" s="12">
        <f>IF('Données projet'!$A$140&gt;35,CT71+CS72-DB71,IF(A72&lt;'Données projet'!$A$140,$CQ$205^A72,IF(A72='Données projet'!$A$140,'Données projet'!$B$140,CT71+CS72-DB71)))</f>
        <v>326.11250000000001</v>
      </c>
      <c r="CU72" s="17">
        <f>CT72*VLOOKUP('Données projet'!$B$13,Paramètres!$A$1:$I$89,3,0)*VLOOKUP('Données projet'!$B$13,Paramètres!$A$1:$I$89,5,0)</f>
        <v>330.67807500000004</v>
      </c>
      <c r="CV72" s="13">
        <f t="shared" si="95"/>
        <v>77.570872620233771</v>
      </c>
      <c r="CW72" s="20">
        <f t="shared" si="67"/>
        <v>711.03358377190716</v>
      </c>
      <c r="CX72" s="59">
        <f t="shared" si="68"/>
        <v>987.44843639383225</v>
      </c>
      <c r="CY72" s="59">
        <f ca="1">AVERAGE(OFFSET($CX$3,0,0,'Données projet'!$E$13+1,1))-AVERAGE(OFFSET($H$3,0,0,'Données projet'!$E$13+1,1))</f>
        <v>611.82989382187804</v>
      </c>
      <c r="CZ72" s="59">
        <f t="shared" si="96"/>
        <v>320.34124600136363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94.142778121887858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94.142778121887858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65.385868896888667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11.28875</v>
      </c>
      <c r="DO72" s="12">
        <f>IF('Données projet'!$A$166&gt;35,DO71+DN72-DW71,IF(A72&lt;'Données projet'!$A$166,$DL$205^A72,IF(A72='Données projet'!$A$166,'Données projet'!$B$166,DO71+DN72-DW71)))</f>
        <v>326.11250000000001</v>
      </c>
      <c r="DP72" s="17">
        <f>DO72*VLOOKUP('Données projet'!$B$14,Paramètres!$A$1:$I$89,3,0)*VLOOKUP('Données projet'!$B$14,Paramètres!$A$1:$I$89,5,0)</f>
        <v>351.02749499999999</v>
      </c>
      <c r="DQ72" s="13">
        <f t="shared" si="97"/>
        <v>81.774047020353763</v>
      </c>
      <c r="DR72" s="20">
        <f t="shared" si="70"/>
        <v>753.79601901878277</v>
      </c>
      <c r="DS72" s="59">
        <f t="shared" si="71"/>
        <v>1030.2108716407079</v>
      </c>
      <c r="DT72" s="59">
        <f ca="1">AVERAGE(OFFSET($DS$3,0,0,'Données projet'!$E$14+1,1))-AVERAGE(OFFSET($H$3,0,0,'Données projet'!$E$14+1,1))</f>
        <v>645.29541304800614</v>
      </c>
      <c r="DU72" s="59">
        <f t="shared" si="98"/>
        <v>336.65580771733323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99.936179852465557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99.936179852465557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65.385868896888667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4.5999999999999996</v>
      </c>
      <c r="EJ72" s="12">
        <f>IF('Données projet'!$A$192&gt;35,EJ71+EI72-ER71,IF(A72&lt;'Données projet'!$A$192,$EG$205^A72,IF(A72='Données projet'!$A$192,'Données projet'!$B$192,EJ71+EI72-ER71)))</f>
        <v>311.39999999999992</v>
      </c>
      <c r="EK72" s="17">
        <f>EJ72*VLOOKUP('Données projet'!$B$15,Paramètres!$A$1:$I$89,3,0)*VLOOKUP('Données projet'!$B$15,Paramètres!$A$1:$I$89,5,0)</f>
        <v>228.31847999999994</v>
      </c>
      <c r="EL72" s="13">
        <f t="shared" si="99"/>
        <v>55.918942466546987</v>
      </c>
      <c r="EM72" s="20">
        <f t="shared" si="73"/>
        <v>495.04684412923598</v>
      </c>
      <c r="EN72" s="59">
        <f t="shared" si="74"/>
        <v>771.46169675116107</v>
      </c>
      <c r="EO72" s="59">
        <f ca="1">AVERAGE(OFFSET($EN$3,0,0,'Données projet'!$E$15+1,1))-AVERAGE(OFFSET($H$3,0,0,'Données projet'!$E$15+1,1))</f>
        <v>343.31122043016137</v>
      </c>
      <c r="EP72" s="59">
        <f t="shared" si="100"/>
        <v>333.61098411258877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35.330540256955658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35.330540256955658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65.385868896888667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4.5999999999999996</v>
      </c>
      <c r="FE72" s="12">
        <f>IF('Données projet'!$A$218&gt;35,FE71+FD72-FM71,IF(A72&lt;'Données projet'!$A$218,$FB$205^A72,IF(A72='Données projet'!$A$218,'Données projet'!$B$218,FE71+FD72-FM71)))</f>
        <v>311.39999999999992</v>
      </c>
      <c r="FF72" s="17">
        <f>FE72*VLOOKUP('Données projet'!$B$16,Paramètres!$A$1:$I$89,3,0)*VLOOKUP('Données projet'!$B$16,Paramètres!$A$1:$I$89,5,0)</f>
        <v>247.74983999999995</v>
      </c>
      <c r="FG72" s="13">
        <f t="shared" si="101"/>
        <v>60.103849700617872</v>
      </c>
      <c r="FH72" s="20">
        <f t="shared" si="76"/>
        <v>536.17850956190932</v>
      </c>
      <c r="FI72" s="59">
        <f t="shared" si="77"/>
        <v>812.59336218383442</v>
      </c>
      <c r="FJ72" s="59">
        <f ca="1">AVERAGE(OFFSET($FI$3,0,0,'Données projet'!$E$16+1,1))-AVERAGE(OFFSET($H$3,0,0,'Données projet'!$E$16+1,1))</f>
        <v>368.12945163484585</v>
      </c>
      <c r="FK72" s="59">
        <f t="shared" si="102"/>
        <v>357.27183934545121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47.253067943864998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47.253067943864998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65.385868896888667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65.385868896888667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3.0869565217391299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11.318840579710143</v>
      </c>
      <c r="H73" s="66">
        <f t="shared" si="56"/>
        <v>211.39130434782609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65.465913755875903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15.211111111111116</v>
      </c>
      <c r="N73" s="13">
        <f>IF('Données projet'!$A$36&gt;35,N72+M73-V72,IF(A73&lt;'Données projet'!$A$36,$K$205^A73,IF(A73='Données projet'!$A$36,'Données projet'!$B$36,N72+M73-V72)))</f>
        <v>413.31444444444384</v>
      </c>
      <c r="O73" s="13">
        <f>N73*VLOOKUP('Données projet'!$B$9,Paramètres!$A$1:$I$89,3,0)*VLOOKUP('Données projet'!$B$9,Paramètres!$A$1:$I$89,5,0)</f>
        <v>193.43115999999972</v>
      </c>
      <c r="P73" s="13">
        <f t="shared" si="87"/>
        <v>48.297741635801991</v>
      </c>
      <c r="Q73" s="20">
        <f t="shared" si="54"/>
        <v>421.01117034902131</v>
      </c>
      <c r="R73" s="59">
        <f t="shared" si="55"/>
        <v>697.71952078723302</v>
      </c>
      <c r="S73" s="59">
        <f ca="1">AVERAGE(OFFSET($R$3,0,0,'Données projet'!$E$9+1,1))-AVERAGE(OFFSET($H$3,0,0,'Données projet'!$E$9+1,1))</f>
        <v>320.30433416149219</v>
      </c>
      <c r="T73" s="59">
        <f t="shared" si="88"/>
        <v>201.33422682092797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96.336209269820529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96.336209269820529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65.465913755875903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733</v>
      </c>
      <c r="AG73" s="12">
        <f>VLOOKUP(A73,'Données projet'!$A$61:$I$81,9,0)</f>
        <v>15</v>
      </c>
      <c r="AH73" s="12">
        <f t="array" ref="AH73">INDEX(AG:AG,MIN(IF(ISNUMBER(AG73:AG269),ROW(AG73:AG269),"")))</f>
        <v>15</v>
      </c>
      <c r="AI73" s="13">
        <f>IF('Données projet'!$A$62&gt;35,AI72+AH73-AQ72,IF(A73&lt;'Données projet'!$A$62,$AF$205^A73,IF(A73='Données projet'!$A$62,'Données projet'!$B$62,AI72+AH73-AQ72)))</f>
        <v>733.00000000000023</v>
      </c>
      <c r="AJ73" s="13">
        <f>AI73*VLOOKUP('Données projet'!$B$10,Paramètres!$A$1:$I$89,3,0)*VLOOKUP('Données projet'!$B$10,Paramètres!$A$1:$I$89,5,0)</f>
        <v>438.33400000000017</v>
      </c>
      <c r="AK73" s="13">
        <f t="shared" si="89"/>
        <v>99.506420315742801</v>
      </c>
      <c r="AL73" s="20">
        <f t="shared" si="58"/>
        <v>936.73873204991912</v>
      </c>
      <c r="AM73" s="59">
        <f t="shared" si="59"/>
        <v>1213.4470824881307</v>
      </c>
      <c r="AN73" s="59">
        <f ca="1">AVERAGE(OFFSET($AM$3,0,0,'Données projet'!$E$10+1,1))-AVERAGE(OFFSET($H$3,0,0,'Données projet'!$E$10+1,1))</f>
        <v>569.80473816957431</v>
      </c>
      <c r="AO73" s="59">
        <f t="shared" si="90"/>
        <v>495.56567790763199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34</v>
      </c>
      <c r="AR73" s="16">
        <f>IF(ISNA(VLOOKUP(A73,'Données projet'!$A$61:$I$81,5,0)),0%,VLOOKUP(A73,'Données projet'!$A$61:$I$81,5,0)*VLOOKUP('Données projet'!$B$10,Paramètres!$A$1:$I$89,7,0))</f>
        <v>0.45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102.79784733167892</v>
      </c>
      <c r="AV73" s="21">
        <f>EXP(-LN(2)/25)*AV72+(1-EXP(-LN(2)/25))/(LN(2)/25)*Calculateur!AQ73*Calculateur!AS73*VLOOKUP('Données projet'!$B$10,Paramètres!$A$1:$I$89,3,0)*0.475*44/12</f>
        <v>21.5810048953463</v>
      </c>
      <c r="AW73" s="21">
        <f>EXP(-LN(2)/2)*AW72+(1-EXP(-LN(2)/2))/(LN(2)/2)*AQ73*AT73*VLOOKUP('Données projet'!$B$10,Paramètres!$A$1:$I$89,3,0)*0.475*44/12</f>
        <v>7.4908506297312807E-8</v>
      </c>
      <c r="AX73" s="21">
        <f t="shared" si="60"/>
        <v>124.37885230193373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65.465913755875903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-5.6843418860808015E-14</v>
      </c>
      <c r="BE73" s="13">
        <f>BD73*VLOOKUP('Données projet'!$B$11,Paramètres!$A$1:$I$89,3,0)*VLOOKUP('Données projet'!$B$11,Paramètres!$A$1:$I$89,5,0)</f>
        <v>-2.5006556825246661E-14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180.42749272334603</v>
      </c>
      <c r="BJ73" s="59">
        <f t="shared" si="92"/>
        <v>346.61476512497495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28.958014131475959</v>
      </c>
      <c r="BQ73" s="21">
        <f>EXP(-LN(2)/25)*BQ72+(1-EXP(-LN(2)/25))/(LN(2)/25)*Calculateur!BL73*Calculateur!BN73*VLOOKUP('Données projet'!$B$11,Paramètres!$A$1:$I$89,3,0)*0.475*44/12</f>
        <v>5.4642205211879684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34.422234652663931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65.465913755875903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11.28875</v>
      </c>
      <c r="BY73" s="12">
        <f>IF('Données projet'!$A$114&gt;35,BY72+BX73-CG72,IF(A73&lt;'Données projet'!$A$114,$BV$205^A73,IF(A73='Données projet'!$A$114,'Données projet'!$B$114,BY72+BX73-CG72)))</f>
        <v>337.40125</v>
      </c>
      <c r="BZ73" s="13">
        <f>BY73*VLOOKUP('Données projet'!$B$12,Paramètres!$A$1:$I$89,3,0)*VLOOKUP('Données projet'!$B$12,Paramètres!$A$1:$I$89,5,0)</f>
        <v>305.28065099999998</v>
      </c>
      <c r="CA73" s="13">
        <f t="shared" si="93"/>
        <v>72.282364027590162</v>
      </c>
      <c r="CB73" s="20">
        <f t="shared" si="64"/>
        <v>657.58891783971956</v>
      </c>
      <c r="CC73" s="59">
        <f t="shared" si="65"/>
        <v>934.29726827793115</v>
      </c>
      <c r="CD73" s="59">
        <f ca="1">AVERAGE(OFFSET($CC$3,0,0,'Données projet'!$E$12+1,1))-AVERAGE(OFFSET($H$3,0,0,'Données projet'!$E$12+1,1))</f>
        <v>553.16421218123958</v>
      </c>
      <c r="CE73" s="59">
        <f t="shared" si="94"/>
        <v>291.73668613844416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82.357051515874772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82.357051515874772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65.465913755875903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11.28875</v>
      </c>
      <c r="CT73" s="12">
        <f>IF('Données projet'!$A$140&gt;35,CT72+CS73-DB72,IF(A73&lt;'Données projet'!$A$140,$CQ$205^A73,IF(A73='Données projet'!$A$140,'Données projet'!$B$140,CT72+CS73-DB72)))</f>
        <v>337.40125</v>
      </c>
      <c r="CU73" s="17">
        <f>CT73*VLOOKUP('Données projet'!$B$13,Paramètres!$A$1:$I$89,3,0)*VLOOKUP('Données projet'!$B$13,Paramètres!$A$1:$I$89,5,0)</f>
        <v>342.12486749999999</v>
      </c>
      <c r="CV73" s="13">
        <f t="shared" si="95"/>
        <v>79.938798190391537</v>
      </c>
      <c r="CW73" s="20">
        <f t="shared" si="67"/>
        <v>735.0942177440985</v>
      </c>
      <c r="CX73" s="59">
        <f t="shared" si="68"/>
        <v>1011.8025681823101</v>
      </c>
      <c r="CY73" s="59">
        <f ca="1">AVERAGE(OFFSET($CX$3,0,0,'Données projet'!$E$13+1,1))-AVERAGE(OFFSET($H$3,0,0,'Données projet'!$E$13+1,1))</f>
        <v>611.82989382187804</v>
      </c>
      <c r="CZ73" s="59">
        <f t="shared" si="96"/>
        <v>320.34124600136363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92.296695664342394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92.296695664342394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65.465913755875903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11.28875</v>
      </c>
      <c r="DO73" s="12">
        <f>IF('Données projet'!$A$166&gt;35,DO72+DN73-DW72,IF(A73&lt;'Données projet'!$A$166,$DL$205^A73,IF(A73='Données projet'!$A$166,'Données projet'!$B$166,DO72+DN73-DW72)))</f>
        <v>337.40125</v>
      </c>
      <c r="DP73" s="17">
        <f>DO73*VLOOKUP('Données projet'!$B$14,Paramètres!$A$1:$I$89,3,0)*VLOOKUP('Données projet'!$B$14,Paramètres!$A$1:$I$89,5,0)</f>
        <v>363.17870549999998</v>
      </c>
      <c r="DQ73" s="13">
        <f t="shared" si="97"/>
        <v>84.270278535793452</v>
      </c>
      <c r="DR73" s="20">
        <f t="shared" si="70"/>
        <v>779.30698052900698</v>
      </c>
      <c r="DS73" s="59">
        <f t="shared" si="71"/>
        <v>1056.0153309672187</v>
      </c>
      <c r="DT73" s="59">
        <f ca="1">AVERAGE(OFFSET($DS$3,0,0,'Données projet'!$E$14+1,1))-AVERAGE(OFFSET($H$3,0,0,'Données projet'!$E$14+1,1))</f>
        <v>645.29541304800614</v>
      </c>
      <c r="DU73" s="59">
        <f t="shared" si="98"/>
        <v>336.65580771733323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97.976492320609609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97.976492320609609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65.465913755875903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4.5999999999999996</v>
      </c>
      <c r="EI73" s="12">
        <f t="array" ref="EI73">INDEX(EH:EH,MIN(IF(ISNUMBER(EH73:EH269),ROW(EH73:EH269),"")))</f>
        <v>4.5999999999999996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231.69119999999992</v>
      </c>
      <c r="EL73" s="13">
        <f t="shared" si="99"/>
        <v>56.648202447537749</v>
      </c>
      <c r="EM73" s="20">
        <f t="shared" si="73"/>
        <v>502.19112592946141</v>
      </c>
      <c r="EN73" s="59">
        <f t="shared" si="74"/>
        <v>778.89947636767306</v>
      </c>
      <c r="EO73" s="59">
        <f ca="1">AVERAGE(OFFSET($EN$3,0,0,'Données projet'!$E$15+1,1))-AVERAGE(OFFSET($H$3,0,0,'Données projet'!$E$15+1,1))</f>
        <v>343.31122043016137</v>
      </c>
      <c r="EP73" s="59">
        <f t="shared" si="100"/>
        <v>333.61098411258877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0.43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39.168597543927675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39.168597543927675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65.465913755875903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316</v>
      </c>
      <c r="FC73" s="12">
        <f>VLOOKUP(A73,'Données projet'!$A$217:$I$237,9,0)</f>
        <v>4.5999999999999996</v>
      </c>
      <c r="FD73" s="12">
        <f t="array" ref="FD73">INDEX(FC:FC,MIN(IF(ISNUMBER(FC73:FC269),ROW(FC73:FC269),"")))</f>
        <v>4.5999999999999996</v>
      </c>
      <c r="FE73" s="12">
        <f>IF('Données projet'!$A$218&gt;35,FE72+FD73-FM72,IF(A73&lt;'Données projet'!$A$218,$FB$205^A73,IF(A73='Données projet'!$A$218,'Données projet'!$B$218,FE72+FD73-FM72)))</f>
        <v>315.99999999999994</v>
      </c>
      <c r="FF73" s="17">
        <f>FE73*VLOOKUP('Données projet'!$B$16,Paramètres!$A$1:$I$89,3,0)*VLOOKUP('Données projet'!$B$16,Paramètres!$A$1:$I$89,5,0)</f>
        <v>251.40959999999995</v>
      </c>
      <c r="FG73" s="13">
        <f t="shared" si="101"/>
        <v>60.887686632376123</v>
      </c>
      <c r="FH73" s="20">
        <f t="shared" si="76"/>
        <v>543.917774218055</v>
      </c>
      <c r="FI73" s="59">
        <f t="shared" si="77"/>
        <v>820.62612465626671</v>
      </c>
      <c r="FJ73" s="59">
        <f ca="1">AVERAGE(OFFSET($FI$3,0,0,'Données projet'!$E$16+1,1))-AVERAGE(OFFSET($H$3,0,0,'Données projet'!$E$16+1,1))</f>
        <v>368.12945163484585</v>
      </c>
      <c r="FK73" s="59">
        <f t="shared" si="102"/>
        <v>357.27183934545121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0.53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52.386303394971065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52.386303394971065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65.465913755875903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65.465913755875903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3.0869565217391299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11.318840579710143</v>
      </c>
      <c r="H74" s="66">
        <f t="shared" si="56"/>
        <v>211.39130434782609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65.544570015513202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15.211111111111116</v>
      </c>
      <c r="N74" s="13">
        <f>IF('Données projet'!$A$36&gt;35,N73+M74-V73,IF(A74&lt;'Données projet'!$A$36,$K$205^A74,IF(A74='Données projet'!$A$36,'Données projet'!$B$36,N73+M74-V73)))</f>
        <v>428.52555555555494</v>
      </c>
      <c r="O74" s="13">
        <f>N74*VLOOKUP('Données projet'!$B$9,Paramètres!$A$1:$I$89,3,0)*VLOOKUP('Données projet'!$B$9,Paramètres!$A$1:$I$89,5,0)</f>
        <v>200.54995999999971</v>
      </c>
      <c r="P74" s="13">
        <f t="shared" si="87"/>
        <v>49.865012964548107</v>
      </c>
      <c r="Q74" s="20">
        <f t="shared" si="54"/>
        <v>436.13941124658749</v>
      </c>
      <c r="R74" s="59">
        <f t="shared" si="55"/>
        <v>713.13616797013583</v>
      </c>
      <c r="S74" s="59">
        <f ca="1">AVERAGE(OFFSET($R$3,0,0,'Données projet'!$E$9+1,1))-AVERAGE(OFFSET($H$3,0,0,'Données projet'!$E$9+1,1))</f>
        <v>320.30433416149219</v>
      </c>
      <c r="T74" s="59">
        <f t="shared" si="88"/>
        <v>201.33422682092797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94.447114965325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94.447114965325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65.544570015513202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13.6</v>
      </c>
      <c r="AI74" s="13">
        <f>IF('Données projet'!$A$62&gt;35,AI73+AH74-AQ73,IF(A74&lt;'Données projet'!$A$62,$AF$205^A74,IF(A74='Données projet'!$A$62,'Données projet'!$B$62,AI73+AH74-AQ73)))</f>
        <v>712.60000000000025</v>
      </c>
      <c r="AJ74" s="13">
        <f>AI74*VLOOKUP('Données projet'!$B$10,Paramètres!$A$1:$I$89,3,0)*VLOOKUP('Données projet'!$B$10,Paramètres!$A$1:$I$89,5,0)</f>
        <v>426.13480000000015</v>
      </c>
      <c r="AK74" s="13">
        <f t="shared" si="89"/>
        <v>97.055420565620963</v>
      </c>
      <c r="AL74" s="20">
        <f t="shared" si="58"/>
        <v>911.22296748512326</v>
      </c>
      <c r="AM74" s="59">
        <f t="shared" si="59"/>
        <v>1188.2197242086718</v>
      </c>
      <c r="AN74" s="59">
        <f ca="1">AVERAGE(OFFSET($AM$3,0,0,'Données projet'!$E$10+1,1))-AVERAGE(OFFSET($H$3,0,0,'Données projet'!$E$10+1,1))</f>
        <v>569.80473816957431</v>
      </c>
      <c r="AO74" s="59">
        <f t="shared" si="90"/>
        <v>495.56567790763199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100.78204424600041</v>
      </c>
      <c r="AV74" s="21">
        <f>EXP(-LN(2)/25)*AV73+(1-EXP(-LN(2)/25))/(LN(2)/25)*Calculateur!AQ74*Calculateur!AS74*VLOOKUP('Données projet'!$B$10,Paramètres!$A$1:$I$89,3,0)*0.475*44/12</f>
        <v>20.990871181587334</v>
      </c>
      <c r="AW74" s="21">
        <f>EXP(-LN(2)/2)*AW73+(1-EXP(-LN(2)/2))/(LN(2)/2)*AQ74*AT74*VLOOKUP('Données projet'!$B$10,Paramètres!$A$1:$I$89,3,0)*0.475*44/12</f>
        <v>5.2968312771385085E-8</v>
      </c>
      <c r="AX74" s="21">
        <f t="shared" si="60"/>
        <v>121.77291548055607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65.544570015513202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-5.6843418860808015E-14</v>
      </c>
      <c r="BE74" s="13">
        <f>BD74*VLOOKUP('Données projet'!$B$11,Paramètres!$A$1:$I$89,3,0)*VLOOKUP('Données projet'!$B$11,Paramètres!$A$1:$I$89,5,0)</f>
        <v>-2.5006556825246661E-14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180.42749272334603</v>
      </c>
      <c r="BJ74" s="59">
        <f t="shared" si="92"/>
        <v>346.61476512497495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28.390165137002295</v>
      </c>
      <c r="BQ74" s="21">
        <f>EXP(-LN(2)/25)*BQ73+(1-EXP(-LN(2)/25))/(LN(2)/25)*Calculateur!BL74*Calculateur!BN74*VLOOKUP('Données projet'!$B$11,Paramètres!$A$1:$I$89,3,0)*0.475*44/12</f>
        <v>5.3148011236852151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33.704966260687513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65.544570015513202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348.69</v>
      </c>
      <c r="BW74" s="12">
        <f>VLOOKUP(A74,'Données projet'!$A$113:$I$133,9,0)</f>
        <v>11.28875</v>
      </c>
      <c r="BX74" s="12">
        <f t="array" ref="BX74">INDEX(BW:BW,MIN(IF(ISNUMBER(BW74:BW270),ROW(BW74:BW270),"")))</f>
        <v>11.28875</v>
      </c>
      <c r="BY74" s="12">
        <f>IF('Données projet'!$A$114&gt;35,BY73+BX74-CG73,IF(A74&lt;'Données projet'!$A$114,$BV$205^A74,IF(A74='Données projet'!$A$114,'Données projet'!$B$114,BY73+BX74-CG73)))</f>
        <v>348.69</v>
      </c>
      <c r="BZ74" s="13">
        <f>BY74*VLOOKUP('Données projet'!$B$12,Paramètres!$A$1:$I$89,3,0)*VLOOKUP('Données projet'!$B$12,Paramètres!$A$1:$I$89,5,0)</f>
        <v>315.49471199999999</v>
      </c>
      <c r="CA74" s="13">
        <f t="shared" si="93"/>
        <v>74.415168706532612</v>
      </c>
      <c r="CB74" s="20">
        <f t="shared" si="64"/>
        <v>679.09304223054426</v>
      </c>
      <c r="CC74" s="59">
        <f t="shared" si="65"/>
        <v>956.08979895409266</v>
      </c>
      <c r="CD74" s="59">
        <f ca="1">AVERAGE(OFFSET($CC$3,0,0,'Données projet'!$E$12+1,1))-AVERAGE(OFFSET($H$3,0,0,'Données projet'!$E$12+1,1))</f>
        <v>553.16421218123958</v>
      </c>
      <c r="CE74" s="59">
        <f t="shared" si="94"/>
        <v>291.73668613844416</v>
      </c>
      <c r="CF74" s="15">
        <f>IF(ISNA(VLOOKUP(A74,'Données projet'!$A$113:$I$133,3,0)),0,VLOOKUP(A74,'Données projet'!$A$113:$I$133,3,0))</f>
        <v>6</v>
      </c>
      <c r="CG74" s="15">
        <f>IF(ISNA(VLOOKUP(A74,'Données projet'!$A$113:$I$133,4,0)),0,VLOOKUP(A74,'Données projet'!$A$113:$I$133,4,0))</f>
        <v>52.07</v>
      </c>
      <c r="CH74" s="16">
        <f>IF(ISNA(VLOOKUP(A74,'Données projet'!$A$113:$I$133,5,0)),0%,VLOOKUP(A74,'Données projet'!$A$113:$I$133,5,0)*VLOOKUP('Données projet'!$B$12,Paramètres!$A$1:$I$89,7,0))</f>
        <v>0.43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103.13732072204741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103.13732072204741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65.544570015513202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>
        <f>VLOOKUP(A74,'Données projet'!$A$139:$I$159,2,0)</f>
        <v>348.69</v>
      </c>
      <c r="CR74" s="12">
        <f>VLOOKUP(A74,'Données projet'!$A$139:$I$159,9,0)</f>
        <v>11.28875</v>
      </c>
      <c r="CS74" s="12">
        <f t="array" ref="CS74">INDEX(CR:CR,MIN(IF(ISNUMBER(CR74:CR270),ROW(CR74:CR270),"")))</f>
        <v>11.28875</v>
      </c>
      <c r="CT74" s="12">
        <f>IF('Données projet'!$A$140&gt;35,CT73+CS74-DB73,IF(A74&lt;'Données projet'!$A$140,$CQ$205^A74,IF(A74='Données projet'!$A$140,'Données projet'!$B$140,CT73+CS74-DB73)))</f>
        <v>348.69</v>
      </c>
      <c r="CU74" s="17">
        <f>CT74*VLOOKUP('Données projet'!$B$13,Paramètres!$A$1:$I$89,3,0)*VLOOKUP('Données projet'!$B$13,Paramètres!$A$1:$I$89,5,0)</f>
        <v>353.57166000000001</v>
      </c>
      <c r="CV74" s="13">
        <f t="shared" si="95"/>
        <v>82.297517984675324</v>
      </c>
      <c r="CW74" s="20">
        <f t="shared" si="67"/>
        <v>759.13881832330947</v>
      </c>
      <c r="CX74" s="59">
        <f t="shared" si="68"/>
        <v>1036.1355750468579</v>
      </c>
      <c r="CY74" s="59">
        <f ca="1">AVERAGE(OFFSET($CX$3,0,0,'Données projet'!$E$13+1,1))-AVERAGE(OFFSET($H$3,0,0,'Données projet'!$E$13+1,1))</f>
        <v>611.82989382187804</v>
      </c>
      <c r="CZ74" s="59">
        <f t="shared" si="96"/>
        <v>320.34124600136363</v>
      </c>
      <c r="DA74" s="15">
        <f>IF(ISNA(VLOOKUP(A74,'Données projet'!$A$139:$I$159,3,0)),0,VLOOKUP(A74,'Données projet'!$A$139:$I$159,3,0))</f>
        <v>6</v>
      </c>
      <c r="DB74" s="15">
        <f>IF(ISNA(VLOOKUP(A74,'Données projet'!$A$139:$I$159,4,0)),0,VLOOKUP(A74,'Données projet'!$A$139:$I$159,4,0))</f>
        <v>52.07</v>
      </c>
      <c r="DC74" s="16">
        <f>IF(ISNA(VLOOKUP(A74,'Données projet'!$A$139:$I$159,5,0)),0%,VLOOKUP(A74,'Données projet'!$A$139:$I$159,5,0)*VLOOKUP('Données projet'!$B$13,Paramètres!$A$1:$I$89,7,0))</f>
        <v>0.43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115.58492839539792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115.58492839539792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65.544570015513202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>
        <f>VLOOKUP(A74,'Données projet'!$A$165:$I$185,2,0)</f>
        <v>348.69</v>
      </c>
      <c r="DM74" s="12">
        <f>VLOOKUP(A74,'Données projet'!$A$165:$I$185,9,0)</f>
        <v>11.28875</v>
      </c>
      <c r="DN74" s="12">
        <f t="array" ref="DN74">INDEX(DM:DM,MIN(IF(ISNUMBER(DM74:DM270),ROW(DM74:DM270),"")))</f>
        <v>11.28875</v>
      </c>
      <c r="DO74" s="12">
        <f>IF('Données projet'!$A$166&gt;35,DO73+DN74-DW73,IF(A74&lt;'Données projet'!$A$166,$DL$205^A74,IF(A74='Données projet'!$A$166,'Données projet'!$B$166,DO73+DN74-DW73)))</f>
        <v>348.69</v>
      </c>
      <c r="DP74" s="17">
        <f>DO74*VLOOKUP('Données projet'!$B$14,Paramètres!$A$1:$I$89,3,0)*VLOOKUP('Données projet'!$B$14,Paramètres!$A$1:$I$89,5,0)</f>
        <v>375.32991599999997</v>
      </c>
      <c r="DQ74" s="13">
        <f t="shared" si="97"/>
        <v>86.756805460788797</v>
      </c>
      <c r="DR74" s="20">
        <f t="shared" si="70"/>
        <v>804.80103987754046</v>
      </c>
      <c r="DS74" s="59">
        <f t="shared" si="71"/>
        <v>1081.797796601089</v>
      </c>
      <c r="DT74" s="59">
        <f ca="1">AVERAGE(OFFSET($DS$3,0,0,'Données projet'!$E$14+1,1))-AVERAGE(OFFSET($H$3,0,0,'Données projet'!$E$14+1,1))</f>
        <v>645.29541304800614</v>
      </c>
      <c r="DU74" s="59">
        <f t="shared" si="98"/>
        <v>336.65580771733323</v>
      </c>
      <c r="DV74" s="15">
        <f>IF(ISNA(VLOOKUP(A74,'Données projet'!$A$165:$I$185,3,0)),0,VLOOKUP(A74,'Données projet'!$A$165:$I$185,3,0))</f>
        <v>6</v>
      </c>
      <c r="DW74" s="15">
        <f>IF(ISNA(VLOOKUP(A74,'Données projet'!$A$165:$I$185,4,0)),0,VLOOKUP(A74,'Données projet'!$A$165:$I$185,4,0))</f>
        <v>52.07</v>
      </c>
      <c r="DX74" s="16">
        <f>IF(ISNA(VLOOKUP(A74,'Données projet'!$A$165:$I$185,5,0)),0%,VLOOKUP(A74,'Données projet'!$A$165:$I$185,5,0)*VLOOKUP('Données projet'!$B$14,Paramètres!$A$1:$I$89,7,0))</f>
        <v>0.43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122.69784706588393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122.69784706588393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65.544570015513202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307.19999999999993</v>
      </c>
      <c r="EK74" s="17">
        <f>EJ74*VLOOKUP('Données projet'!$B$15,Paramètres!$A$1:$I$89,3,0)*VLOOKUP('Données projet'!$B$15,Paramètres!$A$1:$I$89,5,0)</f>
        <v>225.23903999999993</v>
      </c>
      <c r="EL74" s="13">
        <f t="shared" si="99"/>
        <v>55.252000822487368</v>
      </c>
      <c r="EM74" s="20">
        <f t="shared" si="73"/>
        <v>488.52189609916542</v>
      </c>
      <c r="EN74" s="59">
        <f t="shared" si="74"/>
        <v>765.51865282271388</v>
      </c>
      <c r="EO74" s="59">
        <f ca="1">AVERAGE(OFFSET($EN$3,0,0,'Données projet'!$E$15+1,1))-AVERAGE(OFFSET($H$3,0,0,'Données projet'!$E$15+1,1))</f>
        <v>343.31122043016137</v>
      </c>
      <c r="EP74" s="59">
        <f t="shared" si="100"/>
        <v>333.61098411258877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38.400525236576762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38.400525236576762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65.544570015513202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307.19999999999993</v>
      </c>
      <c r="FF74" s="17">
        <f>FE74*VLOOKUP('Données projet'!$B$16,Paramètres!$A$1:$I$89,3,0)*VLOOKUP('Données projet'!$B$16,Paramètres!$A$1:$I$89,5,0)</f>
        <v>244.40831999999995</v>
      </c>
      <c r="FG74" s="13">
        <f t="shared" si="101"/>
        <v>59.38699493610541</v>
      </c>
      <c r="FH74" s="20">
        <f t="shared" si="76"/>
        <v>529.11017351371675</v>
      </c>
      <c r="FI74" s="59">
        <f t="shared" si="77"/>
        <v>806.10693023726515</v>
      </c>
      <c r="FJ74" s="59">
        <f ca="1">AVERAGE(OFFSET($FI$3,0,0,'Données projet'!$E$16+1,1))-AVERAGE(OFFSET($H$3,0,0,'Données projet'!$E$16+1,1))</f>
        <v>368.12945163484585</v>
      </c>
      <c r="FK74" s="59">
        <f t="shared" si="102"/>
        <v>357.27183934545121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51.359039937885704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51.359039937885704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65.544570015513202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65.544570015513202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3.0869565217391299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11.318840579710143</v>
      </c>
      <c r="H75" s="66">
        <f t="shared" si="56"/>
        <v>211.39130434782609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65.621861764894845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15.211111111111116</v>
      </c>
      <c r="N75" s="13">
        <f>IF('Données projet'!$A$36&gt;35,N74+M75-V74,IF(A75&lt;'Données projet'!$A$36,$K$205^A75,IF(A75='Données projet'!$A$36,'Données projet'!$B$36,N74+M75-V74)))</f>
        <v>443.73666666666605</v>
      </c>
      <c r="O75" s="13">
        <f>N75*VLOOKUP('Données projet'!$B$9,Paramètres!$A$1:$I$89,3,0)*VLOOKUP('Données projet'!$B$9,Paramètres!$A$1:$I$89,5,0)</f>
        <v>207.66875999999974</v>
      </c>
      <c r="P75" s="13">
        <f t="shared" si="87"/>
        <v>51.425820598587329</v>
      </c>
      <c r="Q75" s="20">
        <f t="shared" si="54"/>
        <v>451.25639454253911</v>
      </c>
      <c r="R75" s="59">
        <f t="shared" si="55"/>
        <v>728.53655434715347</v>
      </c>
      <c r="S75" s="59">
        <f ca="1">AVERAGE(OFFSET($R$3,0,0,'Données projet'!$E$9+1,1))-AVERAGE(OFFSET($H$3,0,0,'Données projet'!$E$9+1,1))</f>
        <v>320.30433416149219</v>
      </c>
      <c r="T75" s="59">
        <f t="shared" si="88"/>
        <v>201.33422682092797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92.595064647906881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92.595064647906881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65.621861764894845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13.6</v>
      </c>
      <c r="AI75" s="13">
        <f>IF('Données projet'!$A$62&gt;35,AI74+AH75-AQ74,IF(A75&lt;'Données projet'!$A$62,$AF$205^A75,IF(A75='Données projet'!$A$62,'Données projet'!$B$62,AI74+AH75-AQ74)))</f>
        <v>726.20000000000027</v>
      </c>
      <c r="AJ75" s="13">
        <f>AI75*VLOOKUP('Données projet'!$B$10,Paramètres!$A$1:$I$89,3,0)*VLOOKUP('Données projet'!$B$10,Paramètres!$A$1:$I$89,5,0)</f>
        <v>434.26760000000019</v>
      </c>
      <c r="AK75" s="13">
        <f t="shared" si="89"/>
        <v>98.690313543876655</v>
      </c>
      <c r="AL75" s="20">
        <f t="shared" si="58"/>
        <v>928.23503275558551</v>
      </c>
      <c r="AM75" s="59">
        <f t="shared" si="59"/>
        <v>1205.5151925601999</v>
      </c>
      <c r="AN75" s="59">
        <f ca="1">AVERAGE(OFFSET($AM$3,0,0,'Données projet'!$E$10+1,1))-AVERAGE(OFFSET($H$3,0,0,'Données projet'!$E$10+1,1))</f>
        <v>569.80473816957431</v>
      </c>
      <c r="AO75" s="59">
        <f t="shared" si="90"/>
        <v>495.56567790763199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98.805769829313576</v>
      </c>
      <c r="AV75" s="21">
        <f>EXP(-LN(2)/25)*AV74+(1-EXP(-LN(2)/25))/(LN(2)/25)*Calculateur!AQ75*Calculateur!AS75*VLOOKUP('Données projet'!$B$10,Paramètres!$A$1:$I$89,3,0)*0.475*44/12</f>
        <v>20.416874705264888</v>
      </c>
      <c r="AW75" s="21">
        <f>EXP(-LN(2)/2)*AW74+(1-EXP(-LN(2)/2))/(LN(2)/2)*AQ75*AT75*VLOOKUP('Données projet'!$B$10,Paramètres!$A$1:$I$89,3,0)*0.475*44/12</f>
        <v>3.7454253148656403E-8</v>
      </c>
      <c r="AX75" s="21">
        <f t="shared" si="60"/>
        <v>119.22264457203272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65.621861764894845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-5.6843418860808015E-14</v>
      </c>
      <c r="BE75" s="13">
        <f>BD75*VLOOKUP('Données projet'!$B$11,Paramètres!$A$1:$I$89,3,0)*VLOOKUP('Données projet'!$B$11,Paramètres!$A$1:$I$89,5,0)</f>
        <v>-2.5006556825246661E-14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180.42749272334603</v>
      </c>
      <c r="BJ75" s="59">
        <f t="shared" si="92"/>
        <v>346.61476512497495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27.833451314956573</v>
      </c>
      <c r="BQ75" s="21">
        <f>EXP(-LN(2)/25)*BQ74+(1-EXP(-LN(2)/25))/(LN(2)/25)*Calculateur!BL75*Calculateur!BN75*VLOOKUP('Données projet'!$B$11,Paramètres!$A$1:$I$89,3,0)*0.475*44/12</f>
        <v>5.1694676074647985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33.002918922421372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65.621861764894845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11.009999999999998</v>
      </c>
      <c r="BY75" s="12">
        <f>IF('Données projet'!$A$114&gt;35,BY74+BX75-CG74,IF(A75&lt;'Données projet'!$A$114,$BV$205^A75,IF(A75='Données projet'!$A$114,'Données projet'!$B$114,BY74+BX75-CG74)))</f>
        <v>307.63</v>
      </c>
      <c r="BZ75" s="13">
        <f>BY75*VLOOKUP('Données projet'!$B$12,Paramètres!$A$1:$I$89,3,0)*VLOOKUP('Données projet'!$B$12,Paramètres!$A$1:$I$89,5,0)</f>
        <v>278.34362399999998</v>
      </c>
      <c r="CA75" s="13">
        <f t="shared" si="93"/>
        <v>66.616848235919136</v>
      </c>
      <c r="CB75" s="20">
        <f t="shared" si="64"/>
        <v>600.80615581089239</v>
      </c>
      <c r="CC75" s="59">
        <f t="shared" si="65"/>
        <v>878.08631561550681</v>
      </c>
      <c r="CD75" s="59">
        <f ca="1">AVERAGE(OFFSET($CC$3,0,0,'Données projet'!$E$12+1,1))-AVERAGE(OFFSET($H$3,0,0,'Données projet'!$E$12+1,1))</f>
        <v>553.16421218123958</v>
      </c>
      <c r="CE75" s="59">
        <f t="shared" si="94"/>
        <v>291.73668613844416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101.11486077024209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101.11486077024209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65.621861764894845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11.009999999999998</v>
      </c>
      <c r="CT75" s="12">
        <f>IF('Données projet'!$A$140&gt;35,CT74+CS75-DB74,IF(A75&lt;'Données projet'!$A$140,$CQ$205^A75,IF(A75='Données projet'!$A$140,'Données projet'!$B$140,CT74+CS75-DB74)))</f>
        <v>307.63</v>
      </c>
      <c r="CU75" s="17">
        <f>CT75*VLOOKUP('Données projet'!$B$13,Paramètres!$A$1:$I$89,3,0)*VLOOKUP('Données projet'!$B$13,Paramètres!$A$1:$I$89,5,0)</f>
        <v>311.93682000000001</v>
      </c>
      <c r="CV75" s="13">
        <f t="shared" si="95"/>
        <v>73.673168536358688</v>
      </c>
      <c r="CW75" s="20">
        <f t="shared" si="67"/>
        <v>671.60406336749145</v>
      </c>
      <c r="CX75" s="59">
        <f t="shared" si="68"/>
        <v>948.88422317210586</v>
      </c>
      <c r="CY75" s="59">
        <f ca="1">AVERAGE(OFFSET($CX$3,0,0,'Données projet'!$E$13+1,1))-AVERAGE(OFFSET($H$3,0,0,'Données projet'!$E$13+1,1))</f>
        <v>611.82989382187804</v>
      </c>
      <c r="CZ75" s="59">
        <f t="shared" si="96"/>
        <v>320.34124600136363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113.31837844940921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113.31837844940921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65.621861764894845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11.009999999999998</v>
      </c>
      <c r="DO75" s="12">
        <f>IF('Données projet'!$A$166&gt;35,DO74+DN75-DW74,IF(A75&lt;'Données projet'!$A$166,$DL$205^A75,IF(A75='Données projet'!$A$166,'Données projet'!$B$166,DO74+DN75-DW74)))</f>
        <v>307.63</v>
      </c>
      <c r="DP75" s="17">
        <f>DO75*VLOOKUP('Données projet'!$B$14,Paramètres!$A$1:$I$89,3,0)*VLOOKUP('Données projet'!$B$14,Paramètres!$A$1:$I$89,5,0)</f>
        <v>331.13293199999998</v>
      </c>
      <c r="DQ75" s="13">
        <f t="shared" si="97"/>
        <v>77.665146008157507</v>
      </c>
      <c r="DR75" s="20">
        <f t="shared" si="70"/>
        <v>711.9899858642076</v>
      </c>
      <c r="DS75" s="59">
        <f t="shared" si="71"/>
        <v>989.27014566882201</v>
      </c>
      <c r="DT75" s="59">
        <f ca="1">AVERAGE(OFFSET($DS$3,0,0,'Données projet'!$E$14+1,1))-AVERAGE(OFFSET($H$3,0,0,'Données projet'!$E$14+1,1))</f>
        <v>645.29541304800614</v>
      </c>
      <c r="DU75" s="59">
        <f t="shared" si="98"/>
        <v>336.65580771733323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120.29181712321899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120.29181712321899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65.621861764894845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311.39999999999992</v>
      </c>
      <c r="EK75" s="17">
        <f>EJ75*VLOOKUP('Données projet'!$B$15,Paramètres!$A$1:$I$89,3,0)*VLOOKUP('Données projet'!$B$15,Paramètres!$A$1:$I$89,5,0)</f>
        <v>228.31847999999994</v>
      </c>
      <c r="EL75" s="13">
        <f t="shared" si="99"/>
        <v>55.918942466546987</v>
      </c>
      <c r="EM75" s="20">
        <f t="shared" si="73"/>
        <v>495.04684412923598</v>
      </c>
      <c r="EN75" s="59">
        <f t="shared" si="74"/>
        <v>772.32700393385039</v>
      </c>
      <c r="EO75" s="59">
        <f ca="1">AVERAGE(OFFSET($EN$3,0,0,'Données projet'!$E$15+1,1))-AVERAGE(OFFSET($H$3,0,0,'Données projet'!$E$15+1,1))</f>
        <v>343.31122043016137</v>
      </c>
      <c r="EP75" s="59">
        <f t="shared" si="100"/>
        <v>333.61098411258877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37.647514358695155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37.647514358695155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65.621861764894845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311.39999999999992</v>
      </c>
      <c r="FF75" s="17">
        <f>FE75*VLOOKUP('Données projet'!$B$16,Paramètres!$A$1:$I$89,3,0)*VLOOKUP('Données projet'!$B$16,Paramètres!$A$1:$I$89,5,0)</f>
        <v>247.74983999999995</v>
      </c>
      <c r="FG75" s="13">
        <f t="shared" si="101"/>
        <v>60.103849700617872</v>
      </c>
      <c r="FH75" s="20">
        <f t="shared" si="76"/>
        <v>536.17850956190932</v>
      </c>
      <c r="FI75" s="59">
        <f t="shared" si="77"/>
        <v>813.45866936652374</v>
      </c>
      <c r="FJ75" s="59">
        <f ca="1">AVERAGE(OFFSET($FI$3,0,0,'Données projet'!$E$16+1,1))-AVERAGE(OFFSET($H$3,0,0,'Données projet'!$E$16+1,1))</f>
        <v>368.12945163484585</v>
      </c>
      <c r="FK75" s="59">
        <f t="shared" si="102"/>
        <v>357.27183934545121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50.351920490624948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50.351920490624948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65.621861764894845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65.621861764894845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3.0869565217391299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11.318840579710143</v>
      </c>
      <c r="H76" s="66">
        <f t="shared" si="56"/>
        <v>211.39130434782609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65.697812675223176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15.211111111111116</v>
      </c>
      <c r="N76" s="13">
        <f>IF('Données projet'!$A$36&gt;35,N75+M76-V75,IF(A76&lt;'Données projet'!$A$36,$K$205^A76,IF(A76='Données projet'!$A$36,'Données projet'!$B$36,N75+M76-V75)))</f>
        <v>458.94777777777716</v>
      </c>
      <c r="O76" s="13">
        <f>N76*VLOOKUP('Données projet'!$B$9,Paramètres!$A$1:$I$89,3,0)*VLOOKUP('Données projet'!$B$9,Paramètres!$A$1:$I$89,5,0)</f>
        <v>214.78755999999973</v>
      </c>
      <c r="P76" s="13">
        <f t="shared" si="87"/>
        <v>52.980411507236902</v>
      </c>
      <c r="Q76" s="20">
        <f t="shared" si="54"/>
        <v>466.36255037510381</v>
      </c>
      <c r="R76" s="59">
        <f t="shared" si="55"/>
        <v>743.92119685092212</v>
      </c>
      <c r="S76" s="59">
        <f ca="1">AVERAGE(OFFSET($R$3,0,0,'Données projet'!$E$9+1,1))-AVERAGE(OFFSET($H$3,0,0,'Données projet'!$E$9+1,1))</f>
        <v>320.30433416149219</v>
      </c>
      <c r="T76" s="59">
        <f t="shared" si="88"/>
        <v>201.33422682092797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90.779331907574175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90.779331907574175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65.697812675223176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13.6</v>
      </c>
      <c r="AI76" s="13">
        <f>IF('Données projet'!$A$62&gt;35,AI75+AH76-AQ75,IF(A76&lt;'Données projet'!$A$62,$AF$205^A76,IF(A76='Données projet'!$A$62,'Données projet'!$B$62,AI75+AH76-AQ75)))</f>
        <v>739.8000000000003</v>
      </c>
      <c r="AJ76" s="13">
        <f>AI76*VLOOKUP('Données projet'!$B$10,Paramètres!$A$1:$I$89,3,0)*VLOOKUP('Données projet'!$B$10,Paramètres!$A$1:$I$89,5,0)</f>
        <v>442.40040000000022</v>
      </c>
      <c r="AK76" s="13">
        <f t="shared" si="89"/>
        <v>100.32164628817654</v>
      </c>
      <c r="AL76" s="20">
        <f t="shared" si="58"/>
        <v>945.2408972852412</v>
      </c>
      <c r="AM76" s="59">
        <f t="shared" si="59"/>
        <v>1222.7995437610596</v>
      </c>
      <c r="AN76" s="59">
        <f ca="1">AVERAGE(OFFSET($AM$3,0,0,'Données projet'!$E$10+1,1))-AVERAGE(OFFSET($H$3,0,0,'Données projet'!$E$10+1,1))</f>
        <v>569.80473816957431</v>
      </c>
      <c r="AO76" s="59">
        <f t="shared" si="90"/>
        <v>495.56567790763199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96.868248948529597</v>
      </c>
      <c r="AV76" s="21">
        <f>EXP(-LN(2)/25)*AV75+(1-EXP(-LN(2)/25))/(LN(2)/25)*Calculateur!AQ76*Calculateur!AS76*VLOOKUP('Données projet'!$B$10,Paramètres!$A$1:$I$89,3,0)*0.475*44/12</f>
        <v>19.858574192772643</v>
      </c>
      <c r="AW76" s="21">
        <f>EXP(-LN(2)/2)*AW75+(1-EXP(-LN(2)/2))/(LN(2)/2)*AQ76*AT76*VLOOKUP('Données projet'!$B$10,Paramètres!$A$1:$I$89,3,0)*0.475*44/12</f>
        <v>2.6484156385692542E-8</v>
      </c>
      <c r="AX76" s="21">
        <f t="shared" si="60"/>
        <v>116.72682316778641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65.697812675223176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-5.6843418860808015E-14</v>
      </c>
      <c r="BE76" s="13">
        <f>BD76*VLOOKUP('Données projet'!$B$11,Paramètres!$A$1:$I$89,3,0)*VLOOKUP('Données projet'!$B$11,Paramètres!$A$1:$I$89,5,0)</f>
        <v>-2.5006556825246661E-14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180.42749272334603</v>
      </c>
      <c r="BJ76" s="59">
        <f t="shared" si="92"/>
        <v>346.61476512497495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27.287654311399265</v>
      </c>
      <c r="BQ76" s="21">
        <f>EXP(-LN(2)/25)*BQ75+(1-EXP(-LN(2)/25))/(LN(2)/25)*Calculateur!BL76*Calculateur!BN76*VLOOKUP('Données projet'!$B$11,Paramètres!$A$1:$I$89,3,0)*0.475*44/12</f>
        <v>5.0281082438881874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32.315762555287449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65.697812675223176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11.009999999999998</v>
      </c>
      <c r="BY76" s="12">
        <f>IF('Données projet'!$A$114&gt;35,BY75+BX76-CG75,IF(A76&lt;'Données projet'!$A$114,$BV$205^A76,IF(A76='Données projet'!$A$114,'Données projet'!$B$114,BY75+BX76-CG75)))</f>
        <v>318.64</v>
      </c>
      <c r="BZ76" s="13">
        <f>BY76*VLOOKUP('Données projet'!$B$12,Paramètres!$A$1:$I$89,3,0)*VLOOKUP('Données projet'!$B$12,Paramètres!$A$1:$I$89,5,0)</f>
        <v>288.30547200000001</v>
      </c>
      <c r="CA76" s="13">
        <f t="shared" si="93"/>
        <v>68.719196733788849</v>
      </c>
      <c r="CB76" s="20">
        <f t="shared" si="64"/>
        <v>621.81796471134885</v>
      </c>
      <c r="CC76" s="59">
        <f t="shared" si="65"/>
        <v>899.3766111871671</v>
      </c>
      <c r="CD76" s="59">
        <f ca="1">AVERAGE(OFFSET($CC$3,0,0,'Données projet'!$E$12+1,1))-AVERAGE(OFFSET($H$3,0,0,'Données projet'!$E$12+1,1))</f>
        <v>553.16421218123958</v>
      </c>
      <c r="CE76" s="59">
        <f t="shared" si="94"/>
        <v>291.73668613844416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99.13206002451291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99.13206002451291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65.697812675223176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11.009999999999998</v>
      </c>
      <c r="CT76" s="12">
        <f>IF('Données projet'!$A$140&gt;35,CT75+CS76-DB75,IF(A76&lt;'Données projet'!$A$140,$CQ$205^A76,IF(A76='Données projet'!$A$140,'Données projet'!$B$140,CT75+CS76-DB75)))</f>
        <v>318.64</v>
      </c>
      <c r="CU76" s="17">
        <f>CT76*VLOOKUP('Données projet'!$B$13,Paramètres!$A$1:$I$89,3,0)*VLOOKUP('Données projet'!$B$13,Paramètres!$A$1:$I$89,5,0)</f>
        <v>323.10095999999999</v>
      </c>
      <c r="CV76" s="13">
        <f t="shared" si="95"/>
        <v>75.998206110294873</v>
      </c>
      <c r="CW76" s="20">
        <f t="shared" si="67"/>
        <v>695.09771430876344</v>
      </c>
      <c r="CX76" s="59">
        <f t="shared" si="68"/>
        <v>972.65636078458169</v>
      </c>
      <c r="CY76" s="59">
        <f ca="1">AVERAGE(OFFSET($CX$3,0,0,'Données projet'!$E$13+1,1))-AVERAGE(OFFSET($H$3,0,0,'Données projet'!$E$13+1,1))</f>
        <v>611.82989382187804</v>
      </c>
      <c r="CZ76" s="59">
        <f t="shared" si="96"/>
        <v>320.34124600136363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111.09627416540238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111.09627416540238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65.697812675223176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11.009999999999998</v>
      </c>
      <c r="DO76" s="12">
        <f>IF('Données projet'!$A$166&gt;35,DO75+DN76-DW75,IF(A76&lt;'Données projet'!$A$166,$DL$205^A76,IF(A76='Données projet'!$A$166,'Données projet'!$B$166,DO75+DN76-DW75)))</f>
        <v>318.64</v>
      </c>
      <c r="DP76" s="17">
        <f>DO76*VLOOKUP('Données projet'!$B$14,Paramètres!$A$1:$I$89,3,0)*VLOOKUP('Données projet'!$B$14,Paramètres!$A$1:$I$89,5,0)</f>
        <v>342.98409599999997</v>
      </c>
      <c r="DQ76" s="13">
        <f t="shared" si="97"/>
        <v>80.116165643143006</v>
      </c>
      <c r="DR76" s="20">
        <f t="shared" si="70"/>
        <v>736.89962236180736</v>
      </c>
      <c r="DS76" s="59">
        <f t="shared" si="71"/>
        <v>1014.4582688376256</v>
      </c>
      <c r="DT76" s="59">
        <f ca="1">AVERAGE(OFFSET($DS$3,0,0,'Données projet'!$E$14+1,1))-AVERAGE(OFFSET($H$3,0,0,'Données projet'!$E$14+1,1))</f>
        <v>645.29541304800614</v>
      </c>
      <c r="DU76" s="59">
        <f t="shared" si="98"/>
        <v>336.65580771733323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117.93296796019635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117.93296796019635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65.697812675223176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315.59999999999991</v>
      </c>
      <c r="EK76" s="17">
        <f>EJ76*VLOOKUP('Données projet'!$B$15,Paramètres!$A$1:$I$89,3,0)*VLOOKUP('Données projet'!$B$15,Paramètres!$A$1:$I$89,5,0)</f>
        <v>231.39791999999991</v>
      </c>
      <c r="EL76" s="13">
        <f t="shared" si="99"/>
        <v>56.584837838715806</v>
      </c>
      <c r="EM76" s="20">
        <f t="shared" si="73"/>
        <v>501.56996990242982</v>
      </c>
      <c r="EN76" s="59">
        <f t="shared" si="74"/>
        <v>779.12861637824813</v>
      </c>
      <c r="EO76" s="59">
        <f ca="1">AVERAGE(OFFSET($EN$3,0,0,'Données projet'!$E$15+1,1))-AVERAGE(OFFSET($H$3,0,0,'Données projet'!$E$15+1,1))</f>
        <v>343.31122043016137</v>
      </c>
      <c r="EP76" s="59">
        <f t="shared" si="100"/>
        <v>333.61098411258877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36.909269564837523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36.909269564837523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65.697812675223176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315.59999999999991</v>
      </c>
      <c r="FF76" s="17">
        <f>FE76*VLOOKUP('Données projet'!$B$16,Paramètres!$A$1:$I$89,3,0)*VLOOKUP('Données projet'!$B$16,Paramètres!$A$1:$I$89,5,0)</f>
        <v>251.09135999999995</v>
      </c>
      <c r="FG76" s="13">
        <f t="shared" si="101"/>
        <v>60.81957989149403</v>
      </c>
      <c r="FH76" s="20">
        <f t="shared" si="76"/>
        <v>543.24488697768527</v>
      </c>
      <c r="FI76" s="59">
        <f t="shared" si="77"/>
        <v>820.80353345350363</v>
      </c>
      <c r="FJ76" s="59">
        <f ca="1">AVERAGE(OFFSET($FI$3,0,0,'Données projet'!$E$16+1,1))-AVERAGE(OFFSET($H$3,0,0,'Données projet'!$E$16+1,1))</f>
        <v>368.12945163484585</v>
      </c>
      <c r="FK76" s="59">
        <f t="shared" si="102"/>
        <v>357.27183934545121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49.364550041442769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49.364550041442769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65.697812675223176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65.697812675223176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3.0869565217391299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11.318840579710143</v>
      </c>
      <c r="H77" s="66">
        <f t="shared" si="56"/>
        <v>211.39130434782609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65.772446007058107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15.211111111111116</v>
      </c>
      <c r="N77" s="13">
        <f>IF('Données projet'!$A$36&gt;35,N76+M77-V76,IF(A77&lt;'Données projet'!$A$36,$K$205^A77,IF(A77='Données projet'!$A$36,'Données projet'!$B$36,N76+M77-V76)))</f>
        <v>474.15888888888827</v>
      </c>
      <c r="O77" s="13">
        <f>N77*VLOOKUP('Données projet'!$B$9,Paramètres!$A$1:$I$89,3,0)*VLOOKUP('Données projet'!$B$9,Paramètres!$A$1:$I$89,5,0)</f>
        <v>221.90635999999972</v>
      </c>
      <c r="P77" s="13">
        <f t="shared" si="87"/>
        <v>54.529015359947387</v>
      </c>
      <c r="Q77" s="20">
        <f t="shared" si="54"/>
        <v>481.45827875190781</v>
      </c>
      <c r="R77" s="59">
        <f t="shared" si="55"/>
        <v>759.29058077778757</v>
      </c>
      <c r="S77" s="59">
        <f ca="1">AVERAGE(OFFSET($R$3,0,0,'Données projet'!$E$9+1,1))-AVERAGE(OFFSET($H$3,0,0,'Données projet'!$E$9+1,1))</f>
        <v>320.30433416149219</v>
      </c>
      <c r="T77" s="59">
        <f t="shared" si="88"/>
        <v>201.33422682092797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88.999204578791776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88.999204578791776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65.772446007058107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13.6</v>
      </c>
      <c r="AI77" s="13">
        <f>IF('Données projet'!$A$62&gt;35,AI76+AH77-AQ76,IF(A77&lt;'Données projet'!$A$62,$AF$205^A77,IF(A77='Données projet'!$A$62,'Données projet'!$B$62,AI76+AH77-AQ76)))</f>
        <v>753.40000000000032</v>
      </c>
      <c r="AJ77" s="13">
        <f>AI77*VLOOKUP('Données projet'!$B$10,Paramètres!$A$1:$I$89,3,0)*VLOOKUP('Données projet'!$B$10,Paramètres!$A$1:$I$89,5,0)</f>
        <v>450.53320000000019</v>
      </c>
      <c r="AK77" s="13">
        <f t="shared" si="89"/>
        <v>101.94949179597376</v>
      </c>
      <c r="AL77" s="20">
        <f t="shared" si="58"/>
        <v>962.24068821132141</v>
      </c>
      <c r="AM77" s="59">
        <f t="shared" si="59"/>
        <v>1240.0729902372011</v>
      </c>
      <c r="AN77" s="59">
        <f ca="1">AVERAGE(OFFSET($AM$3,0,0,'Données projet'!$E$10+1,1))-AVERAGE(OFFSET($H$3,0,0,'Données projet'!$E$10+1,1))</f>
        <v>569.80473816957431</v>
      </c>
      <c r="AO77" s="59">
        <f t="shared" si="90"/>
        <v>495.56567790763199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94.968721670446755</v>
      </c>
      <c r="AV77" s="21">
        <f>EXP(-LN(2)/25)*AV76+(1-EXP(-LN(2)/25))/(LN(2)/25)*Calculateur!AQ77*Calculateur!AS77*VLOOKUP('Données projet'!$B$10,Paramètres!$A$1:$I$89,3,0)*0.475*44/12</f>
        <v>19.315540437154247</v>
      </c>
      <c r="AW77" s="21">
        <f>EXP(-LN(2)/2)*AW76+(1-EXP(-LN(2)/2))/(LN(2)/2)*AQ77*AT77*VLOOKUP('Données projet'!$B$10,Paramètres!$A$1:$I$89,3,0)*0.475*44/12</f>
        <v>1.8727126574328202E-8</v>
      </c>
      <c r="AX77" s="21">
        <f t="shared" si="60"/>
        <v>114.28426212632812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65.772446007058107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-5.6843418860808015E-14</v>
      </c>
      <c r="BE77" s="13">
        <f>BD77*VLOOKUP('Données projet'!$B$11,Paramètres!$A$1:$I$89,3,0)*VLOOKUP('Données projet'!$B$11,Paramètres!$A$1:$I$89,5,0)</f>
        <v>-2.5006556825246661E-14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180.42749272334603</v>
      </c>
      <c r="BJ77" s="59">
        <f t="shared" si="92"/>
        <v>346.61476512497495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26.752560054178414</v>
      </c>
      <c r="BQ77" s="21">
        <f>EXP(-LN(2)/25)*BQ76+(1-EXP(-LN(2)/25))/(LN(2)/25)*Calculateur!BL77*Calculateur!BN77*VLOOKUP('Données projet'!$B$11,Paramètres!$A$1:$I$89,3,0)*0.475*44/12</f>
        <v>4.8906143595423446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31.643174413720757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65.772446007058107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11.009999999999998</v>
      </c>
      <c r="BY77" s="12">
        <f>IF('Données projet'!$A$114&gt;35,BY76+BX77-CG76,IF(A77&lt;'Données projet'!$A$114,$BV$205^A77,IF(A77='Données projet'!$A$114,'Données projet'!$B$114,BY76+BX77-CG76)))</f>
        <v>329.65</v>
      </c>
      <c r="BZ77" s="13">
        <f>BY77*VLOOKUP('Données projet'!$B$12,Paramètres!$A$1:$I$89,3,0)*VLOOKUP('Données projet'!$B$12,Paramètres!$A$1:$I$89,5,0)</f>
        <v>298.26731999999998</v>
      </c>
      <c r="CA77" s="13">
        <f t="shared" si="93"/>
        <v>70.813104833271197</v>
      </c>
      <c r="CB77" s="20">
        <f t="shared" si="64"/>
        <v>642.81507325128075</v>
      </c>
      <c r="CC77" s="59">
        <f t="shared" si="65"/>
        <v>920.64737527716056</v>
      </c>
      <c r="CD77" s="59">
        <f ca="1">AVERAGE(OFFSET($CC$3,0,0,'Données projet'!$E$12+1,1))-AVERAGE(OFFSET($H$3,0,0,'Données projet'!$E$12+1,1))</f>
        <v>553.16421218123958</v>
      </c>
      <c r="CE77" s="59">
        <f t="shared" si="94"/>
        <v>291.73668613844416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97.188140792018444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97.188140792018444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65.772446007058107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11.009999999999998</v>
      </c>
      <c r="CT77" s="12">
        <f>IF('Données projet'!$A$140&gt;35,CT76+CS77-DB76,IF(A77&lt;'Données projet'!$A$140,$CQ$205^A77,IF(A77='Données projet'!$A$140,'Données projet'!$B$140,CT76+CS77-DB76)))</f>
        <v>329.65</v>
      </c>
      <c r="CU77" s="17">
        <f>CT77*VLOOKUP('Données projet'!$B$13,Paramètres!$A$1:$I$89,3,0)*VLOOKUP('Données projet'!$B$13,Paramètres!$A$1:$I$89,5,0)</f>
        <v>334.26509999999996</v>
      </c>
      <c r="CV77" s="13">
        <f t="shared" si="95"/>
        <v>78.313909245431049</v>
      </c>
      <c r="CW77" s="20">
        <f t="shared" si="67"/>
        <v>718.57510776912568</v>
      </c>
      <c r="CX77" s="59">
        <f t="shared" si="68"/>
        <v>996.40740979500538</v>
      </c>
      <c r="CY77" s="59">
        <f ca="1">AVERAGE(OFFSET($CX$3,0,0,'Données projet'!$E$13+1,1))-AVERAGE(OFFSET($H$3,0,0,'Données projet'!$E$13+1,1))</f>
        <v>611.82989382187804</v>
      </c>
      <c r="CZ77" s="59">
        <f t="shared" si="96"/>
        <v>320.34124600136363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108.91774399105513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108.91774399105513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65.772446007058107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11.009999999999998</v>
      </c>
      <c r="DO77" s="12">
        <f>IF('Données projet'!$A$166&gt;35,DO76+DN77-DW76,IF(A77&lt;'Données projet'!$A$166,$DL$205^A77,IF(A77='Données projet'!$A$166,'Données projet'!$B$166,DO76+DN77-DW76)))</f>
        <v>329.65</v>
      </c>
      <c r="DP77" s="17">
        <f>DO77*VLOOKUP('Données projet'!$B$14,Paramètres!$A$1:$I$89,3,0)*VLOOKUP('Données projet'!$B$14,Paramètres!$A$1:$I$89,5,0)</f>
        <v>354.83525999999995</v>
      </c>
      <c r="DQ77" s="13">
        <f t="shared" si="97"/>
        <v>82.557345053163033</v>
      </c>
      <c r="DR77" s="20">
        <f t="shared" si="70"/>
        <v>761.79212046759221</v>
      </c>
      <c r="DS77" s="59">
        <f t="shared" si="71"/>
        <v>1039.6244224934719</v>
      </c>
      <c r="DT77" s="59">
        <f ca="1">AVERAGE(OFFSET($DS$3,0,0,'Données projet'!$E$14+1,1))-AVERAGE(OFFSET($H$3,0,0,'Données projet'!$E$14+1,1))</f>
        <v>645.29541304800614</v>
      </c>
      <c r="DU77" s="59">
        <f t="shared" si="98"/>
        <v>336.65580771733323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115.62037439050467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115.62037439050467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65.772446007058107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319.7999999999999</v>
      </c>
      <c r="EK77" s="17">
        <f>EJ77*VLOOKUP('Données projet'!$B$15,Paramètres!$A$1:$I$89,3,0)*VLOOKUP('Données projet'!$B$15,Paramètres!$A$1:$I$89,5,0)</f>
        <v>234.47735999999995</v>
      </c>
      <c r="EL77" s="13">
        <f t="shared" si="99"/>
        <v>57.249702472380292</v>
      </c>
      <c r="EM77" s="20">
        <f t="shared" si="73"/>
        <v>508.09130047272885</v>
      </c>
      <c r="EN77" s="59">
        <f t="shared" si="74"/>
        <v>785.9236024986086</v>
      </c>
      <c r="EO77" s="59">
        <f ca="1">AVERAGE(OFFSET($EN$3,0,0,'Données projet'!$E$15+1,1))-AVERAGE(OFFSET($H$3,0,0,'Données projet'!$E$15+1,1))</f>
        <v>343.31122043016137</v>
      </c>
      <c r="EP77" s="59">
        <f t="shared" si="100"/>
        <v>333.61098411258877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36.185501301102576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36.185501301102576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65.772446007058107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319.7999999999999</v>
      </c>
      <c r="FF77" s="17">
        <f>FE77*VLOOKUP('Données projet'!$B$16,Paramètres!$A$1:$I$89,3,0)*VLOOKUP('Données projet'!$B$16,Paramètres!$A$1:$I$89,5,0)</f>
        <v>254.43287999999995</v>
      </c>
      <c r="FG77" s="13">
        <f t="shared" si="101"/>
        <v>61.534202204620392</v>
      </c>
      <c r="FH77" s="20">
        <f t="shared" si="76"/>
        <v>550.30933483971376</v>
      </c>
      <c r="FI77" s="59">
        <f t="shared" si="77"/>
        <v>828.14163686559345</v>
      </c>
      <c r="FJ77" s="59">
        <f ca="1">AVERAGE(OFFSET($FI$3,0,0,'Données projet'!$E$16+1,1))-AVERAGE(OFFSET($H$3,0,0,'Données projet'!$E$16+1,1))</f>
        <v>368.12945163484585</v>
      </c>
      <c r="FK77" s="59">
        <f t="shared" si="102"/>
        <v>357.27183934545121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48.396541324532542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48.396541324532542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65.772446007058107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65.772446007058107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3.0869565217391299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11.318840579710143</v>
      </c>
      <c r="H78" s="66">
        <f t="shared" si="56"/>
        <v>211.39130434782609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65.845784617440842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489.37</v>
      </c>
      <c r="L78" s="12">
        <f>VLOOKUP(A78,'Données projet'!$A$35:$I$55,9,0)</f>
        <v>15.211111111111116</v>
      </c>
      <c r="M78" s="12">
        <f t="array" ref="M78">INDEX(L:L,MIN(IF(ISNUMBER(L78:L274),ROW(L78:L274),"")))</f>
        <v>15.211111111111116</v>
      </c>
      <c r="N78" s="13">
        <f>IF('Données projet'!$A$36&gt;35,N77+M78-V77,IF(A78&lt;'Données projet'!$A$36,$K$205^A78,IF(A78='Données projet'!$A$36,'Données projet'!$B$36,N77+M78-V77)))</f>
        <v>489.36999999999938</v>
      </c>
      <c r="O78" s="13">
        <f>N78*VLOOKUP('Données projet'!$B$9,Paramètres!$A$1:$I$89,3,0)*VLOOKUP('Données projet'!$B$9,Paramètres!$A$1:$I$89,5,0)</f>
        <v>229.02515999999972</v>
      </c>
      <c r="P78" s="13">
        <f t="shared" si="87"/>
        <v>56.071846253835936</v>
      </c>
      <c r="Q78" s="20">
        <f t="shared" si="54"/>
        <v>496.54395255876375</v>
      </c>
      <c r="R78" s="59">
        <f t="shared" si="55"/>
        <v>774.64516282271347</v>
      </c>
      <c r="S78" s="59">
        <f ca="1">AVERAGE(OFFSET($R$3,0,0,'Données projet'!$E$9+1,1))-AVERAGE(OFFSET($H$3,0,0,'Données projet'!$E$9+1,1))</f>
        <v>320.30433416149219</v>
      </c>
      <c r="T78" s="59">
        <f t="shared" si="88"/>
        <v>201.33422682092797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87.99</v>
      </c>
      <c r="W78" s="16">
        <f>IF(ISNA(VLOOKUP(A78,'Données projet'!$A$35:$I$55,5,0)),0%,VLOOKUP(A78,'Données projet'!$A$35:$I$55,5,0)*VLOOKUP('Données projet'!$B$9,Paramètres!$A$1:$I$89,7,0))</f>
        <v>0.55000000000000004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117.29884667730016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117.29884667730016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65.845784617440842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767</v>
      </c>
      <c r="AG78" s="12">
        <f>VLOOKUP(A78,'Données projet'!$A$61:$I$81,9,0)</f>
        <v>13.6</v>
      </c>
      <c r="AH78" s="12">
        <f t="array" ref="AH78">INDEX(AG:AG,MIN(IF(ISNUMBER(AG78:AG274),ROW(AG78:AG274),"")))</f>
        <v>13.6</v>
      </c>
      <c r="AI78" s="13">
        <f>IF('Données projet'!$A$62&gt;35,AI77+AH78-AQ77,IF(A78&lt;'Données projet'!$A$62,$AF$205^A78,IF(A78='Données projet'!$A$62,'Données projet'!$B$62,AI77+AH78-AQ77)))</f>
        <v>767.00000000000034</v>
      </c>
      <c r="AJ78" s="13">
        <f>AI78*VLOOKUP('Données projet'!$B$10,Paramètres!$A$1:$I$89,3,0)*VLOOKUP('Données projet'!$B$10,Paramètres!$A$1:$I$89,5,0)</f>
        <v>458.66600000000022</v>
      </c>
      <c r="AK78" s="13">
        <f t="shared" si="89"/>
        <v>103.57392027838762</v>
      </c>
      <c r="AL78" s="20">
        <f t="shared" si="58"/>
        <v>979.23452781819208</v>
      </c>
      <c r="AM78" s="59">
        <f t="shared" si="59"/>
        <v>1257.3357380821419</v>
      </c>
      <c r="AN78" s="59">
        <f ca="1">AVERAGE(OFFSET($AM$3,0,0,'Données projet'!$E$10+1,1))-AVERAGE(OFFSET($H$3,0,0,'Données projet'!$E$10+1,1))</f>
        <v>569.80473816957431</v>
      </c>
      <c r="AO78" s="59">
        <f t="shared" si="90"/>
        <v>495.56567790763199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33</v>
      </c>
      <c r="AR78" s="16">
        <f>IF(ISNA(VLOOKUP(A78,'Données projet'!$A$61:$I$81,5,0)),0%,VLOOKUP(A78,'Données projet'!$A$61:$I$81,5,0)*VLOOKUP('Données projet'!$B$10,Paramètres!$A$1:$I$89,7,0))</f>
        <v>0.45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104.88673329732963</v>
      </c>
      <c r="AV78" s="21">
        <f>EXP(-LN(2)/25)*AV77+(1-EXP(-LN(2)/25))/(LN(2)/25)*Calculateur!AQ78*Calculateur!AS78*VLOOKUP('Données projet'!$B$10,Paramètres!$A$1:$I$89,3,0)*0.475*44/12</f>
        <v>18.78735596814014</v>
      </c>
      <c r="AW78" s="21">
        <f>EXP(-LN(2)/2)*AW77+(1-EXP(-LN(2)/2))/(LN(2)/2)*AQ78*AT78*VLOOKUP('Données projet'!$B$10,Paramètres!$A$1:$I$89,3,0)*0.475*44/12</f>
        <v>1.3242078192846271E-8</v>
      </c>
      <c r="AX78" s="21">
        <f t="shared" si="60"/>
        <v>123.67408927871185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65.845784617440842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-5.6843418860808015E-14</v>
      </c>
      <c r="BE78" s="13">
        <f>BD78*VLOOKUP('Données projet'!$B$11,Paramètres!$A$1:$I$89,3,0)*VLOOKUP('Données projet'!$B$11,Paramètres!$A$1:$I$89,5,0)</f>
        <v>-2.5006556825246661E-14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180.42749272334603</v>
      </c>
      <c r="BJ78" s="59">
        <f t="shared" si="92"/>
        <v>346.61476512497495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26.227958668966394</v>
      </c>
      <c r="BQ78" s="21">
        <f>EXP(-LN(2)/25)*BQ77+(1-EXP(-LN(2)/25))/(LN(2)/25)*Calculateur!BL78*Calculateur!BN78*VLOOKUP('Données projet'!$B$11,Paramètres!$A$1:$I$89,3,0)*0.475*44/12</f>
        <v>4.7568802526944278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30.984838921660824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65.845784617440842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11.009999999999998</v>
      </c>
      <c r="BY78" s="12">
        <f>IF('Données projet'!$A$114&gt;35,BY77+BX78-CG77,IF(A78&lt;'Données projet'!$A$114,$BV$205^A78,IF(A78='Données projet'!$A$114,'Données projet'!$B$114,BY77+BX78-CG77)))</f>
        <v>340.65999999999997</v>
      </c>
      <c r="BZ78" s="13">
        <f>BY78*VLOOKUP('Données projet'!$B$12,Paramètres!$A$1:$I$89,3,0)*VLOOKUP('Données projet'!$B$12,Paramètres!$A$1:$I$89,5,0)</f>
        <v>308.22916799999996</v>
      </c>
      <c r="CA78" s="13">
        <f t="shared" si="93"/>
        <v>72.898886756758046</v>
      </c>
      <c r="CB78" s="20">
        <f t="shared" si="64"/>
        <v>663.79802870135347</v>
      </c>
      <c r="CC78" s="59">
        <f t="shared" si="65"/>
        <v>941.89923896530331</v>
      </c>
      <c r="CD78" s="59">
        <f ca="1">AVERAGE(OFFSET($CC$3,0,0,'Données projet'!$E$12+1,1))-AVERAGE(OFFSET($H$3,0,0,'Données projet'!$E$12+1,1))</f>
        <v>553.16421218123958</v>
      </c>
      <c r="CE78" s="59">
        <f t="shared" si="94"/>
        <v>291.73668613844416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95.282340629999538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95.282340629999538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65.845784617440842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11.009999999999998</v>
      </c>
      <c r="CT78" s="12">
        <f>IF('Données projet'!$A$140&gt;35,CT77+CS78-DB77,IF(A78&lt;'Données projet'!$A$140,$CQ$205^A78,IF(A78='Données projet'!$A$140,'Données projet'!$B$140,CT77+CS78-DB77)))</f>
        <v>340.65999999999997</v>
      </c>
      <c r="CU78" s="17">
        <f>CT78*VLOOKUP('Données projet'!$B$13,Paramètres!$A$1:$I$89,3,0)*VLOOKUP('Données projet'!$B$13,Paramètres!$A$1:$I$89,5,0)</f>
        <v>345.42923999999999</v>
      </c>
      <c r="CV78" s="13">
        <f t="shared" si="95"/>
        <v>80.620625447838862</v>
      </c>
      <c r="CW78" s="20">
        <f t="shared" si="67"/>
        <v>742.03684898831932</v>
      </c>
      <c r="CX78" s="59">
        <f t="shared" si="68"/>
        <v>1020.1380592522692</v>
      </c>
      <c r="CY78" s="59">
        <f ca="1">AVERAGE(OFFSET($CX$3,0,0,'Données projet'!$E$13+1,1))-AVERAGE(OFFSET($H$3,0,0,'Données projet'!$E$13+1,1))</f>
        <v>611.82989382187804</v>
      </c>
      <c r="CZ78" s="59">
        <f t="shared" si="96"/>
        <v>320.34124600136363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106.78193346465464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106.78193346465464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65.845784617440842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11.009999999999998</v>
      </c>
      <c r="DO78" s="12">
        <f>IF('Données projet'!$A$166&gt;35,DO77+DN78-DW77,IF(A78&lt;'Données projet'!$A$166,$DL$205^A78,IF(A78='Données projet'!$A$166,'Données projet'!$B$166,DO77+DN78-DW77)))</f>
        <v>340.65999999999997</v>
      </c>
      <c r="DP78" s="17">
        <f>DO78*VLOOKUP('Données projet'!$B$14,Paramètres!$A$1:$I$89,3,0)*VLOOKUP('Données projet'!$B$14,Paramètres!$A$1:$I$89,5,0)</f>
        <v>366.68642399999993</v>
      </c>
      <c r="DQ78" s="13">
        <f t="shared" si="97"/>
        <v>84.989050573891006</v>
      </c>
      <c r="DR78" s="20">
        <f t="shared" si="70"/>
        <v>786.66811821619331</v>
      </c>
      <c r="DS78" s="59">
        <f t="shared" si="71"/>
        <v>1064.769328480143</v>
      </c>
      <c r="DT78" s="59">
        <f ca="1">AVERAGE(OFFSET($DS$3,0,0,'Données projet'!$E$14+1,1))-AVERAGE(OFFSET($H$3,0,0,'Données projet'!$E$14+1,1))</f>
        <v>645.29541304800614</v>
      </c>
      <c r="DU78" s="59">
        <f t="shared" si="98"/>
        <v>336.65580771733323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113.35312937017183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113.35312937017183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65.845784617440842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324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323.99999999999989</v>
      </c>
      <c r="EK78" s="17">
        <f>EJ78*VLOOKUP('Données projet'!$B$15,Paramètres!$A$1:$I$89,3,0)*VLOOKUP('Données projet'!$B$15,Paramètres!$A$1:$I$89,5,0)</f>
        <v>237.55679999999992</v>
      </c>
      <c r="EL78" s="13">
        <f t="shared" si="99"/>
        <v>57.913551469467308</v>
      </c>
      <c r="EM78" s="20">
        <f t="shared" si="73"/>
        <v>514.61086214265538</v>
      </c>
      <c r="EN78" s="59">
        <f t="shared" si="74"/>
        <v>792.7120724066051</v>
      </c>
      <c r="EO78" s="59">
        <f ca="1">AVERAGE(OFFSET($EN$3,0,0,'Données projet'!$E$15+1,1))-AVERAGE(OFFSET($H$3,0,0,'Données projet'!$E$15+1,1))</f>
        <v>343.31122043016137</v>
      </c>
      <c r="EP78" s="59">
        <f t="shared" si="100"/>
        <v>333.61098411258877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0.43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39.658265044095984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39.658265044095984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65.845784617440842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324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323.99999999999989</v>
      </c>
      <c r="FF78" s="17">
        <f>FE78*VLOOKUP('Données projet'!$B$16,Paramètres!$A$1:$I$89,3,0)*VLOOKUP('Données projet'!$B$16,Paramètres!$A$1:$I$89,5,0)</f>
        <v>257.77439999999996</v>
      </c>
      <c r="FG78" s="13">
        <f t="shared" si="101"/>
        <v>62.247732872134293</v>
      </c>
      <c r="FH78" s="20">
        <f t="shared" si="76"/>
        <v>557.37188141896718</v>
      </c>
      <c r="FI78" s="59">
        <f t="shared" si="77"/>
        <v>835.4730916829169</v>
      </c>
      <c r="FJ78" s="59">
        <f ca="1">AVERAGE(OFFSET($FI$3,0,0,'Données projet'!$E$16+1,1))-AVERAGE(OFFSET($H$3,0,0,'Données projet'!$E$16+1,1))</f>
        <v>368.12945163484585</v>
      </c>
      <c r="FK78" s="59">
        <f t="shared" si="102"/>
        <v>357.27183934545121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0.53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53.04121247609671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53.04121247609671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65.845784617440842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65.845784617440842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3.0869565217391299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11.318840579710143</v>
      </c>
      <c r="H79" s="66">
        <f t="shared" si="56"/>
        <v>211.39130434782609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65.917850966894008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14.338750000000005</v>
      </c>
      <c r="N79" s="13">
        <f>IF('Données projet'!$A$36&gt;35,N78+M79-V78,IF(A79&lt;'Données projet'!$A$36,$K$205^A79,IF(A79='Données projet'!$A$36,'Données projet'!$B$36,N78+M79-V78)))</f>
        <v>415.71874999999937</v>
      </c>
      <c r="O79" s="13">
        <f>N79*VLOOKUP('Données projet'!$B$9,Paramètres!$A$1:$I$89,3,0)*VLOOKUP('Données projet'!$B$9,Paramètres!$A$1:$I$89,5,0)</f>
        <v>194.55637499999972</v>
      </c>
      <c r="P79" s="13">
        <f t="shared" si="87"/>
        <v>48.545909113628923</v>
      </c>
      <c r="Q79" s="20">
        <f t="shared" si="54"/>
        <v>423.40314483123649</v>
      </c>
      <c r="R79" s="59">
        <f t="shared" si="55"/>
        <v>701.76859837651455</v>
      </c>
      <c r="S79" s="59">
        <f ca="1">AVERAGE(OFFSET($R$3,0,0,'Données projet'!$E$9+1,1))-AVERAGE(OFFSET($H$3,0,0,'Données projet'!$E$9+1,1))</f>
        <v>320.30433416149219</v>
      </c>
      <c r="T79" s="59">
        <f t="shared" si="88"/>
        <v>201.33422682092797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114.99868783919027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114.99868783919027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65.917850966894008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12.2</v>
      </c>
      <c r="AI79" s="13">
        <f>IF('Données projet'!$A$62&gt;35,AI78+AH79-AQ78,IF(A79&lt;'Données projet'!$A$62,$AF$205^A79,IF(A79='Données projet'!$A$62,'Données projet'!$B$62,AI78+AH79-AQ78)))</f>
        <v>746.20000000000039</v>
      </c>
      <c r="AJ79" s="13">
        <f>AI79*VLOOKUP('Données projet'!$B$10,Paramètres!$A$1:$I$89,3,0)*VLOOKUP('Données projet'!$B$10,Paramètres!$A$1:$I$89,5,0)</f>
        <v>446.22760000000022</v>
      </c>
      <c r="AK79" s="13">
        <f t="shared" si="89"/>
        <v>101.08812127877644</v>
      </c>
      <c r="AL79" s="20">
        <f t="shared" si="58"/>
        <v>953.24154789386921</v>
      </c>
      <c r="AM79" s="59">
        <f t="shared" si="59"/>
        <v>1231.6070014391473</v>
      </c>
      <c r="AN79" s="59">
        <f ca="1">AVERAGE(OFFSET($AM$3,0,0,'Données projet'!$E$10+1,1))-AVERAGE(OFFSET($H$3,0,0,'Données projet'!$E$10+1,1))</f>
        <v>569.80473816957431</v>
      </c>
      <c r="AO79" s="59">
        <f t="shared" si="90"/>
        <v>495.56567790763199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102.82996843195934</v>
      </c>
      <c r="AV79" s="21">
        <f>EXP(-LN(2)/25)*AV78+(1-EXP(-LN(2)/25))/(LN(2)/25)*Calculateur!AQ79*Calculateur!AS79*VLOOKUP('Données projet'!$B$10,Paramètres!$A$1:$I$89,3,0)*0.475*44/12</f>
        <v>18.273614731207235</v>
      </c>
      <c r="AW79" s="21">
        <f>EXP(-LN(2)/2)*AW78+(1-EXP(-LN(2)/2))/(LN(2)/2)*AQ79*AT79*VLOOKUP('Données projet'!$B$10,Paramètres!$A$1:$I$89,3,0)*0.475*44/12</f>
        <v>9.3635632871641009E-9</v>
      </c>
      <c r="AX79" s="21">
        <f t="shared" si="60"/>
        <v>121.10358317253014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65.917850966894008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-5.6843418860808015E-14</v>
      </c>
      <c r="BE79" s="13">
        <f>BD79*VLOOKUP('Données projet'!$B$11,Paramètres!$A$1:$I$89,3,0)*VLOOKUP('Données projet'!$B$11,Paramètres!$A$1:$I$89,5,0)</f>
        <v>-2.5006556825246661E-14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180.42749272334603</v>
      </c>
      <c r="BJ79" s="59">
        <f t="shared" si="92"/>
        <v>346.61476512497495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25.713644396943131</v>
      </c>
      <c r="BQ79" s="21">
        <f>EXP(-LN(2)/25)*BQ78+(1-EXP(-LN(2)/25))/(LN(2)/25)*Calculateur!BL79*Calculateur!BN79*VLOOKUP('Données projet'!$B$11,Paramètres!$A$1:$I$89,3,0)*0.475*44/12</f>
        <v>4.6268031120310384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30.340447508974169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65.917850966894008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11.009999999999998</v>
      </c>
      <c r="BY79" s="12">
        <f>IF('Données projet'!$A$114&gt;35,BY78+BX79-CG78,IF(A79&lt;'Données projet'!$A$114,$BV$205^A79,IF(A79='Données projet'!$A$114,'Données projet'!$B$114,BY78+BX79-CG78)))</f>
        <v>351.66999999999996</v>
      </c>
      <c r="BZ79" s="13">
        <f>BY79*VLOOKUP('Données projet'!$B$12,Paramètres!$A$1:$I$89,3,0)*VLOOKUP('Données projet'!$B$12,Paramètres!$A$1:$I$89,5,0)</f>
        <v>318.19101599999993</v>
      </c>
      <c r="CA79" s="13">
        <f t="shared" si="93"/>
        <v>74.976835262469947</v>
      </c>
      <c r="CB79" s="20">
        <f t="shared" si="64"/>
        <v>684.76734094880157</v>
      </c>
      <c r="CC79" s="59">
        <f t="shared" si="65"/>
        <v>963.13279449407969</v>
      </c>
      <c r="CD79" s="59">
        <f ca="1">AVERAGE(OFFSET($CC$3,0,0,'Données projet'!$E$12+1,1))-AVERAGE(OFFSET($H$3,0,0,'Données projet'!$E$12+1,1))</f>
        <v>553.16421218123958</v>
      </c>
      <c r="CE79" s="59">
        <f t="shared" si="94"/>
        <v>291.73668613844416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93.413912046734509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93.413912046734509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65.917850966894008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11.009999999999998</v>
      </c>
      <c r="CT79" s="12">
        <f>IF('Données projet'!$A$140&gt;35,CT78+CS79-DB78,IF(A79&lt;'Données projet'!$A$140,$CQ$205^A79,IF(A79='Données projet'!$A$140,'Données projet'!$B$140,CT78+CS79-DB78)))</f>
        <v>351.66999999999996</v>
      </c>
      <c r="CU79" s="17">
        <f>CT79*VLOOKUP('Données projet'!$B$13,Paramètres!$A$1:$I$89,3,0)*VLOOKUP('Données projet'!$B$13,Paramètres!$A$1:$I$89,5,0)</f>
        <v>356.59337999999997</v>
      </c>
      <c r="CV79" s="13">
        <f t="shared" si="95"/>
        <v>82.918678485848602</v>
      </c>
      <c r="CW79" s="20">
        <f t="shared" si="67"/>
        <v>765.4835018628529</v>
      </c>
      <c r="CX79" s="59">
        <f t="shared" si="68"/>
        <v>1043.8489554081309</v>
      </c>
      <c r="CY79" s="59">
        <f ca="1">AVERAGE(OFFSET($CX$3,0,0,'Données projet'!$E$13+1,1))-AVERAGE(OFFSET($H$3,0,0,'Données projet'!$E$13+1,1))</f>
        <v>611.82989382187804</v>
      </c>
      <c r="CZ79" s="59">
        <f t="shared" si="96"/>
        <v>320.34124600136363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104.68800487996107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104.68800487996107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65.917850966894008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11.009999999999998</v>
      </c>
      <c r="DO79" s="12">
        <f>IF('Données projet'!$A$166&gt;35,DO78+DN79-DW78,IF(A79&lt;'Données projet'!$A$166,$DL$205^A79,IF(A79='Données projet'!$A$166,'Données projet'!$B$166,DO78+DN79-DW78)))</f>
        <v>351.66999999999996</v>
      </c>
      <c r="DP79" s="17">
        <f>DO79*VLOOKUP('Données projet'!$B$14,Paramètres!$A$1:$I$89,3,0)*VLOOKUP('Données projet'!$B$14,Paramètres!$A$1:$I$89,5,0)</f>
        <v>378.53758799999991</v>
      </c>
      <c r="DQ79" s="13">
        <f t="shared" si="97"/>
        <v>87.411623517030193</v>
      </c>
      <c r="DR79" s="20">
        <f t="shared" si="70"/>
        <v>811.52821005882743</v>
      </c>
      <c r="DS79" s="59">
        <f t="shared" si="71"/>
        <v>1089.8936636041055</v>
      </c>
      <c r="DT79" s="59">
        <f ca="1">AVERAGE(OFFSET($DS$3,0,0,'Données projet'!$E$14+1,1))-AVERAGE(OFFSET($H$3,0,0,'Données projet'!$E$14+1,1))</f>
        <v>645.29541304800614</v>
      </c>
      <c r="DU79" s="59">
        <f t="shared" si="98"/>
        <v>336.65580771733323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111.13034364180481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111.13034364180481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65.917850966894008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315.59999999999991</v>
      </c>
      <c r="EK79" s="17">
        <f>EJ79*VLOOKUP('Données projet'!$B$15,Paramètres!$A$1:$I$89,3,0)*VLOOKUP('Données projet'!$B$15,Paramètres!$A$1:$I$89,5,0)</f>
        <v>231.39791999999991</v>
      </c>
      <c r="EL79" s="13">
        <f t="shared" si="99"/>
        <v>56.584837838715806</v>
      </c>
      <c r="EM79" s="20">
        <f t="shared" si="73"/>
        <v>501.56996990242982</v>
      </c>
      <c r="EN79" s="59">
        <f t="shared" si="74"/>
        <v>779.93542344770788</v>
      </c>
      <c r="EO79" s="59">
        <f ca="1">AVERAGE(OFFSET($EN$3,0,0,'Données projet'!$E$15+1,1))-AVERAGE(OFFSET($H$3,0,0,'Données projet'!$E$15+1,1))</f>
        <v>343.31122043016137</v>
      </c>
      <c r="EP79" s="59">
        <f t="shared" si="100"/>
        <v>333.61098411258877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38.880590655734458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38.880590655734458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65.917850966894008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315.59999999999991</v>
      </c>
      <c r="FF79" s="17">
        <f>FE79*VLOOKUP('Données projet'!$B$16,Paramètres!$A$1:$I$89,3,0)*VLOOKUP('Données projet'!$B$16,Paramètres!$A$1:$I$89,5,0)</f>
        <v>251.09135999999995</v>
      </c>
      <c r="FG79" s="13">
        <f t="shared" si="101"/>
        <v>60.81957989149403</v>
      </c>
      <c r="FH79" s="20">
        <f t="shared" si="76"/>
        <v>543.24488697768527</v>
      </c>
      <c r="FI79" s="59">
        <f t="shared" si="77"/>
        <v>821.61034052296327</v>
      </c>
      <c r="FJ79" s="59">
        <f ca="1">AVERAGE(OFFSET($FI$3,0,0,'Données projet'!$E$16+1,1))-AVERAGE(OFFSET($H$3,0,0,'Données projet'!$E$16+1,1))</f>
        <v>368.12945163484585</v>
      </c>
      <c r="FK79" s="59">
        <f t="shared" si="102"/>
        <v>357.27183934545121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52.001106651385577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52.001106651385577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65.917850966894008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65.917850966894008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3.0869565217391299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11.318840579710143</v>
      </c>
      <c r="H80" s="66">
        <f t="shared" si="56"/>
        <v>211.39130434782609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65.988667126300385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14.338750000000005</v>
      </c>
      <c r="N80" s="13">
        <f>IF('Données projet'!$A$36&gt;35,N79+M80-V79,IF(A80&lt;'Données projet'!$A$36,$K$205^A80,IF(A80='Données projet'!$A$36,'Données projet'!$B$36,N79+M80-V79)))</f>
        <v>430.05749999999938</v>
      </c>
      <c r="O80" s="13">
        <f>N80*VLOOKUP('Données projet'!$B$9,Paramètres!$A$1:$I$89,3,0)*VLOOKUP('Données projet'!$B$9,Paramètres!$A$1:$I$89,5,0)</f>
        <v>201.26690999999968</v>
      </c>
      <c r="P80" s="13">
        <f t="shared" si="87"/>
        <v>50.022493790546385</v>
      </c>
      <c r="Q80" s="20">
        <f t="shared" si="54"/>
        <v>437.66237826853438</v>
      </c>
      <c r="R80" s="59">
        <f t="shared" si="55"/>
        <v>716.28749106496912</v>
      </c>
      <c r="S80" s="59">
        <f ca="1">AVERAGE(OFFSET($R$3,0,0,'Données projet'!$E$9+1,1))-AVERAGE(OFFSET($H$3,0,0,'Données projet'!$E$9+1,1))</f>
        <v>320.30433416149219</v>
      </c>
      <c r="T80" s="59">
        <f t="shared" si="88"/>
        <v>201.33422682092797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112.74363371293735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112.74363371293735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65.988667126300385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12.2</v>
      </c>
      <c r="AI80" s="13">
        <f>IF('Données projet'!$A$62&gt;35,AI79+AH80-AQ79,IF(A80&lt;'Données projet'!$A$62,$AF$205^A80,IF(A80='Données projet'!$A$62,'Données projet'!$B$62,AI79+AH80-AQ79)))</f>
        <v>758.40000000000043</v>
      </c>
      <c r="AJ80" s="13">
        <f>AI80*VLOOKUP('Données projet'!$B$10,Paramètres!$A$1:$I$89,3,0)*VLOOKUP('Données projet'!$B$10,Paramètres!$A$1:$I$89,5,0)</f>
        <v>453.52320000000026</v>
      </c>
      <c r="AK80" s="13">
        <f t="shared" si="89"/>
        <v>102.54710171287262</v>
      </c>
      <c r="AL80" s="20">
        <f t="shared" si="58"/>
        <v>968.48910881658685</v>
      </c>
      <c r="AM80" s="59">
        <f t="shared" si="59"/>
        <v>1247.1142216130215</v>
      </c>
      <c r="AN80" s="59">
        <f ca="1">AVERAGE(OFFSET($AM$3,0,0,'Données projet'!$E$10+1,1))-AVERAGE(OFFSET($H$3,0,0,'Données projet'!$E$10+1,1))</f>
        <v>569.80473816957431</v>
      </c>
      <c r="AO80" s="59">
        <f t="shared" si="90"/>
        <v>495.56567790763199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100.81353547109627</v>
      </c>
      <c r="AV80" s="21">
        <f>EXP(-LN(2)/25)*AV79+(1-EXP(-LN(2)/25))/(LN(2)/25)*Calculateur!AQ80*Calculateur!AS80*VLOOKUP('Données projet'!$B$10,Paramètres!$A$1:$I$89,3,0)*0.475*44/12</f>
        <v>17.773921775414738</v>
      </c>
      <c r="AW80" s="21">
        <f>EXP(-LN(2)/2)*AW79+(1-EXP(-LN(2)/2))/(LN(2)/2)*AQ80*AT80*VLOOKUP('Données projet'!$B$10,Paramètres!$A$1:$I$89,3,0)*0.475*44/12</f>
        <v>6.6210390964231356E-9</v>
      </c>
      <c r="AX80" s="21">
        <f t="shared" si="60"/>
        <v>118.58745725313204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65.988667126300385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-5.6843418860808015E-14</v>
      </c>
      <c r="BE80" s="13">
        <f>BD80*VLOOKUP('Données projet'!$B$11,Paramètres!$A$1:$I$89,3,0)*VLOOKUP('Données projet'!$B$11,Paramètres!$A$1:$I$89,5,0)</f>
        <v>-2.5006556825246661E-14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180.42749272334603</v>
      </c>
      <c r="BJ80" s="59">
        <f t="shared" si="92"/>
        <v>346.61476512497495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25.209415514093514</v>
      </c>
      <c r="BQ80" s="21">
        <f>EXP(-LN(2)/25)*BQ79+(1-EXP(-LN(2)/25))/(LN(2)/25)*Calculateur!BL80*Calculateur!BN80*VLOOKUP('Données projet'!$B$11,Paramètres!$A$1:$I$89,3,0)*0.475*44/12</f>
        <v>4.5002829376195486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29.709698451713063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65.988667126300385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11.009999999999998</v>
      </c>
      <c r="BY80" s="12">
        <f>IF('Données projet'!$A$114&gt;35,BY79+BX80-CG79,IF(A80&lt;'Données projet'!$A$114,$BV$205^A80,IF(A80='Données projet'!$A$114,'Données projet'!$B$114,BY79+BX80-CG79)))</f>
        <v>362.67999999999995</v>
      </c>
      <c r="BZ80" s="13">
        <f>BY80*VLOOKUP('Données projet'!$B$12,Paramètres!$A$1:$I$89,3,0)*VLOOKUP('Données projet'!$B$12,Paramètres!$A$1:$I$89,5,0)</f>
        <v>328.15286399999997</v>
      </c>
      <c r="CA80" s="13">
        <f t="shared" si="93"/>
        <v>77.047223736242103</v>
      </c>
      <c r="CB80" s="20">
        <f t="shared" si="64"/>
        <v>705.7234861406215</v>
      </c>
      <c r="CC80" s="59">
        <f t="shared" si="65"/>
        <v>984.34859893705629</v>
      </c>
      <c r="CD80" s="59">
        <f ca="1">AVERAGE(OFFSET($CC$3,0,0,'Données projet'!$E$12+1,1))-AVERAGE(OFFSET($H$3,0,0,'Données projet'!$E$12+1,1))</f>
        <v>553.16421218123958</v>
      </c>
      <c r="CE80" s="59">
        <f t="shared" si="94"/>
        <v>291.73668613844416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91.582122208358399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91.582122208358399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65.988667126300385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11.009999999999998</v>
      </c>
      <c r="CT80" s="12">
        <f>IF('Données projet'!$A$140&gt;35,CT79+CS80-DB79,IF(A80&lt;'Données projet'!$A$140,$CQ$205^A80,IF(A80='Données projet'!$A$140,'Données projet'!$B$140,CT79+CS80-DB79)))</f>
        <v>362.67999999999995</v>
      </c>
      <c r="CU80" s="17">
        <f>CT80*VLOOKUP('Données projet'!$B$13,Paramètres!$A$1:$I$89,3,0)*VLOOKUP('Données projet'!$B$13,Paramètres!$A$1:$I$89,5,0)</f>
        <v>367.75751999999994</v>
      </c>
      <c r="CV80" s="13">
        <f t="shared" si="95"/>
        <v>85.208370703405464</v>
      </c>
      <c r="CW80" s="20">
        <f t="shared" si="67"/>
        <v>788.91559297509775</v>
      </c>
      <c r="CX80" s="59">
        <f t="shared" si="68"/>
        <v>1067.5407057715324</v>
      </c>
      <c r="CY80" s="59">
        <f ca="1">AVERAGE(OFFSET($CX$3,0,0,'Données projet'!$E$13+1,1))-AVERAGE(OFFSET($H$3,0,0,'Données projet'!$E$13+1,1))</f>
        <v>611.82989382187804</v>
      </c>
      <c r="CZ80" s="59">
        <f t="shared" si="96"/>
        <v>320.34124600136363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102.63513695764301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102.63513695764301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65.988667126300385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11.009999999999998</v>
      </c>
      <c r="DO80" s="12">
        <f>IF('Données projet'!$A$166&gt;35,DO79+DN80-DW79,IF(A80&lt;'Données projet'!$A$166,$DL$205^A80,IF(A80='Données projet'!$A$166,'Données projet'!$B$166,DO79+DN80-DW79)))</f>
        <v>362.67999999999995</v>
      </c>
      <c r="DP80" s="17">
        <f>DO80*VLOOKUP('Données projet'!$B$14,Paramètres!$A$1:$I$89,3,0)*VLOOKUP('Données projet'!$B$14,Paramètres!$A$1:$I$89,5,0)</f>
        <v>390.38875199999995</v>
      </c>
      <c r="DQ80" s="13">
        <f t="shared" si="97"/>
        <v>89.825382609019499</v>
      </c>
      <c r="DR80" s="20">
        <f t="shared" si="70"/>
        <v>836.37295111070887</v>
      </c>
      <c r="DS80" s="59">
        <f t="shared" si="71"/>
        <v>1114.9980639071437</v>
      </c>
      <c r="DT80" s="59">
        <f ca="1">AVERAGE(OFFSET($DS$3,0,0,'Données projet'!$E$14+1,1))-AVERAGE(OFFSET($H$3,0,0,'Données projet'!$E$14+1,1))</f>
        <v>645.29541304800614</v>
      </c>
      <c r="DU80" s="59">
        <f t="shared" si="98"/>
        <v>336.65580771733323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108.95114538580565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108.95114538580565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65.988667126300385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319.19999999999993</v>
      </c>
      <c r="EK80" s="17">
        <f>EJ80*VLOOKUP('Données projet'!$B$15,Paramètres!$A$1:$I$89,3,0)*VLOOKUP('Données projet'!$B$15,Paramètres!$A$1:$I$89,5,0)</f>
        <v>234.03743999999998</v>
      </c>
      <c r="EL80" s="13">
        <f t="shared" si="99"/>
        <v>57.154784339928739</v>
      </c>
      <c r="EM80" s="20">
        <f t="shared" si="73"/>
        <v>507.15979072537579</v>
      </c>
      <c r="EN80" s="59">
        <f t="shared" si="74"/>
        <v>785.78490352181052</v>
      </c>
      <c r="EO80" s="59">
        <f ca="1">AVERAGE(OFFSET($EN$3,0,0,'Données projet'!$E$15+1,1))-AVERAGE(OFFSET($H$3,0,0,'Données projet'!$E$15+1,1))</f>
        <v>343.31122043016137</v>
      </c>
      <c r="EP80" s="59">
        <f t="shared" si="100"/>
        <v>333.61098411258877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38.118165987794164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38.118165987794164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65.988667126300385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319.19999999999993</v>
      </c>
      <c r="FF80" s="17">
        <f>FE80*VLOOKUP('Données projet'!$B$16,Paramètres!$A$1:$I$89,3,0)*VLOOKUP('Données projet'!$B$16,Paramètres!$A$1:$I$89,5,0)</f>
        <v>253.95551999999998</v>
      </c>
      <c r="FG80" s="13">
        <f t="shared" si="101"/>
        <v>61.432180511879253</v>
      </c>
      <c r="FH80" s="20">
        <f t="shared" si="76"/>
        <v>549.30024505818972</v>
      </c>
      <c r="FI80" s="59">
        <f t="shared" si="77"/>
        <v>827.92535785462451</v>
      </c>
      <c r="FJ80" s="59">
        <f ca="1">AVERAGE(OFFSET($FI$3,0,0,'Données projet'!$E$16+1,1))-AVERAGE(OFFSET($H$3,0,0,'Données projet'!$E$16+1,1))</f>
        <v>368.12945163484585</v>
      </c>
      <c r="FK80" s="59">
        <f t="shared" si="102"/>
        <v>357.27183934545121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50.981396667495119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50.981396667495119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65.988667126300385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65.988667126300385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3.0869565217391299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11.318840579710143</v>
      </c>
      <c r="H81" s="66">
        <f t="shared" si="56"/>
        <v>211.39130434782609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66.058254783662278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14.338750000000005</v>
      </c>
      <c r="N81" s="13">
        <f>IF('Données projet'!$A$36&gt;35,N80+M81-V80,IF(A81&lt;'Données projet'!$A$36,$K$205^A81,IF(A81='Données projet'!$A$36,'Données projet'!$B$36,N80+M81-V80)))</f>
        <v>444.39624999999938</v>
      </c>
      <c r="O81" s="13">
        <f>N81*VLOOKUP('Données projet'!$B$9,Paramètres!$A$1:$I$89,3,0)*VLOOKUP('Données projet'!$B$9,Paramètres!$A$1:$I$89,5,0)</f>
        <v>207.97744499999973</v>
      </c>
      <c r="P81" s="13">
        <f t="shared" si="87"/>
        <v>51.493357906038632</v>
      </c>
      <c r="Q81" s="20">
        <f t="shared" si="54"/>
        <v>451.91164839468348</v>
      </c>
      <c r="R81" s="59">
        <f t="shared" si="55"/>
        <v>730.79191593477844</v>
      </c>
      <c r="S81" s="59">
        <f ca="1">AVERAGE(OFFSET($R$3,0,0,'Données projet'!$E$9+1,1))-AVERAGE(OFFSET($H$3,0,0,'Données projet'!$E$9+1,1))</f>
        <v>320.30433416149219</v>
      </c>
      <c r="T81" s="59">
        <f t="shared" si="88"/>
        <v>201.33422682092797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110.53279982265306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110.53279982265306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66.058254783662278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12.2</v>
      </c>
      <c r="AI81" s="13">
        <f>IF('Données projet'!$A$62&gt;35,AI80+AH81-AQ80,IF(A81&lt;'Données projet'!$A$62,$AF$205^A81,IF(A81='Données projet'!$A$62,'Données projet'!$B$62,AI80+AH81-AQ80)))</f>
        <v>770.60000000000048</v>
      </c>
      <c r="AJ81" s="13">
        <f>AI81*VLOOKUP('Données projet'!$B$10,Paramètres!$A$1:$I$89,3,0)*VLOOKUP('Données projet'!$B$10,Paramètres!$A$1:$I$89,5,0)</f>
        <v>460.81880000000029</v>
      </c>
      <c r="AK81" s="13">
        <f t="shared" si="89"/>
        <v>104.00335268391156</v>
      </c>
      <c r="AL81" s="20">
        <f t="shared" si="58"/>
        <v>983.73191592447984</v>
      </c>
      <c r="AM81" s="59">
        <f t="shared" si="59"/>
        <v>1262.6121834645749</v>
      </c>
      <c r="AN81" s="59">
        <f ca="1">AVERAGE(OFFSET($AM$3,0,0,'Données projet'!$E$10+1,1))-AVERAGE(OFFSET($H$3,0,0,'Données projet'!$E$10+1,1))</f>
        <v>569.80473816957431</v>
      </c>
      <c r="AO81" s="59">
        <f t="shared" si="90"/>
        <v>495.56567790763199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98.836643530693067</v>
      </c>
      <c r="AV81" s="21">
        <f>EXP(-LN(2)/25)*AV80+(1-EXP(-LN(2)/25))/(LN(2)/25)*Calculateur!AQ81*Calculateur!AS81*VLOOKUP('Données projet'!$B$10,Paramètres!$A$1:$I$89,3,0)*0.475*44/12</f>
        <v>17.287892949776101</v>
      </c>
      <c r="AW81" s="21">
        <f>EXP(-LN(2)/2)*AW80+(1-EXP(-LN(2)/2))/(LN(2)/2)*AQ81*AT81*VLOOKUP('Données projet'!$B$10,Paramètres!$A$1:$I$89,3,0)*0.475*44/12</f>
        <v>4.6817816435820504E-9</v>
      </c>
      <c r="AX81" s="21">
        <f t="shared" si="60"/>
        <v>116.12453648515095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66.058254783662278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-5.6843418860808015E-14</v>
      </c>
      <c r="BE81" s="13">
        <f>BD81*VLOOKUP('Données projet'!$B$11,Paramètres!$A$1:$I$89,3,0)*VLOOKUP('Données projet'!$B$11,Paramètres!$A$1:$I$89,5,0)</f>
        <v>-2.5006556825246661E-14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180.42749272334603</v>
      </c>
      <c r="BJ81" s="59">
        <f t="shared" si="92"/>
        <v>346.61476512497495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24.715074252087327</v>
      </c>
      <c r="BQ81" s="21">
        <f>EXP(-LN(2)/25)*BQ80+(1-EXP(-LN(2)/25))/(LN(2)/25)*Calculateur!BL81*Calculateur!BN81*VLOOKUP('Données projet'!$B$11,Paramètres!$A$1:$I$89,3,0)*0.475*44/12</f>
        <v>4.3772224640307478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29.092296716118074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66.058254783662278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11.009999999999998</v>
      </c>
      <c r="BY81" s="12">
        <f>IF('Données projet'!$A$114&gt;35,BY80+BX81-CG80,IF(A81&lt;'Données projet'!$A$114,$BV$205^A81,IF(A81='Données projet'!$A$114,'Données projet'!$B$114,BY80+BX81-CG80)))</f>
        <v>373.68999999999994</v>
      </c>
      <c r="BZ81" s="13">
        <f>BY81*VLOOKUP('Données projet'!$B$12,Paramètres!$A$1:$I$89,3,0)*VLOOKUP('Données projet'!$B$12,Paramètres!$A$1:$I$89,5,0)</f>
        <v>338.11471199999994</v>
      </c>
      <c r="CA81" s="13">
        <f t="shared" si="93"/>
        <v>79.110308022170997</v>
      </c>
      <c r="CB81" s="20">
        <f t="shared" si="64"/>
        <v>726.66690987194772</v>
      </c>
      <c r="CC81" s="59">
        <f t="shared" si="65"/>
        <v>1005.5471774120427</v>
      </c>
      <c r="CD81" s="59">
        <f ca="1">AVERAGE(OFFSET($CC$3,0,0,'Données projet'!$E$12+1,1))-AVERAGE(OFFSET($H$3,0,0,'Données projet'!$E$12+1,1))</f>
        <v>553.16421218123958</v>
      </c>
      <c r="CE81" s="59">
        <f t="shared" si="94"/>
        <v>291.73668613844416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89.786252651431369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89.786252651431369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66.058254783662278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11.009999999999998</v>
      </c>
      <c r="CT81" s="12">
        <f>IF('Données projet'!$A$140&gt;35,CT80+CS81-DB80,IF(A81&lt;'Données projet'!$A$140,$CQ$205^A81,IF(A81='Données projet'!$A$140,'Données projet'!$B$140,CT80+CS81-DB80)))</f>
        <v>373.68999999999994</v>
      </c>
      <c r="CU81" s="17">
        <f>CT81*VLOOKUP('Données projet'!$B$13,Paramètres!$A$1:$I$89,3,0)*VLOOKUP('Données projet'!$B$13,Paramètres!$A$1:$I$89,5,0)</f>
        <v>378.92165999999992</v>
      </c>
      <c r="CV81" s="13">
        <f t="shared" si="95"/>
        <v>87.489985044625499</v>
      </c>
      <c r="CW81" s="20">
        <f t="shared" si="67"/>
        <v>812.33361511938926</v>
      </c>
      <c r="CX81" s="59">
        <f t="shared" si="68"/>
        <v>1091.2138826594842</v>
      </c>
      <c r="CY81" s="59">
        <f ca="1">AVERAGE(OFFSET($CX$3,0,0,'Données projet'!$E$13+1,1))-AVERAGE(OFFSET($H$3,0,0,'Données projet'!$E$13+1,1))</f>
        <v>611.82989382187804</v>
      </c>
      <c r="CZ81" s="59">
        <f t="shared" si="96"/>
        <v>320.34124600136363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100.62252452315582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100.62252452315582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66.058254783662278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11.009999999999998</v>
      </c>
      <c r="DO81" s="12">
        <f>IF('Données projet'!$A$166&gt;35,DO80+DN81-DW80,IF(A81&lt;'Données projet'!$A$166,$DL$205^A81,IF(A81='Données projet'!$A$166,'Données projet'!$B$166,DO80+DN81-DW80)))</f>
        <v>373.68999999999994</v>
      </c>
      <c r="DP81" s="17">
        <f>DO81*VLOOKUP('Données projet'!$B$14,Paramètres!$A$1:$I$89,3,0)*VLOOKUP('Données projet'!$B$14,Paramètres!$A$1:$I$89,5,0)</f>
        <v>402.23991599999988</v>
      </c>
      <c r="DQ81" s="13">
        <f t="shared" si="97"/>
        <v>92.230626125289803</v>
      </c>
      <c r="DR81" s="20">
        <f t="shared" si="70"/>
        <v>861.20286086821272</v>
      </c>
      <c r="DS81" s="59">
        <f t="shared" si="71"/>
        <v>1140.0831284083079</v>
      </c>
      <c r="DT81" s="59">
        <f ca="1">AVERAGE(OFFSET($DS$3,0,0,'Données projet'!$E$14+1,1))-AVERAGE(OFFSET($H$3,0,0,'Données projet'!$E$14+1,1))</f>
        <v>645.29541304800614</v>
      </c>
      <c r="DU81" s="59">
        <f t="shared" si="98"/>
        <v>336.65580771733323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106.81467987842693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106.81467987842693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66.058254783662278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322.79999999999995</v>
      </c>
      <c r="EK81" s="17">
        <f>EJ81*VLOOKUP('Données projet'!$B$15,Paramètres!$A$1:$I$89,3,0)*VLOOKUP('Données projet'!$B$15,Paramètres!$A$1:$I$89,5,0)</f>
        <v>236.67695999999998</v>
      </c>
      <c r="EL81" s="13">
        <f t="shared" si="99"/>
        <v>57.723983099802702</v>
      </c>
      <c r="EM81" s="20">
        <f t="shared" si="73"/>
        <v>512.74830923215643</v>
      </c>
      <c r="EN81" s="59">
        <f t="shared" si="74"/>
        <v>791.62857677225145</v>
      </c>
      <c r="EO81" s="59">
        <f ca="1">AVERAGE(OFFSET($EN$3,0,0,'Données projet'!$E$15+1,1))-AVERAGE(OFFSET($H$3,0,0,'Données projet'!$E$15+1,1))</f>
        <v>343.31122043016137</v>
      </c>
      <c r="EP81" s="59">
        <f t="shared" si="100"/>
        <v>333.61098411258877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37.370692002559046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37.370692002559046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66.058254783662278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322.79999999999995</v>
      </c>
      <c r="FF81" s="17">
        <f>FE81*VLOOKUP('Données projet'!$B$16,Paramètres!$A$1:$I$89,3,0)*VLOOKUP('Données projet'!$B$16,Paramètres!$A$1:$I$89,5,0)</f>
        <v>256.81968000000001</v>
      </c>
      <c r="FG81" s="13">
        <f t="shared" si="101"/>
        <v>62.043977430851903</v>
      </c>
      <c r="FH81" s="20">
        <f t="shared" si="76"/>
        <v>555.35420335873368</v>
      </c>
      <c r="FI81" s="59">
        <f t="shared" si="77"/>
        <v>834.2344708988287</v>
      </c>
      <c r="FJ81" s="59">
        <f ca="1">AVERAGE(OFFSET($FI$3,0,0,'Données projet'!$E$16+1,1))-AVERAGE(OFFSET($H$3,0,0,'Données projet'!$E$16+1,1))</f>
        <v>368.12945163484585</v>
      </c>
      <c r="FK81" s="59">
        <f t="shared" si="102"/>
        <v>357.27183934545121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49.981682574427076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49.981682574427076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66.058254783662278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66.058254783662278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3.0869565217391299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11.318840579710143</v>
      </c>
      <c r="H82" s="66">
        <f t="shared" si="56"/>
        <v>211.39130434782609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66.126635250743618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14.338750000000005</v>
      </c>
      <c r="N82" s="13">
        <f>IF('Données projet'!$A$36&gt;35,N81+M82-V81,IF(A82&lt;'Données projet'!$A$36,$K$205^A82,IF(A82='Données projet'!$A$36,'Données projet'!$B$36,N81+M82-V81)))</f>
        <v>458.73499999999939</v>
      </c>
      <c r="O82" s="13">
        <f>N82*VLOOKUP('Données projet'!$B$9,Paramètres!$A$1:$I$89,3,0)*VLOOKUP('Données projet'!$B$9,Paramètres!$A$1:$I$89,5,0)</f>
        <v>214.6879799999997</v>
      </c>
      <c r="P82" s="13">
        <f t="shared" si="87"/>
        <v>52.95870720880778</v>
      </c>
      <c r="Q82" s="20">
        <f t="shared" si="54"/>
        <v>466.15131355533964</v>
      </c>
      <c r="R82" s="59">
        <f t="shared" si="55"/>
        <v>745.28230947473287</v>
      </c>
      <c r="S82" s="59">
        <f ca="1">AVERAGE(OFFSET($R$3,0,0,'Données projet'!$E$9+1,1))-AVERAGE(OFFSET($H$3,0,0,'Données projet'!$E$9+1,1))</f>
        <v>320.30433416149219</v>
      </c>
      <c r="T82" s="59">
        <f t="shared" si="88"/>
        <v>201.33422682092797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108.36531903648172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108.36531903648172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66.126635250743618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12.2</v>
      </c>
      <c r="AI82" s="13">
        <f>IF('Données projet'!$A$62&gt;35,AI81+AH82-AQ81,IF(A82&lt;'Données projet'!$A$62,$AF$205^A82,IF(A82='Données projet'!$A$62,'Données projet'!$B$62,AI81+AH82-AQ81)))</f>
        <v>782.80000000000052</v>
      </c>
      <c r="AJ82" s="13">
        <f>AI82*VLOOKUP('Données projet'!$B$10,Paramètres!$A$1:$I$89,3,0)*VLOOKUP('Données projet'!$B$10,Paramètres!$A$1:$I$89,5,0)</f>
        <v>468.11440000000033</v>
      </c>
      <c r="AK82" s="13">
        <f t="shared" si="89"/>
        <v>105.45692239381121</v>
      </c>
      <c r="AL82" s="20">
        <f t="shared" si="58"/>
        <v>998.97005316922184</v>
      </c>
      <c r="AM82" s="59">
        <f t="shared" si="59"/>
        <v>1278.1010490886151</v>
      </c>
      <c r="AN82" s="59">
        <f ca="1">AVERAGE(OFFSET($AM$3,0,0,'Données projet'!$E$10+1,1))-AVERAGE(OFFSET($H$3,0,0,'Données projet'!$E$10+1,1))</f>
        <v>569.80473816957431</v>
      </c>
      <c r="AO82" s="59">
        <f t="shared" si="90"/>
        <v>495.56567790763199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96.89851723545614</v>
      </c>
      <c r="AV82" s="21">
        <f>EXP(-LN(2)/25)*AV81+(1-EXP(-LN(2)/25))/(LN(2)/25)*Calculateur!AQ82*Calculateur!AS82*VLOOKUP('Données projet'!$B$10,Paramètres!$A$1:$I$89,3,0)*0.475*44/12</f>
        <v>16.815154607933696</v>
      </c>
      <c r="AW82" s="21">
        <f>EXP(-LN(2)/2)*AW81+(1-EXP(-LN(2)/2))/(LN(2)/2)*AQ82*AT82*VLOOKUP('Données projet'!$B$10,Paramètres!$A$1:$I$89,3,0)*0.475*44/12</f>
        <v>3.3105195482115678E-9</v>
      </c>
      <c r="AX82" s="21">
        <f t="shared" si="60"/>
        <v>113.71367184670035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66.126635250743618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-5.6843418860808015E-14</v>
      </c>
      <c r="BE82" s="13">
        <f>BD82*VLOOKUP('Données projet'!$B$11,Paramètres!$A$1:$I$89,3,0)*VLOOKUP('Données projet'!$B$11,Paramètres!$A$1:$I$89,5,0)</f>
        <v>-2.5006556825246661E-14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180.42749272334603</v>
      </c>
      <c r="BJ82" s="59">
        <f t="shared" si="92"/>
        <v>346.61476512497495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24.230426720710685</v>
      </c>
      <c r="BQ82" s="21">
        <f>EXP(-LN(2)/25)*BQ81+(1-EXP(-LN(2)/25))/(LN(2)/25)*Calculateur!BL82*Calculateur!BN82*VLOOKUP('Données projet'!$B$11,Paramètres!$A$1:$I$89,3,0)*0.475*44/12</f>
        <v>4.2575270855637015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28.487953806274387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66.126635250743618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11.009999999999998</v>
      </c>
      <c r="BY82" s="12">
        <f>IF('Données projet'!$A$114&gt;35,BY81+BX82-CG81,IF(A82&lt;'Données projet'!$A$114,$BV$205^A82,IF(A82='Données projet'!$A$114,'Données projet'!$B$114,BY81+BX82-CG81)))</f>
        <v>384.69999999999993</v>
      </c>
      <c r="BZ82" s="13">
        <f>BY82*VLOOKUP('Données projet'!$B$12,Paramètres!$A$1:$I$89,3,0)*VLOOKUP('Données projet'!$B$12,Paramètres!$A$1:$I$89,5,0)</f>
        <v>348.07655999999992</v>
      </c>
      <c r="CA82" s="13">
        <f t="shared" si="93"/>
        <v>81.166328031452807</v>
      </c>
      <c r="CB82" s="20">
        <f t="shared" si="64"/>
        <v>747.59802998811347</v>
      </c>
      <c r="CC82" s="59">
        <f t="shared" si="65"/>
        <v>1026.7290259075066</v>
      </c>
      <c r="CD82" s="59">
        <f ca="1">AVERAGE(OFFSET($CC$3,0,0,'Données projet'!$E$12+1,1))-AVERAGE(OFFSET($H$3,0,0,'Données projet'!$E$12+1,1))</f>
        <v>553.16421218123958</v>
      </c>
      <c r="CE82" s="59">
        <f t="shared" si="94"/>
        <v>291.73668613844416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88.025599001143405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88.025599001143405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66.126635250743618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11.009999999999998</v>
      </c>
      <c r="CT82" s="12">
        <f>IF('Données projet'!$A$140&gt;35,CT81+CS82-DB81,IF(A82&lt;'Données projet'!$A$140,$CQ$205^A82,IF(A82='Données projet'!$A$140,'Données projet'!$B$140,CT81+CS82-DB81)))</f>
        <v>384.69999999999993</v>
      </c>
      <c r="CU82" s="17">
        <f>CT82*VLOOKUP('Données projet'!$B$13,Paramètres!$A$1:$I$89,3,0)*VLOOKUP('Données projet'!$B$13,Paramètres!$A$1:$I$89,5,0)</f>
        <v>390.08580000000001</v>
      </c>
      <c r="CV82" s="13">
        <f t="shared" si="95"/>
        <v>89.763786833048727</v>
      </c>
      <c r="CW82" s="20">
        <f t="shared" si="67"/>
        <v>835.73803040089308</v>
      </c>
      <c r="CX82" s="59">
        <f t="shared" si="68"/>
        <v>1114.8690263202864</v>
      </c>
      <c r="CY82" s="59">
        <f ca="1">AVERAGE(OFFSET($CX$3,0,0,'Données projet'!$E$13+1,1))-AVERAGE(OFFSET($H$3,0,0,'Données projet'!$E$13+1,1))</f>
        <v>611.82989382187804</v>
      </c>
      <c r="CZ82" s="59">
        <f t="shared" si="96"/>
        <v>320.34124600136363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98.649378190936545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98.649378190936545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66.126635250743618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11.009999999999998</v>
      </c>
      <c r="DO82" s="12">
        <f>IF('Données projet'!$A$166&gt;35,DO81+DN82-DW81,IF(A82&lt;'Données projet'!$A$166,$DL$205^A82,IF(A82='Données projet'!$A$166,'Données projet'!$B$166,DO81+DN82-DW81)))</f>
        <v>384.69999999999993</v>
      </c>
      <c r="DP82" s="17">
        <f>DO82*VLOOKUP('Données projet'!$B$14,Paramètres!$A$1:$I$89,3,0)*VLOOKUP('Données projet'!$B$14,Paramètres!$A$1:$I$89,5,0)</f>
        <v>414.09107999999992</v>
      </c>
      <c r="DQ82" s="13">
        <f t="shared" si="97"/>
        <v>94.627633765925495</v>
      </c>
      <c r="DR82" s="20">
        <f t="shared" si="70"/>
        <v>886.01842647565343</v>
      </c>
      <c r="DS82" s="59">
        <f t="shared" si="71"/>
        <v>1165.1494223950467</v>
      </c>
      <c r="DT82" s="59">
        <f ca="1">AVERAGE(OFFSET($DS$3,0,0,'Données projet'!$E$14+1,1))-AVERAGE(OFFSET($H$3,0,0,'Données projet'!$E$14+1,1))</f>
        <v>645.29541304800614</v>
      </c>
      <c r="DU82" s="59">
        <f t="shared" si="98"/>
        <v>336.65580771733323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104.72010915653263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104.72010915653263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66.126635250743618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326.39999999999998</v>
      </c>
      <c r="EK82" s="17">
        <f>EJ82*VLOOKUP('Données projet'!$B$15,Paramètres!$A$1:$I$89,3,0)*VLOOKUP('Données projet'!$B$15,Paramètres!$A$1:$I$89,5,0)</f>
        <v>239.31647999999998</v>
      </c>
      <c r="EL82" s="13">
        <f t="shared" si="99"/>
        <v>58.292443422481945</v>
      </c>
      <c r="EM82" s="20">
        <f t="shared" si="73"/>
        <v>518.33554162748942</v>
      </c>
      <c r="EN82" s="59">
        <f t="shared" si="74"/>
        <v>797.46653754688259</v>
      </c>
      <c r="EO82" s="59">
        <f ca="1">AVERAGE(OFFSET($EN$3,0,0,'Données projet'!$E$15+1,1))-AVERAGE(OFFSET($H$3,0,0,'Données projet'!$E$15+1,1))</f>
        <v>343.31122043016137</v>
      </c>
      <c r="EP82" s="59">
        <f t="shared" si="100"/>
        <v>333.61098411258877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36.637875526260274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36.637875526260274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66.126635250743618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326.39999999999998</v>
      </c>
      <c r="FF82" s="17">
        <f>FE82*VLOOKUP('Données projet'!$B$16,Paramètres!$A$1:$I$89,3,0)*VLOOKUP('Données projet'!$B$16,Paramètres!$A$1:$I$89,5,0)</f>
        <v>259.68384000000003</v>
      </c>
      <c r="FG82" s="13">
        <f t="shared" si="101"/>
        <v>62.654980648867358</v>
      </c>
      <c r="FH82" s="20">
        <f t="shared" si="76"/>
        <v>561.40677929677736</v>
      </c>
      <c r="FI82" s="59">
        <f t="shared" si="77"/>
        <v>840.53777521617053</v>
      </c>
      <c r="FJ82" s="59">
        <f ca="1">AVERAGE(OFFSET($FI$3,0,0,'Données projet'!$E$16+1,1))-AVERAGE(OFFSET($H$3,0,0,'Données projet'!$E$16+1,1))</f>
        <v>368.12945163484585</v>
      </c>
      <c r="FK82" s="59">
        <f t="shared" si="102"/>
        <v>357.27183934545121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49.00157226495871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49.00157226495871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66.126635250743618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66.126635250743618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3.0869565217391299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11.318840579710143</v>
      </c>
      <c r="H83" s="66">
        <f t="shared" si="56"/>
        <v>211.39130434782609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66.193829469596935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14.338750000000005</v>
      </c>
      <c r="N83" s="13">
        <f>IF('Données projet'!$A$36&gt;35,N82+M83-V82,IF(A83&lt;'Données projet'!$A$36,$K$205^A83,IF(A83='Données projet'!$A$36,'Données projet'!$B$36,N82+M83-V82)))</f>
        <v>473.07374999999939</v>
      </c>
      <c r="O83" s="13">
        <f>N83*VLOOKUP('Données projet'!$B$9,Paramètres!$A$1:$I$89,3,0)*VLOOKUP('Données projet'!$B$9,Paramètres!$A$1:$I$89,5,0)</f>
        <v>221.39851499999972</v>
      </c>
      <c r="P83" s="13">
        <f t="shared" si="87"/>
        <v>54.418733854751018</v>
      </c>
      <c r="Q83" s="20">
        <f t="shared" si="54"/>
        <v>480.38170842202425</v>
      </c>
      <c r="R83" s="59">
        <f t="shared" si="55"/>
        <v>759.75908314387971</v>
      </c>
      <c r="S83" s="59">
        <f ca="1">AVERAGE(OFFSET($R$3,0,0,'Données projet'!$E$9+1,1))-AVERAGE(OFFSET($H$3,0,0,'Données projet'!$E$9+1,1))</f>
        <v>320.30433416149219</v>
      </c>
      <c r="T83" s="59">
        <f t="shared" si="88"/>
        <v>201.33422682092797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106.24034122649446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106.24034122649446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66.193829469596935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795</v>
      </c>
      <c r="AG83" s="12">
        <f>VLOOKUP(A83,'Données projet'!$A$61:$I$81,9,0)</f>
        <v>12.2</v>
      </c>
      <c r="AH83" s="12">
        <f t="array" ref="AH83">INDEX(AG:AG,MIN(IF(ISNUMBER(AG83:AG279),ROW(AG83:AG279),"")))</f>
        <v>12.2</v>
      </c>
      <c r="AI83" s="13">
        <f>IF('Données projet'!$A$62&gt;35,AI82+AH83-AQ82,IF(A83&lt;'Données projet'!$A$62,$AF$205^A83,IF(A83='Données projet'!$A$62,'Données projet'!$B$62,AI82+AH83-AQ82)))</f>
        <v>795.00000000000057</v>
      </c>
      <c r="AJ83" s="13">
        <f>AI83*VLOOKUP('Données projet'!$B$10,Paramètres!$A$1:$I$89,3,0)*VLOOKUP('Données projet'!$B$10,Paramètres!$A$1:$I$89,5,0)</f>
        <v>475.41000000000037</v>
      </c>
      <c r="AK83" s="13">
        <f t="shared" si="89"/>
        <v>106.90785745583379</v>
      </c>
      <c r="AL83" s="20">
        <f t="shared" si="58"/>
        <v>1014.2036017355778</v>
      </c>
      <c r="AM83" s="59">
        <f t="shared" si="59"/>
        <v>1293.5809764574333</v>
      </c>
      <c r="AN83" s="59">
        <f ca="1">AVERAGE(OFFSET($AM$3,0,0,'Données projet'!$E$10+1,1))-AVERAGE(OFFSET($H$3,0,0,'Données projet'!$E$10+1,1))</f>
        <v>569.80473816957431</v>
      </c>
      <c r="AO83" s="59">
        <f t="shared" si="90"/>
        <v>495.56567790763199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32</v>
      </c>
      <c r="AR83" s="16">
        <f>IF(ISNA(VLOOKUP(A83,'Données projet'!$A$61:$I$81,5,0)),0%,VLOOKUP(A83,'Données projet'!$A$61:$I$81,5,0)*VLOOKUP('Données projet'!$B$10,Paramètres!$A$1:$I$89,7,0))</f>
        <v>0.45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106.42170825340946</v>
      </c>
      <c r="AV83" s="21">
        <f>EXP(-LN(2)/25)*AV82+(1-EXP(-LN(2)/25))/(LN(2)/25)*Calculateur!AQ83*Calculateur!AS83*VLOOKUP('Données projet'!$B$10,Paramètres!$A$1:$I$89,3,0)*0.475*44/12</f>
        <v>16.355343320909199</v>
      </c>
      <c r="AW83" s="21">
        <f>EXP(-LN(2)/2)*AW82+(1-EXP(-LN(2)/2))/(LN(2)/2)*AQ83*AT83*VLOOKUP('Données projet'!$B$10,Paramètres!$A$1:$I$89,3,0)*0.475*44/12</f>
        <v>2.3408908217910252E-9</v>
      </c>
      <c r="AX83" s="21">
        <f t="shared" si="60"/>
        <v>122.77705157665956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66.193829469596935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-5.6843418860808015E-14</v>
      </c>
      <c r="BE83" s="13">
        <f>BD83*VLOOKUP('Données projet'!$B$11,Paramètres!$A$1:$I$89,3,0)*VLOOKUP('Données projet'!$B$11,Paramètres!$A$1:$I$89,5,0)</f>
        <v>-2.5006556825246661E-14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180.42749272334603</v>
      </c>
      <c r="BJ83" s="59">
        <f t="shared" si="92"/>
        <v>346.61476512497495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23.755282831818533</v>
      </c>
      <c r="BQ83" s="21">
        <f>EXP(-LN(2)/25)*BQ82+(1-EXP(-LN(2)/25))/(LN(2)/25)*Calculateur!BL83*Calculateur!BN83*VLOOKUP('Données projet'!$B$11,Paramètres!$A$1:$I$89,3,0)*0.475*44/12</f>
        <v>4.1411047835153436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27.896387615333879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66.193829469596935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395.71</v>
      </c>
      <c r="BW83" s="12">
        <f>VLOOKUP(A83,'Données projet'!$A$113:$I$133,9,0)</f>
        <v>11.009999999999998</v>
      </c>
      <c r="BX83" s="12">
        <f t="array" ref="BX83">INDEX(BW:BW,MIN(IF(ISNUMBER(BW83:BW279),ROW(BW83:BW279),"")))</f>
        <v>11.009999999999998</v>
      </c>
      <c r="BY83" s="12">
        <f>IF('Données projet'!$A$114&gt;35,BY82+BX83-CG82,IF(A83&lt;'Données projet'!$A$114,$BV$205^A83,IF(A83='Données projet'!$A$114,'Données projet'!$B$114,BY82+BX83-CG82)))</f>
        <v>395.70999999999992</v>
      </c>
      <c r="BZ83" s="13">
        <f>BY83*VLOOKUP('Données projet'!$B$12,Paramètres!$A$1:$I$89,3,0)*VLOOKUP('Données projet'!$B$12,Paramètres!$A$1:$I$89,5,0)</f>
        <v>358.03840799999989</v>
      </c>
      <c r="CA83" s="13">
        <f t="shared" si="93"/>
        <v>83.215509161867502</v>
      </c>
      <c r="CB83" s="20">
        <f t="shared" si="64"/>
        <v>768.51723905691904</v>
      </c>
      <c r="CC83" s="59">
        <f t="shared" si="65"/>
        <v>1047.8946137787746</v>
      </c>
      <c r="CD83" s="59">
        <f ca="1">AVERAGE(OFFSET($CC$3,0,0,'Données projet'!$E$12+1,1))-AVERAGE(OFFSET($H$3,0,0,'Données projet'!$E$12+1,1))</f>
        <v>553.16421218123958</v>
      </c>
      <c r="CE83" s="59">
        <f t="shared" si="94"/>
        <v>291.73668613844416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59.57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111.92045190667203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111.92045190667203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66.193829469596935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395.71</v>
      </c>
      <c r="CR83" s="12">
        <f>VLOOKUP(A83,'Données projet'!$A$139:$I$159,9,0)</f>
        <v>11.009999999999998</v>
      </c>
      <c r="CS83" s="12">
        <f t="array" ref="CS83">INDEX(CR:CR,MIN(IF(ISNUMBER(CR83:CR279),ROW(CR83:CR279),"")))</f>
        <v>11.009999999999998</v>
      </c>
      <c r="CT83" s="12">
        <f>IF('Données projet'!$A$140&gt;35,CT82+CS83-DB82,IF(A83&lt;'Données projet'!$A$140,$CQ$205^A83,IF(A83='Données projet'!$A$140,'Données projet'!$B$140,CT82+CS83-DB82)))</f>
        <v>395.70999999999992</v>
      </c>
      <c r="CU83" s="17">
        <f>CT83*VLOOKUP('Données projet'!$B$13,Paramètres!$A$1:$I$89,3,0)*VLOOKUP('Données projet'!$B$13,Paramètres!$A$1:$I$89,5,0)</f>
        <v>401.24993999999992</v>
      </c>
      <c r="CV83" s="13">
        <f t="shared" si="95"/>
        <v>92.030025341479998</v>
      </c>
      <c r="CW83" s="20">
        <f t="shared" si="67"/>
        <v>859.12927296974419</v>
      </c>
      <c r="CX83" s="59">
        <f t="shared" si="68"/>
        <v>1138.5066476915997</v>
      </c>
      <c r="CY83" s="59">
        <f ca="1">AVERAGE(OFFSET($CX$3,0,0,'Données projet'!$E$13+1,1))-AVERAGE(OFFSET($H$3,0,0,'Données projet'!$E$13+1,1))</f>
        <v>611.82989382187804</v>
      </c>
      <c r="CZ83" s="59">
        <f t="shared" si="96"/>
        <v>320.34124600136363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59.57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125.42809265402899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125.42809265402899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66.193829469596935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395.71</v>
      </c>
      <c r="DM83" s="12">
        <f>VLOOKUP(A83,'Données projet'!$A$165:$I$185,9,0)</f>
        <v>11.009999999999998</v>
      </c>
      <c r="DN83" s="12">
        <f t="array" ref="DN83">INDEX(DM:DM,MIN(IF(ISNUMBER(DM83:DM279),ROW(DM83:DM279),"")))</f>
        <v>11.009999999999998</v>
      </c>
      <c r="DO83" s="12">
        <f>IF('Données projet'!$A$166&gt;35,DO82+DN83-DW82,IF(A83&lt;'Données projet'!$A$166,$DL$205^A83,IF(A83='Données projet'!$A$166,'Données projet'!$B$166,DO82+DN83-DW82)))</f>
        <v>395.70999999999992</v>
      </c>
      <c r="DP83" s="17">
        <f>DO83*VLOOKUP('Données projet'!$B$14,Paramètres!$A$1:$I$89,3,0)*VLOOKUP('Données projet'!$B$14,Paramètres!$A$1:$I$89,5,0)</f>
        <v>425.9422439999999</v>
      </c>
      <c r="DQ83" s="13">
        <f t="shared" si="97"/>
        <v>97.016668310567908</v>
      </c>
      <c r="DR83" s="20">
        <f t="shared" si="70"/>
        <v>910.82010560757226</v>
      </c>
      <c r="DS83" s="59">
        <f t="shared" si="71"/>
        <v>1190.1974803294277</v>
      </c>
      <c r="DT83" s="59">
        <f ca="1">AVERAGE(OFFSET($DS$3,0,0,'Données projet'!$E$14+1,1))-AVERAGE(OFFSET($H$3,0,0,'Données projet'!$E$14+1,1))</f>
        <v>645.29541304800614</v>
      </c>
      <c r="DU83" s="59">
        <f t="shared" si="98"/>
        <v>336.65580771733323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59.57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133.14674450966152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133.14674450966152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66.193829469596935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330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330</v>
      </c>
      <c r="EK83" s="17">
        <f>EJ83*VLOOKUP('Données projet'!$B$15,Paramètres!$A$1:$I$89,3,0)*VLOOKUP('Données projet'!$B$15,Paramètres!$A$1:$I$89,5,0)</f>
        <v>241.95599999999999</v>
      </c>
      <c r="EL83" s="13">
        <f t="shared" si="99"/>
        <v>58.860174395053612</v>
      </c>
      <c r="EM83" s="20">
        <f t="shared" si="73"/>
        <v>523.92150373805168</v>
      </c>
      <c r="EN83" s="59">
        <f t="shared" si="74"/>
        <v>803.2988784599072</v>
      </c>
      <c r="EO83" s="59">
        <f ca="1">AVERAGE(OFFSET($EN$3,0,0,'Données projet'!$E$15+1,1))-AVERAGE(OFFSET($H$3,0,0,'Données projet'!$E$15+1,1))</f>
        <v>343.31122043016137</v>
      </c>
      <c r="EP83" s="59">
        <f t="shared" si="100"/>
        <v>333.61098411258877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11</v>
      </c>
      <c r="ES83" s="16">
        <f>IF(ISNA(VLOOKUP(A83,'Données projet'!$A$191:$I$211,5,0)),0%,VLOOKUP(A83,'Données projet'!$A$191:$I$211,5,0)*VLOOKUP('Données projet'!$B$15,Paramètres!$A$1:$I$89,7,0))</f>
        <v>0.43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39.753240207241745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39.753240207241745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66.193829469596935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330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330</v>
      </c>
      <c r="FF83" s="17">
        <f>FE83*VLOOKUP('Données projet'!$B$16,Paramètres!$A$1:$I$89,3,0)*VLOOKUP('Données projet'!$B$16,Paramètres!$A$1:$I$89,5,0)</f>
        <v>262.548</v>
      </c>
      <c r="FG83" s="13">
        <f t="shared" si="101"/>
        <v>63.265199933079444</v>
      </c>
      <c r="FH83" s="20">
        <f t="shared" si="76"/>
        <v>567.45798988344666</v>
      </c>
      <c r="FI83" s="59">
        <f t="shared" si="77"/>
        <v>846.83536460530217</v>
      </c>
      <c r="FJ83" s="59">
        <f ca="1">AVERAGE(OFFSET($FI$3,0,0,'Données projet'!$E$16+1,1))-AVERAGE(OFFSET($H$3,0,0,'Données projet'!$E$16+1,1))</f>
        <v>368.12945163484585</v>
      </c>
      <c r="FK83" s="59">
        <f t="shared" si="102"/>
        <v>357.27183934545121</v>
      </c>
      <c r="FL83" s="15">
        <f>IF(ISNA(VLOOKUP(A83,'Données projet'!$A$217:$I$237,3,0)),0,VLOOKUP(A83,'Données projet'!$A$217:$I$237,3,0))</f>
        <v>14</v>
      </c>
      <c r="FM83" s="15">
        <f>IF(ISNA(VLOOKUP(A83,'Données projet'!$A$217:$I$237,4,0)),0,VLOOKUP(A83,'Données projet'!$A$217:$I$237,4,0))</f>
        <v>11</v>
      </c>
      <c r="FN83" s="16">
        <f>IF(ISNA(VLOOKUP(A83,'Données projet'!$A$217:$I$237,5,0)),0%,VLOOKUP(A83,'Données projet'!$A$217:$I$237,5,0)*VLOOKUP('Données projet'!$B$16,Paramètres!$A$1:$I$89,7,0))</f>
        <v>0.53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53.168237644816656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53.168237644816656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66.193829469596935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66.193829469596935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3.0869565217391299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11.318840579710143</v>
      </c>
      <c r="H84" s="66">
        <f t="shared" si="56"/>
        <v>211.39130434782609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66.259858018976914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14.338750000000005</v>
      </c>
      <c r="N84" s="13">
        <f>IF('Données projet'!$A$36&gt;35,N83+M84-V83,IF(A84&lt;'Données projet'!$A$36,$K$205^A84,IF(A84='Données projet'!$A$36,'Données projet'!$B$36,N83+M84-V83)))</f>
        <v>487.4124999999994</v>
      </c>
      <c r="O84" s="13">
        <f>N84*VLOOKUP('Données projet'!$B$9,Paramètres!$A$1:$I$89,3,0)*VLOOKUP('Données projet'!$B$9,Paramètres!$A$1:$I$89,5,0)</f>
        <v>228.10904999999971</v>
      </c>
      <c r="P84" s="13">
        <f t="shared" si="87"/>
        <v>55.873617689436912</v>
      </c>
      <c r="Q84" s="20">
        <f t="shared" si="54"/>
        <v>494.6031462257688</v>
      </c>
      <c r="R84" s="59">
        <f t="shared" si="55"/>
        <v>774.22262562868423</v>
      </c>
      <c r="S84" s="59">
        <f ca="1">AVERAGE(OFFSET($R$3,0,0,'Données projet'!$E$9+1,1))-AVERAGE(OFFSET($H$3,0,0,'Données projet'!$E$9+1,1))</f>
        <v>320.30433416149219</v>
      </c>
      <c r="T84" s="59">
        <f t="shared" si="88"/>
        <v>201.33422682092797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104.15703293525257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104.15703293525257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66.259858018976914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763.00000000000057</v>
      </c>
      <c r="AJ84" s="13">
        <f>AI84*VLOOKUP('Données projet'!$B$10,Paramètres!$A$1:$I$89,3,0)*VLOOKUP('Données projet'!$B$10,Paramètres!$A$1:$I$89,5,0)</f>
        <v>456.2740000000004</v>
      </c>
      <c r="AK84" s="13">
        <f t="shared" si="89"/>
        <v>103.09649786611838</v>
      </c>
      <c r="AL84" s="20">
        <f t="shared" si="58"/>
        <v>974.23695045015677</v>
      </c>
      <c r="AM84" s="59">
        <f t="shared" si="59"/>
        <v>1253.8564298530721</v>
      </c>
      <c r="AN84" s="59">
        <f ca="1">AVERAGE(OFFSET($AM$3,0,0,'Données projet'!$E$10+1,1))-AVERAGE(OFFSET($H$3,0,0,'Données projet'!$E$10+1,1))</f>
        <v>569.80473816957431</v>
      </c>
      <c r="AO84" s="59">
        <f t="shared" si="90"/>
        <v>495.56567790763199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104.33484346539272</v>
      </c>
      <c r="AV84" s="21">
        <f>EXP(-LN(2)/25)*AV83+(1-EXP(-LN(2)/25))/(LN(2)/25)*Calculateur!AQ84*Calculateur!AS84*VLOOKUP('Données projet'!$B$10,Paramètres!$A$1:$I$89,3,0)*0.475*44/12</f>
        <v>15.908105597708813</v>
      </c>
      <c r="AW84" s="21">
        <f>EXP(-LN(2)/2)*AW83+(1-EXP(-LN(2)/2))/(LN(2)/2)*AQ84*AT84*VLOOKUP('Données projet'!$B$10,Paramètres!$A$1:$I$89,3,0)*0.475*44/12</f>
        <v>1.6552597741057839E-9</v>
      </c>
      <c r="AX84" s="21">
        <f t="shared" si="60"/>
        <v>120.2429490647568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66.259858018976914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-5.6843418860808015E-14</v>
      </c>
      <c r="BE84" s="13">
        <f>BD84*VLOOKUP('Données projet'!$B$11,Paramètres!$A$1:$I$89,3,0)*VLOOKUP('Données projet'!$B$11,Paramètres!$A$1:$I$89,5,0)</f>
        <v>-2.5006556825246661E-14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180.42749272334603</v>
      </c>
      <c r="BJ84" s="59">
        <f t="shared" si="92"/>
        <v>346.61476512497495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23.289456224778402</v>
      </c>
      <c r="BQ84" s="21">
        <f>EXP(-LN(2)/25)*BQ83+(1-EXP(-LN(2)/25))/(LN(2)/25)*Calculateur!BL84*Calculateur!BN84*VLOOKUP('Données projet'!$B$11,Paramètres!$A$1:$I$89,3,0)*0.475*44/12</f>
        <v>4.0278660554388805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27.317322280217283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66.259858018976914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10.41</v>
      </c>
      <c r="BY84" s="12">
        <f>IF('Données projet'!$A$114&gt;35,BY83+BX84-CG83,IF(A84&lt;'Données projet'!$A$114,$BV$205^A84,IF(A84='Données projet'!$A$114,'Données projet'!$B$114,BY83+BX84-CG83)))</f>
        <v>346.54999999999995</v>
      </c>
      <c r="BZ84" s="13">
        <f>BY84*VLOOKUP('Données projet'!$B$12,Paramètres!$A$1:$I$89,3,0)*VLOOKUP('Données projet'!$B$12,Paramètres!$A$1:$I$89,5,0)</f>
        <v>313.55843999999996</v>
      </c>
      <c r="CA84" s="13">
        <f t="shared" si="93"/>
        <v>74.011479710591601</v>
      </c>
      <c r="CB84" s="20">
        <f t="shared" si="64"/>
        <v>675.01761016261355</v>
      </c>
      <c r="CC84" s="59">
        <f t="shared" si="65"/>
        <v>954.63708956552887</v>
      </c>
      <c r="CD84" s="59">
        <f ca="1">AVERAGE(OFFSET($CC$3,0,0,'Données projet'!$E$12+1,1))-AVERAGE(OFFSET($H$3,0,0,'Données projet'!$E$12+1,1))</f>
        <v>553.16421218123958</v>
      </c>
      <c r="CE84" s="59">
        <f t="shared" si="94"/>
        <v>291.73668613844416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109.72576010951727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109.72576010951727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66.259858018976914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10.41</v>
      </c>
      <c r="CT84" s="12">
        <f>IF('Données projet'!$A$140&gt;35,CT83+CS84-DB83,IF(A84&lt;'Données projet'!$A$140,$CQ$205^A84,IF(A84='Données projet'!$A$140,'Données projet'!$B$140,CT83+CS84-DB83)))</f>
        <v>346.54999999999995</v>
      </c>
      <c r="CU84" s="17">
        <f>CT84*VLOOKUP('Données projet'!$B$13,Paramètres!$A$1:$I$89,3,0)*VLOOKUP('Données projet'!$B$13,Paramètres!$A$1:$I$89,5,0)</f>
        <v>351.40169999999995</v>
      </c>
      <c r="CV84" s="13">
        <f t="shared" si="95"/>
        <v>81.851068652084436</v>
      </c>
      <c r="CW84" s="20">
        <f t="shared" si="67"/>
        <v>754.58190540238036</v>
      </c>
      <c r="CX84" s="59">
        <f t="shared" si="68"/>
        <v>1034.2013848052957</v>
      </c>
      <c r="CY84" s="59">
        <f ca="1">AVERAGE(OFFSET($CX$3,0,0,'Données projet'!$E$13+1,1))-AVERAGE(OFFSET($H$3,0,0,'Données projet'!$E$13+1,1))</f>
        <v>611.82989382187804</v>
      </c>
      <c r="CZ84" s="59">
        <f t="shared" si="96"/>
        <v>320.34124600136363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122.9685242606659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122.9685242606659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66.259858018976914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10.41</v>
      </c>
      <c r="DO84" s="12">
        <f>IF('Données projet'!$A$166&gt;35,DO83+DN84-DW83,IF(A84&lt;'Données projet'!$A$166,$DL$205^A84,IF(A84='Données projet'!$A$166,'Données projet'!$B$166,DO83+DN84-DW83)))</f>
        <v>346.54999999999995</v>
      </c>
      <c r="DP84" s="17">
        <f>DO84*VLOOKUP('Données projet'!$B$14,Paramètres!$A$1:$I$89,3,0)*VLOOKUP('Données projet'!$B$14,Paramètres!$A$1:$I$89,5,0)</f>
        <v>373.02641999999997</v>
      </c>
      <c r="DQ84" s="13">
        <f t="shared" si="97"/>
        <v>86.286165290293098</v>
      </c>
      <c r="DR84" s="20">
        <f t="shared" si="70"/>
        <v>799.96941938059365</v>
      </c>
      <c r="DS84" s="59">
        <f t="shared" si="71"/>
        <v>1079.588898783509</v>
      </c>
      <c r="DT84" s="59">
        <f ca="1">AVERAGE(OFFSET($DS$3,0,0,'Données projet'!$E$14+1,1))-AVERAGE(OFFSET($H$3,0,0,'Données projet'!$E$14+1,1))</f>
        <v>645.29541304800614</v>
      </c>
      <c r="DU84" s="59">
        <f t="shared" si="98"/>
        <v>336.65580771733323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130.53581806132223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130.53581806132223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66.259858018976914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319</v>
      </c>
      <c r="EK84" s="17">
        <f>EJ84*VLOOKUP('Données projet'!$B$15,Paramètres!$A$1:$I$89,3,0)*VLOOKUP('Données projet'!$B$15,Paramètres!$A$1:$I$89,5,0)</f>
        <v>233.89079999999998</v>
      </c>
      <c r="EL84" s="13">
        <f t="shared" si="99"/>
        <v>57.123140349023068</v>
      </c>
      <c r="EM84" s="20">
        <f t="shared" si="73"/>
        <v>506.84927944121517</v>
      </c>
      <c r="EN84" s="59">
        <f t="shared" si="74"/>
        <v>786.46875884413055</v>
      </c>
      <c r="EO84" s="59">
        <f ca="1">AVERAGE(OFFSET($EN$3,0,0,'Données projet'!$E$15+1,1))-AVERAGE(OFFSET($H$3,0,0,'Données projet'!$E$15+1,1))</f>
        <v>343.31122043016137</v>
      </c>
      <c r="EP84" s="59">
        <f t="shared" si="100"/>
        <v>333.61098411258877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38.973703413860058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38.973703413860058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66.259858018976914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319</v>
      </c>
      <c r="FF84" s="17">
        <f>FE84*VLOOKUP('Données projet'!$B$16,Paramètres!$A$1:$I$89,3,0)*VLOOKUP('Données projet'!$B$16,Paramètres!$A$1:$I$89,5,0)</f>
        <v>253.79640000000001</v>
      </c>
      <c r="FG84" s="13">
        <f t="shared" si="101"/>
        <v>61.39816832228076</v>
      </c>
      <c r="FH84" s="20">
        <f t="shared" si="76"/>
        <v>548.96387316130563</v>
      </c>
      <c r="FI84" s="59">
        <f t="shared" si="77"/>
        <v>828.58335256422106</v>
      </c>
      <c r="FJ84" s="59">
        <f ca="1">AVERAGE(OFFSET($FI$3,0,0,'Données projet'!$E$16+1,1))-AVERAGE(OFFSET($H$3,0,0,'Données projet'!$E$16+1,1))</f>
        <v>368.12945163484585</v>
      </c>
      <c r="FK84" s="59">
        <f t="shared" si="102"/>
        <v>357.27183934545121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52.125640934024624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52.125640934024624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66.259858018976914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66.259858018976914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3.0869565217391299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11.318840579710143</v>
      </c>
      <c r="H85" s="66">
        <f t="shared" si="56"/>
        <v>211.39130434782609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66.324741120642869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14.338750000000005</v>
      </c>
      <c r="N85" s="13">
        <f>IF('Données projet'!$A$36&gt;35,N84+M85-V84,IF(A85&lt;'Données projet'!$A$36,$K$205^A85,IF(A85='Données projet'!$A$36,'Données projet'!$B$36,N84+M85-V84)))</f>
        <v>501.7512499999994</v>
      </c>
      <c r="O85" s="13">
        <f>N85*VLOOKUP('Données projet'!$B$9,Paramètres!$A$1:$I$89,3,0)*VLOOKUP('Données projet'!$B$9,Paramètres!$A$1:$I$89,5,0)</f>
        <v>234.81958499999971</v>
      </c>
      <c r="P85" s="13">
        <f t="shared" si="87"/>
        <v>57.323527375429443</v>
      </c>
      <c r="Q85" s="20">
        <f t="shared" si="54"/>
        <v>508.81592072053917</v>
      </c>
      <c r="R85" s="59">
        <f t="shared" si="55"/>
        <v>788.67330482956299</v>
      </c>
      <c r="S85" s="59">
        <f ca="1">AVERAGE(OFFSET($R$3,0,0,'Données projet'!$E$9+1,1))-AVERAGE(OFFSET($H$3,0,0,'Données projet'!$E$9+1,1))</f>
        <v>320.30433416149219</v>
      </c>
      <c r="T85" s="59">
        <f t="shared" si="88"/>
        <v>201.33422682092797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102.11457704890934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102.11457704890934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66.324741120642869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763.00000000000057</v>
      </c>
      <c r="AJ85" s="13">
        <f>AI85*VLOOKUP('Données projet'!$B$10,Paramètres!$A$1:$I$89,3,0)*VLOOKUP('Données projet'!$B$10,Paramètres!$A$1:$I$89,5,0)</f>
        <v>456.2740000000004</v>
      </c>
      <c r="AK85" s="13">
        <f t="shared" si="89"/>
        <v>103.09649786611838</v>
      </c>
      <c r="AL85" s="20">
        <f t="shared" si="58"/>
        <v>974.23695045015677</v>
      </c>
      <c r="AM85" s="59">
        <f t="shared" si="59"/>
        <v>1254.0943345591807</v>
      </c>
      <c r="AN85" s="59">
        <f ca="1">AVERAGE(OFFSET($AM$3,0,0,'Données projet'!$E$10+1,1))-AVERAGE(OFFSET($H$3,0,0,'Données projet'!$E$10+1,1))</f>
        <v>569.80473816957431</v>
      </c>
      <c r="AO85" s="59">
        <f t="shared" si="90"/>
        <v>495.56567790763199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102.28890082300715</v>
      </c>
      <c r="AV85" s="21">
        <f>EXP(-LN(2)/25)*AV84+(1-EXP(-LN(2)/25))/(LN(2)/25)*Calculateur!AQ85*Calculateur!AS85*VLOOKUP('Données projet'!$B$10,Paramètres!$A$1:$I$89,3,0)*0.475*44/12</f>
        <v>15.47309761356855</v>
      </c>
      <c r="AW85" s="21">
        <f>EXP(-LN(2)/2)*AW84+(1-EXP(-LN(2)/2))/(LN(2)/2)*AQ85*AT85*VLOOKUP('Données projet'!$B$10,Paramètres!$A$1:$I$89,3,0)*0.475*44/12</f>
        <v>1.1704454108955126E-9</v>
      </c>
      <c r="AX85" s="21">
        <f t="shared" si="60"/>
        <v>117.76199843774616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66.324741120642869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-5.6843418860808015E-14</v>
      </c>
      <c r="BE85" s="13">
        <f>BD85*VLOOKUP('Données projet'!$B$11,Paramètres!$A$1:$I$89,3,0)*VLOOKUP('Données projet'!$B$11,Paramètres!$A$1:$I$89,5,0)</f>
        <v>-2.5006556825246661E-14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180.42749272334603</v>
      </c>
      <c r="BJ85" s="59">
        <f t="shared" si="92"/>
        <v>346.61476512497495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22.83276419337615</v>
      </c>
      <c r="BQ85" s="21">
        <f>EXP(-LN(2)/25)*BQ84+(1-EXP(-LN(2)/25))/(LN(2)/25)*Calculateur!BL85*Calculateur!BN85*VLOOKUP('Données projet'!$B$11,Paramètres!$A$1:$I$89,3,0)*0.475*44/12</f>
        <v>3.9177238463366342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26.750488039712785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66.324741120642869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10.41</v>
      </c>
      <c r="BY85" s="12">
        <f>IF('Données projet'!$A$114&gt;35,BY84+BX85-CG84,IF(A85&lt;'Données projet'!$A$114,$BV$205^A85,IF(A85='Données projet'!$A$114,'Données projet'!$B$114,BY84+BX85-CG84)))</f>
        <v>356.96</v>
      </c>
      <c r="BZ85" s="13">
        <f>BY85*VLOOKUP('Données projet'!$B$12,Paramètres!$A$1:$I$89,3,0)*VLOOKUP('Données projet'!$B$12,Paramètres!$A$1:$I$89,5,0)</f>
        <v>322.97740799999997</v>
      </c>
      <c r="CA85" s="13">
        <f t="shared" si="93"/>
        <v>75.9725269838044</v>
      </c>
      <c r="CB85" s="20">
        <f t="shared" si="64"/>
        <v>694.83780343012586</v>
      </c>
      <c r="CC85" s="59">
        <f t="shared" si="65"/>
        <v>974.69518753914963</v>
      </c>
      <c r="CD85" s="59">
        <f ca="1">AVERAGE(OFFSET($CC$3,0,0,'Données projet'!$E$12+1,1))-AVERAGE(OFFSET($H$3,0,0,'Données projet'!$E$12+1,1))</f>
        <v>553.16421218123958</v>
      </c>
      <c r="CE85" s="59">
        <f t="shared" si="94"/>
        <v>291.73668613844416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107.57410487987489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107.57410487987489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66.324741120642869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10.41</v>
      </c>
      <c r="CT85" s="12">
        <f>IF('Données projet'!$A$140&gt;35,CT84+CS85-DB84,IF(A85&lt;'Données projet'!$A$140,$CQ$205^A85,IF(A85='Données projet'!$A$140,'Données projet'!$B$140,CT84+CS85-DB84)))</f>
        <v>356.96</v>
      </c>
      <c r="CU85" s="17">
        <f>CT85*VLOOKUP('Données projet'!$B$13,Paramètres!$A$1:$I$89,3,0)*VLOOKUP('Données projet'!$B$13,Paramètres!$A$1:$I$89,5,0)</f>
        <v>361.95744000000002</v>
      </c>
      <c r="CV85" s="13">
        <f t="shared" si="95"/>
        <v>84.01983781623828</v>
      </c>
      <c r="CW85" s="20">
        <f t="shared" si="67"/>
        <v>776.74375886328164</v>
      </c>
      <c r="CX85" s="59">
        <f t="shared" si="68"/>
        <v>1056.6011429723055</v>
      </c>
      <c r="CY85" s="59">
        <f ca="1">AVERAGE(OFFSET($CX$3,0,0,'Données projet'!$E$13+1,1))-AVERAGE(OFFSET($H$3,0,0,'Données projet'!$E$13+1,1))</f>
        <v>611.82989382187804</v>
      </c>
      <c r="CZ85" s="59">
        <f t="shared" si="96"/>
        <v>320.34124600136363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120.55718650330807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120.55718650330807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66.324741120642869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10.41</v>
      </c>
      <c r="DO85" s="12">
        <f>IF('Données projet'!$A$166&gt;35,DO84+DN85-DW84,IF(A85&lt;'Données projet'!$A$166,$DL$205^A85,IF(A85='Données projet'!$A$166,'Données projet'!$B$166,DO84+DN85-DW84)))</f>
        <v>356.96</v>
      </c>
      <c r="DP85" s="17">
        <f>DO85*VLOOKUP('Données projet'!$B$14,Paramètres!$A$1:$I$89,3,0)*VLOOKUP('Données projet'!$B$14,Paramètres!$A$1:$I$89,5,0)</f>
        <v>384.23174399999999</v>
      </c>
      <c r="DQ85" s="13">
        <f t="shared" si="97"/>
        <v>88.572449118426078</v>
      </c>
      <c r="DR85" s="20">
        <f t="shared" si="70"/>
        <v>823.46730301459195</v>
      </c>
      <c r="DS85" s="59">
        <f t="shared" si="71"/>
        <v>1103.3246871236158</v>
      </c>
      <c r="DT85" s="59">
        <f ca="1">AVERAGE(OFFSET($DS$3,0,0,'Données projet'!$E$14+1,1))-AVERAGE(OFFSET($H$3,0,0,'Données projet'!$E$14+1,1))</f>
        <v>645.29541304800614</v>
      </c>
      <c r="DU85" s="59">
        <f t="shared" si="98"/>
        <v>336.65580771733323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127.976090288127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127.976090288127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66.324741120642869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319</v>
      </c>
      <c r="EK85" s="17">
        <f>EJ85*VLOOKUP('Données projet'!$B$15,Paramètres!$A$1:$I$89,3,0)*VLOOKUP('Données projet'!$B$15,Paramètres!$A$1:$I$89,5,0)</f>
        <v>233.89079999999998</v>
      </c>
      <c r="EL85" s="13">
        <f t="shared" si="99"/>
        <v>57.123140349023068</v>
      </c>
      <c r="EM85" s="20">
        <f t="shared" si="73"/>
        <v>506.84927944121517</v>
      </c>
      <c r="EN85" s="59">
        <f t="shared" si="74"/>
        <v>786.706663550239</v>
      </c>
      <c r="EO85" s="59">
        <f ca="1">AVERAGE(OFFSET($EN$3,0,0,'Données projet'!$E$15+1,1))-AVERAGE(OFFSET($H$3,0,0,'Données projet'!$E$15+1,1))</f>
        <v>343.31122043016137</v>
      </c>
      <c r="EP85" s="59">
        <f t="shared" si="100"/>
        <v>333.61098411258877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38.209452861526096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38.209452861526096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66.324741120642869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319</v>
      </c>
      <c r="FF85" s="17">
        <f>FE85*VLOOKUP('Données projet'!$B$16,Paramètres!$A$1:$I$89,3,0)*VLOOKUP('Données projet'!$B$16,Paramètres!$A$1:$I$89,5,0)</f>
        <v>253.79640000000001</v>
      </c>
      <c r="FG85" s="13">
        <f t="shared" si="101"/>
        <v>61.39816832228076</v>
      </c>
      <c r="FH85" s="20">
        <f t="shared" si="76"/>
        <v>548.96387316130563</v>
      </c>
      <c r="FI85" s="59">
        <f t="shared" si="77"/>
        <v>828.8212572703294</v>
      </c>
      <c r="FJ85" s="59">
        <f ca="1">AVERAGE(OFFSET($FI$3,0,0,'Données projet'!$E$16+1,1))-AVERAGE(OFFSET($H$3,0,0,'Données projet'!$E$16+1,1))</f>
        <v>368.12945163484585</v>
      </c>
      <c r="FK85" s="59">
        <f t="shared" si="102"/>
        <v>357.27183934545121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51.103488908810021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51.103488908810021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66.324741120642869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66.324741120642869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3.0869565217391299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11.318840579710143</v>
      </c>
      <c r="H86" s="66">
        <f t="shared" si="56"/>
        <v>211.39130434782609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66.388498645551806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>
        <f>VLOOKUP(A86,'Données projet'!$A$35:$I$55,2,0)</f>
        <v>516.09</v>
      </c>
      <c r="L86" s="12">
        <f>VLOOKUP(A86,'Données projet'!$A$35:$I$55,9,0)</f>
        <v>14.338750000000005</v>
      </c>
      <c r="M86" s="12">
        <f t="array" ref="M86">INDEX(L:L,MIN(IF(ISNUMBER(L86:L282),ROW(L86:L282),"")))</f>
        <v>14.338750000000005</v>
      </c>
      <c r="N86" s="13">
        <f>IF('Données projet'!$A$36&gt;35,N85+M86-V85,IF(A86&lt;'Données projet'!$A$36,$K$205^A86,IF(A86='Données projet'!$A$36,'Données projet'!$B$36,N85+M86-V85)))</f>
        <v>516.08999999999946</v>
      </c>
      <c r="O86" s="13">
        <f>N86*VLOOKUP('Données projet'!$B$9,Paramètres!$A$1:$I$89,3,0)*VLOOKUP('Données projet'!$B$9,Paramètres!$A$1:$I$89,5,0)</f>
        <v>241.53011999999973</v>
      </c>
      <c r="P86" s="13">
        <f t="shared" si="87"/>
        <v>58.768621387125215</v>
      </c>
      <c r="Q86" s="20">
        <f t="shared" si="54"/>
        <v>523.02030791590926</v>
      </c>
      <c r="R86" s="59">
        <f t="shared" si="55"/>
        <v>803.11146961626582</v>
      </c>
      <c r="S86" s="59">
        <f ca="1">AVERAGE(OFFSET($R$3,0,0,'Données projet'!$E$9+1,1))-AVERAGE(OFFSET($H$3,0,0,'Données projet'!$E$9+1,1))</f>
        <v>320.30433416149219</v>
      </c>
      <c r="T86" s="59">
        <f t="shared" si="88"/>
        <v>201.33422682092797</v>
      </c>
      <c r="U86" s="15">
        <f>IF(ISNA(VLOOKUP(A86,'Données projet'!$A$35:$I$55,3,0)),0,VLOOKUP(A86,'Données projet'!$A$35:$I$55,3,0))</f>
        <v>6</v>
      </c>
      <c r="V86" s="15">
        <f>IF(ISNA(VLOOKUP(A86,'Données projet'!$A$35:$I$55,4,0)),0,VLOOKUP(A86,'Données projet'!$A$35:$I$55,4,0))</f>
        <v>90.24</v>
      </c>
      <c r="W86" s="16">
        <f>IF(ISNA(VLOOKUP(A86,'Données projet'!$A$35:$I$55,5,0)),0%,VLOOKUP(A86,'Données projet'!$A$35:$I$55,5,0)*VLOOKUP('Données projet'!$B$9,Paramètres!$A$1:$I$89,7,0))</f>
        <v>0.55000000000000004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130.92531449723384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130.92531449723384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66.388498645551806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763.00000000000057</v>
      </c>
      <c r="AJ86" s="13">
        <f>AI86*VLOOKUP('Données projet'!$B$10,Paramètres!$A$1:$I$89,3,0)*VLOOKUP('Données projet'!$B$10,Paramètres!$A$1:$I$89,5,0)</f>
        <v>456.2740000000004</v>
      </c>
      <c r="AK86" s="13">
        <f t="shared" si="89"/>
        <v>103.09649786611838</v>
      </c>
      <c r="AL86" s="20">
        <f t="shared" si="58"/>
        <v>974.23695045015677</v>
      </c>
      <c r="AM86" s="59">
        <f t="shared" si="59"/>
        <v>1254.3281121505133</v>
      </c>
      <c r="AN86" s="59">
        <f ca="1">AVERAGE(OFFSET($AM$3,0,0,'Données projet'!$E$10+1,1))-AVERAGE(OFFSET($H$3,0,0,'Données projet'!$E$10+1,1))</f>
        <v>569.80473816957431</v>
      </c>
      <c r="AO86" s="59">
        <f t="shared" si="90"/>
        <v>495.56567790763199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100.28307786793698</v>
      </c>
      <c r="AV86" s="21">
        <f>EXP(-LN(2)/25)*AV85+(1-EXP(-LN(2)/25))/(LN(2)/25)*Calculateur!AQ86*Calculateur!AS86*VLOOKUP('Données projet'!$B$10,Paramètres!$A$1:$I$89,3,0)*0.475*44/12</f>
        <v>15.049984945630678</v>
      </c>
      <c r="AW86" s="21">
        <f>EXP(-LN(2)/2)*AW85+(1-EXP(-LN(2)/2))/(LN(2)/2)*AQ86*AT86*VLOOKUP('Données projet'!$B$10,Paramètres!$A$1:$I$89,3,0)*0.475*44/12</f>
        <v>8.2762988705289195E-10</v>
      </c>
      <c r="AX86" s="21">
        <f t="shared" si="60"/>
        <v>115.33306281439529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66.388498645551806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-5.6843418860808015E-14</v>
      </c>
      <c r="BE86" s="13">
        <f>BD86*VLOOKUP('Données projet'!$B$11,Paramètres!$A$1:$I$89,3,0)*VLOOKUP('Données projet'!$B$11,Paramètres!$A$1:$I$89,5,0)</f>
        <v>-2.5006556825246661E-14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180.42749272334603</v>
      </c>
      <c r="BJ86" s="59">
        <f t="shared" si="92"/>
        <v>346.61476512497495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22.385027614155064</v>
      </c>
      <c r="BQ86" s="21">
        <f>EXP(-LN(2)/25)*BQ85+(1-EXP(-LN(2)/25))/(LN(2)/25)*Calculateur!BL86*Calculateur!BN86*VLOOKUP('Données projet'!$B$11,Paramètres!$A$1:$I$89,3,0)*0.475*44/12</f>
        <v>3.8105934817344158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26.195621095889479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66.388498645551806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10.41</v>
      </c>
      <c r="BY86" s="12">
        <f>IF('Données projet'!$A$114&gt;35,BY85+BX86-CG85,IF(A86&lt;'Données projet'!$A$114,$BV$205^A86,IF(A86='Données projet'!$A$114,'Données projet'!$B$114,BY85+BX86-CG85)))</f>
        <v>367.37</v>
      </c>
      <c r="BZ86" s="13">
        <f>BY86*VLOOKUP('Données projet'!$B$12,Paramètres!$A$1:$I$89,3,0)*VLOOKUP('Données projet'!$B$12,Paramètres!$A$1:$I$89,5,0)</f>
        <v>332.39637599999998</v>
      </c>
      <c r="CA86" s="13">
        <f t="shared" si="93"/>
        <v>77.926927644548115</v>
      </c>
      <c r="CB86" s="20">
        <f t="shared" si="64"/>
        <v>714.6464205142546</v>
      </c>
      <c r="CC86" s="59">
        <f t="shared" si="65"/>
        <v>994.73758221461117</v>
      </c>
      <c r="CD86" s="59">
        <f ca="1">AVERAGE(OFFSET($CC$3,0,0,'Données projet'!$E$12+1,1))-AVERAGE(OFFSET($H$3,0,0,'Données projet'!$E$12+1,1))</f>
        <v>553.16421218123958</v>
      </c>
      <c r="CE86" s="59">
        <f t="shared" si="94"/>
        <v>291.73668613844416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105.46464229690571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105.46464229690571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66.388498645551806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10.41</v>
      </c>
      <c r="CT86" s="12">
        <f>IF('Données projet'!$A$140&gt;35,CT85+CS86-DB85,IF(A86&lt;'Données projet'!$A$140,$CQ$205^A86,IF(A86='Données projet'!$A$140,'Données projet'!$B$140,CT85+CS86-DB85)))</f>
        <v>367.37</v>
      </c>
      <c r="CU86" s="17">
        <f>CT86*VLOOKUP('Données projet'!$B$13,Paramètres!$A$1:$I$89,3,0)*VLOOKUP('Données projet'!$B$13,Paramètres!$A$1:$I$89,5,0)</f>
        <v>372.51318000000003</v>
      </c>
      <c r="CV86" s="13">
        <f t="shared" si="95"/>
        <v>86.181256332416311</v>
      </c>
      <c r="CW86" s="20">
        <f t="shared" si="67"/>
        <v>798.89280994562512</v>
      </c>
      <c r="CX86" s="59">
        <f t="shared" si="68"/>
        <v>1078.9839716459817</v>
      </c>
      <c r="CY86" s="59">
        <f ca="1">AVERAGE(OFFSET($CX$3,0,0,'Données projet'!$E$13+1,1))-AVERAGE(OFFSET($H$3,0,0,'Données projet'!$E$13+1,1))</f>
        <v>611.82989382187804</v>
      </c>
      <c r="CZ86" s="59">
        <f t="shared" si="96"/>
        <v>320.34124600136363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118.19313360860123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118.19313360860123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66.388498645551806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10.41</v>
      </c>
      <c r="DO86" s="12">
        <f>IF('Données projet'!$A$166&gt;35,DO85+DN86-DW85,IF(A86&lt;'Données projet'!$A$166,$DL$205^A86,IF(A86='Données projet'!$A$166,'Données projet'!$B$166,DO85+DN86-DW85)))</f>
        <v>367.37</v>
      </c>
      <c r="DP86" s="17">
        <f>DO86*VLOOKUP('Données projet'!$B$14,Paramètres!$A$1:$I$89,3,0)*VLOOKUP('Données projet'!$B$14,Paramètres!$A$1:$I$89,5,0)</f>
        <v>395.43706800000001</v>
      </c>
      <c r="DQ86" s="13">
        <f t="shared" si="97"/>
        <v>90.85098400403858</v>
      </c>
      <c r="DR86" s="20">
        <f t="shared" si="70"/>
        <v>846.95169057370049</v>
      </c>
      <c r="DS86" s="59">
        <f t="shared" si="71"/>
        <v>1127.0428522740572</v>
      </c>
      <c r="DT86" s="59">
        <f ca="1">AVERAGE(OFFSET($DS$3,0,0,'Données projet'!$E$14+1,1))-AVERAGE(OFFSET($H$3,0,0,'Données projet'!$E$14+1,1))</f>
        <v>645.29541304800614</v>
      </c>
      <c r="DU86" s="59">
        <f t="shared" si="98"/>
        <v>336.65580771733323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125.46655721528434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125.46655721528434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66.388498645551806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319</v>
      </c>
      <c r="EK86" s="17">
        <f>EJ86*VLOOKUP('Données projet'!$B$15,Paramètres!$A$1:$I$89,3,0)*VLOOKUP('Données projet'!$B$15,Paramètres!$A$1:$I$89,5,0)</f>
        <v>233.89079999999998</v>
      </c>
      <c r="EL86" s="13">
        <f t="shared" si="99"/>
        <v>57.123140349023068</v>
      </c>
      <c r="EM86" s="20">
        <f t="shared" si="73"/>
        <v>506.84927944121517</v>
      </c>
      <c r="EN86" s="59">
        <f t="shared" si="74"/>
        <v>786.9404411415718</v>
      </c>
      <c r="EO86" s="59">
        <f ca="1">AVERAGE(OFFSET($EN$3,0,0,'Données projet'!$E$15+1,1))-AVERAGE(OFFSET($H$3,0,0,'Données projet'!$E$15+1,1))</f>
        <v>343.31122043016137</v>
      </c>
      <c r="EP86" s="59">
        <f t="shared" si="100"/>
        <v>333.61098411258877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37.460188796376592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37.460188796376592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66.388498645551806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319</v>
      </c>
      <c r="FF86" s="17">
        <f>FE86*VLOOKUP('Données projet'!$B$16,Paramètres!$A$1:$I$89,3,0)*VLOOKUP('Données projet'!$B$16,Paramètres!$A$1:$I$89,5,0)</f>
        <v>253.79640000000001</v>
      </c>
      <c r="FG86" s="13">
        <f t="shared" si="101"/>
        <v>61.39816832228076</v>
      </c>
      <c r="FH86" s="20">
        <f t="shared" si="76"/>
        <v>548.96387316130563</v>
      </c>
      <c r="FI86" s="59">
        <f t="shared" si="77"/>
        <v>829.05503486166231</v>
      </c>
      <c r="FJ86" s="59">
        <f ca="1">AVERAGE(OFFSET($FI$3,0,0,'Données projet'!$E$16+1,1))-AVERAGE(OFFSET($H$3,0,0,'Données projet'!$E$16+1,1))</f>
        <v>368.12945163484585</v>
      </c>
      <c r="FK86" s="59">
        <f t="shared" si="102"/>
        <v>357.27183934545121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50.101380661358704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50.101380661358704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66.388498645551806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66.388498645551806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3.0869565217391299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11.318840579710143</v>
      </c>
      <c r="H87" s="66">
        <f t="shared" si="56"/>
        <v>211.39130434782609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66.451150119944032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13.233750000000001</v>
      </c>
      <c r="N87" s="13">
        <f>IF('Données projet'!$A$36&gt;35,N86+M87-V86,IF(A87&lt;'Données projet'!$A$36,$K$205^A87,IF(A87='Données projet'!$A$36,'Données projet'!$B$36,N86+M87-V86)))</f>
        <v>439.08374999999944</v>
      </c>
      <c r="O87" s="13">
        <f>N87*VLOOKUP('Données projet'!$B$9,Paramètres!$A$1:$I$89,3,0)*VLOOKUP('Données projet'!$B$9,Paramètres!$A$1:$I$89,5,0)</f>
        <v>205.49119499999972</v>
      </c>
      <c r="P87" s="13">
        <f t="shared" si="87"/>
        <v>50.949057217114365</v>
      </c>
      <c r="Q87" s="20">
        <f t="shared" si="54"/>
        <v>446.63343927814032</v>
      </c>
      <c r="R87" s="59">
        <f t="shared" si="55"/>
        <v>726.95432305126837</v>
      </c>
      <c r="S87" s="59">
        <f ca="1">AVERAGE(OFFSET($R$3,0,0,'Données projet'!$E$9+1,1))-AVERAGE(OFFSET($H$3,0,0,'Données projet'!$E$9+1,1))</f>
        <v>320.30433416149219</v>
      </c>
      <c r="T87" s="59">
        <f t="shared" si="88"/>
        <v>201.33422682092797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128.35794893649975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128.35794893649975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66.451150119944032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763.00000000000057</v>
      </c>
      <c r="AJ87" s="13">
        <f>AI87*VLOOKUP('Données projet'!$B$10,Paramètres!$A$1:$I$89,3,0)*VLOOKUP('Données projet'!$B$10,Paramètres!$A$1:$I$89,5,0)</f>
        <v>456.2740000000004</v>
      </c>
      <c r="AK87" s="13">
        <f t="shared" si="89"/>
        <v>103.09649786611838</v>
      </c>
      <c r="AL87" s="20">
        <f t="shared" si="58"/>
        <v>974.23695045015677</v>
      </c>
      <c r="AM87" s="59">
        <f t="shared" si="59"/>
        <v>1254.5578342232848</v>
      </c>
      <c r="AN87" s="59">
        <f ca="1">AVERAGE(OFFSET($AM$3,0,0,'Données projet'!$E$10+1,1))-AVERAGE(OFFSET($H$3,0,0,'Données projet'!$E$10+1,1))</f>
        <v>569.80473816957431</v>
      </c>
      <c r="AO87" s="59">
        <f t="shared" si="90"/>
        <v>495.56567790763199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98.316587877584539</v>
      </c>
      <c r="AV87" s="21">
        <f>EXP(-LN(2)/25)*AV86+(1-EXP(-LN(2)/25))/(LN(2)/25)*Calculateur!AQ87*Calculateur!AS87*VLOOKUP('Données projet'!$B$10,Paramètres!$A$1:$I$89,3,0)*0.475*44/12</f>
        <v>14.638442315848096</v>
      </c>
      <c r="AW87" s="21">
        <f>EXP(-LN(2)/2)*AW86+(1-EXP(-LN(2)/2))/(LN(2)/2)*AQ87*AT87*VLOOKUP('Données projet'!$B$10,Paramètres!$A$1:$I$89,3,0)*0.475*44/12</f>
        <v>5.852227054477563E-10</v>
      </c>
      <c r="AX87" s="21">
        <f t="shared" si="60"/>
        <v>112.95503019401785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66.451150119944032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-5.6843418860808015E-14</v>
      </c>
      <c r="BE87" s="13">
        <f>BD87*VLOOKUP('Données projet'!$B$11,Paramètres!$A$1:$I$89,3,0)*VLOOKUP('Données projet'!$B$11,Paramètres!$A$1:$I$89,5,0)</f>
        <v>-2.5006556825246661E-14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180.42749272334603</v>
      </c>
      <c r="BJ87" s="59">
        <f t="shared" si="92"/>
        <v>346.61476512497495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21.946070876160153</v>
      </c>
      <c r="BQ87" s="21">
        <f>EXP(-LN(2)/25)*BQ86+(1-EXP(-LN(2)/25))/(LN(2)/25)*Calculateur!BL87*Calculateur!BN87*VLOOKUP('Données projet'!$B$11,Paramètres!$A$1:$I$89,3,0)*0.475*44/12</f>
        <v>3.7063926025859861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25.652463478746139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66.451150119944032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10.41</v>
      </c>
      <c r="BY87" s="12">
        <f>IF('Données projet'!$A$114&gt;35,BY86+BX87-CG86,IF(A87&lt;'Données projet'!$A$114,$BV$205^A87,IF(A87='Données projet'!$A$114,'Données projet'!$B$114,BY86+BX87-CG86)))</f>
        <v>377.78000000000003</v>
      </c>
      <c r="BZ87" s="13">
        <f>BY87*VLOOKUP('Données projet'!$B$12,Paramètres!$A$1:$I$89,3,0)*VLOOKUP('Données projet'!$B$12,Paramètres!$A$1:$I$89,5,0)</f>
        <v>341.81534400000004</v>
      </c>
      <c r="CA87" s="13">
        <f t="shared" si="93"/>
        <v>79.874891668491202</v>
      </c>
      <c r="CB87" s="20">
        <f t="shared" si="64"/>
        <v>734.44382712262222</v>
      </c>
      <c r="CC87" s="59">
        <f t="shared" si="65"/>
        <v>1014.7647108957503</v>
      </c>
      <c r="CD87" s="59">
        <f ca="1">AVERAGE(OFFSET($CC$3,0,0,'Données projet'!$E$12+1,1))-AVERAGE(OFFSET($H$3,0,0,'Données projet'!$E$12+1,1))</f>
        <v>553.16421218123958</v>
      </c>
      <c r="CE87" s="59">
        <f t="shared" si="94"/>
        <v>291.73668613844416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103.39654498854341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103.39654498854341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66.451150119944032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10.41</v>
      </c>
      <c r="CT87" s="12">
        <f>IF('Données projet'!$A$140&gt;35,CT86+CS87-DB86,IF(A87&lt;'Données projet'!$A$140,$CQ$205^A87,IF(A87='Données projet'!$A$140,'Données projet'!$B$140,CT86+CS87-DB86)))</f>
        <v>377.78000000000003</v>
      </c>
      <c r="CU87" s="17">
        <f>CT87*VLOOKUP('Données projet'!$B$13,Paramètres!$A$1:$I$89,3,0)*VLOOKUP('Données projet'!$B$13,Paramètres!$A$1:$I$89,5,0)</f>
        <v>383.06892000000005</v>
      </c>
      <c r="CV87" s="13">
        <f t="shared" si="95"/>
        <v>88.335556417741373</v>
      </c>
      <c r="CW87" s="20">
        <f t="shared" si="67"/>
        <v>821.02946309423305</v>
      </c>
      <c r="CX87" s="59">
        <f t="shared" si="68"/>
        <v>1101.3503468673612</v>
      </c>
      <c r="CY87" s="59">
        <f ca="1">AVERAGE(OFFSET($CX$3,0,0,'Données projet'!$E$13+1,1))-AVERAGE(OFFSET($H$3,0,0,'Données projet'!$E$13+1,1))</f>
        <v>611.82989382187804</v>
      </c>
      <c r="CZ87" s="59">
        <f t="shared" si="96"/>
        <v>320.34124600136363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115.8754383492297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115.8754383492297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66.451150119944032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10.41</v>
      </c>
      <c r="DO87" s="12">
        <f>IF('Données projet'!$A$166&gt;35,DO86+DN87-DW86,IF(A87&lt;'Données projet'!$A$166,$DL$205^A87,IF(A87='Données projet'!$A$166,'Données projet'!$B$166,DO86+DN87-DW86)))</f>
        <v>377.78000000000003</v>
      </c>
      <c r="DP87" s="17">
        <f>DO87*VLOOKUP('Données projet'!$B$14,Paramètres!$A$1:$I$89,3,0)*VLOOKUP('Données projet'!$B$14,Paramètres!$A$1:$I$89,5,0)</f>
        <v>406.64239200000003</v>
      </c>
      <c r="DQ87" s="13">
        <f t="shared" si="97"/>
        <v>93.122014746928173</v>
      </c>
      <c r="DR87" s="20">
        <f t="shared" si="70"/>
        <v>870.42300841756662</v>
      </c>
      <c r="DS87" s="59">
        <f t="shared" si="71"/>
        <v>1150.7438921906946</v>
      </c>
      <c r="DT87" s="59">
        <f ca="1">AVERAGE(OFFSET($DS$3,0,0,'Données projet'!$E$14+1,1))-AVERAGE(OFFSET($H$3,0,0,'Données projet'!$E$14+1,1))</f>
        <v>645.29541304800614</v>
      </c>
      <c r="DU87" s="59">
        <f t="shared" si="98"/>
        <v>336.65580771733323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123.00623455533609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123.00623455533609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66.451150119944032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319</v>
      </c>
      <c r="EK87" s="17">
        <f>EJ87*VLOOKUP('Données projet'!$B$15,Paramètres!$A$1:$I$89,3,0)*VLOOKUP('Données projet'!$B$15,Paramètres!$A$1:$I$89,5,0)</f>
        <v>233.89079999999998</v>
      </c>
      <c r="EL87" s="13">
        <f t="shared" si="99"/>
        <v>57.123140349023068</v>
      </c>
      <c r="EM87" s="20">
        <f t="shared" si="73"/>
        <v>506.84927944121517</v>
      </c>
      <c r="EN87" s="59">
        <f t="shared" si="74"/>
        <v>787.17016321434335</v>
      </c>
      <c r="EO87" s="59">
        <f ca="1">AVERAGE(OFFSET($EN$3,0,0,'Données projet'!$E$15+1,1))-AVERAGE(OFFSET($H$3,0,0,'Données projet'!$E$15+1,1))</f>
        <v>343.31122043016137</v>
      </c>
      <c r="EP87" s="59">
        <f t="shared" si="100"/>
        <v>333.61098411258877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36.725617342538712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36.725617342538712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66.451150119944032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319</v>
      </c>
      <c r="FF87" s="17">
        <f>FE87*VLOOKUP('Données projet'!$B$16,Paramètres!$A$1:$I$89,3,0)*VLOOKUP('Données projet'!$B$16,Paramètres!$A$1:$I$89,5,0)</f>
        <v>253.79640000000001</v>
      </c>
      <c r="FG87" s="13">
        <f t="shared" si="101"/>
        <v>61.39816832228076</v>
      </c>
      <c r="FH87" s="20">
        <f t="shared" si="76"/>
        <v>548.96387316130563</v>
      </c>
      <c r="FI87" s="59">
        <f t="shared" si="77"/>
        <v>829.28475693443374</v>
      </c>
      <c r="FJ87" s="59">
        <f ca="1">AVERAGE(OFFSET($FI$3,0,0,'Données projet'!$E$16+1,1))-AVERAGE(OFFSET($H$3,0,0,'Données projet'!$E$16+1,1))</f>
        <v>368.12945163484585</v>
      </c>
      <c r="FK87" s="59">
        <f t="shared" si="102"/>
        <v>357.27183934545121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49.118923145414229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49.118923145414229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66.451150119944032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66.451150119944032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3.0869565217391299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11.318840579710143</v>
      </c>
      <c r="H88" s="66">
        <f t="shared" si="56"/>
        <v>211.39130434782609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66.512714731323285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13.233750000000001</v>
      </c>
      <c r="N88" s="13">
        <f>IF('Données projet'!$A$36&gt;35,N87+M88-V87,IF(A88&lt;'Données projet'!$A$36,$K$205^A88,IF(A88='Données projet'!$A$36,'Données projet'!$B$36,N87+M88-V87)))</f>
        <v>452.31749999999943</v>
      </c>
      <c r="O88" s="13">
        <f>N88*VLOOKUP('Données projet'!$B$9,Paramètres!$A$1:$I$89,3,0)*VLOOKUP('Données projet'!$B$9,Paramètres!$A$1:$I$89,5,0)</f>
        <v>211.68458999999973</v>
      </c>
      <c r="P88" s="13">
        <f t="shared" si="87"/>
        <v>52.303539640433733</v>
      </c>
      <c r="Q88" s="20">
        <f t="shared" si="54"/>
        <v>459.77932579042158</v>
      </c>
      <c r="R88" s="59">
        <f t="shared" si="55"/>
        <v>740.32594647194037</v>
      </c>
      <c r="S88" s="59">
        <f ca="1">AVERAGE(OFFSET($R$3,0,0,'Données projet'!$E$9+1,1))-AVERAGE(OFFSET($H$3,0,0,'Données projet'!$E$9+1,1))</f>
        <v>320.30433416149219</v>
      </c>
      <c r="T88" s="59">
        <f t="shared" si="88"/>
        <v>201.33422682092797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125.84092784847329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125.84092784847329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66.512714731323285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763.00000000000057</v>
      </c>
      <c r="AJ88" s="13">
        <f>AI88*VLOOKUP('Données projet'!$B$10,Paramètres!$A$1:$I$89,3,0)*VLOOKUP('Données projet'!$B$10,Paramètres!$A$1:$I$89,5,0)</f>
        <v>456.2740000000004</v>
      </c>
      <c r="AK88" s="13">
        <f t="shared" si="89"/>
        <v>103.09649786611838</v>
      </c>
      <c r="AL88" s="20">
        <f t="shared" si="58"/>
        <v>974.23695045015677</v>
      </c>
      <c r="AM88" s="59">
        <f t="shared" si="59"/>
        <v>1254.7835711316754</v>
      </c>
      <c r="AN88" s="59">
        <f ca="1">AVERAGE(OFFSET($AM$3,0,0,'Données projet'!$E$10+1,1))-AVERAGE(OFFSET($H$3,0,0,'Données projet'!$E$10+1,1))</f>
        <v>569.80473816957431</v>
      </c>
      <c r="AO88" s="59">
        <f t="shared" si="90"/>
        <v>495.56567790763199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96.388659556502446</v>
      </c>
      <c r="AV88" s="21">
        <f>EXP(-LN(2)/25)*AV87+(1-EXP(-LN(2)/25))/(LN(2)/25)*Calculateur!AQ88*Calculateur!AS88*VLOOKUP('Données projet'!$B$10,Paramètres!$A$1:$I$89,3,0)*0.475*44/12</f>
        <v>14.238153340919006</v>
      </c>
      <c r="AW88" s="21">
        <f>EXP(-LN(2)/2)*AW87+(1-EXP(-LN(2)/2))/(LN(2)/2)*AQ88*AT88*VLOOKUP('Données projet'!$B$10,Paramètres!$A$1:$I$89,3,0)*0.475*44/12</f>
        <v>4.1381494352644598E-10</v>
      </c>
      <c r="AX88" s="21">
        <f t="shared" si="60"/>
        <v>110.62681289783526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66.512714731323285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-5.6843418860808015E-14</v>
      </c>
      <c r="BE88" s="13">
        <f>BD88*VLOOKUP('Données projet'!$B$11,Paramètres!$A$1:$I$89,3,0)*VLOOKUP('Données projet'!$B$11,Paramètres!$A$1:$I$89,5,0)</f>
        <v>-2.5006556825246661E-14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180.42749272334603</v>
      </c>
      <c r="BJ88" s="59">
        <f t="shared" si="92"/>
        <v>346.61476512497495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21.51572181206015</v>
      </c>
      <c r="BQ88" s="21">
        <f>EXP(-LN(2)/25)*BQ87+(1-EXP(-LN(2)/25))/(LN(2)/25)*Calculateur!BL88*Calculateur!BN88*VLOOKUP('Données projet'!$B$11,Paramètres!$A$1:$I$89,3,0)*0.475*44/12</f>
        <v>3.6050411019575566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25.120762914017707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66.512714731323285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10.41</v>
      </c>
      <c r="BY88" s="12">
        <f>IF('Données projet'!$A$114&gt;35,BY87+BX88-CG87,IF(A88&lt;'Données projet'!$A$114,$BV$205^A88,IF(A88='Données projet'!$A$114,'Données projet'!$B$114,BY87+BX88-CG87)))</f>
        <v>388.19000000000005</v>
      </c>
      <c r="BZ88" s="13">
        <f>BY88*VLOOKUP('Données projet'!$B$12,Paramètres!$A$1:$I$89,3,0)*VLOOKUP('Données projet'!$B$12,Paramètres!$A$1:$I$89,5,0)</f>
        <v>351.23431200000005</v>
      </c>
      <c r="CA88" s="13">
        <f t="shared" si="93"/>
        <v>81.816616800686063</v>
      </c>
      <c r="CB88" s="20">
        <f t="shared" si="64"/>
        <v>754.23036766119492</v>
      </c>
      <c r="CC88" s="59">
        <f t="shared" si="65"/>
        <v>1034.7769883427136</v>
      </c>
      <c r="CD88" s="59">
        <f ca="1">AVERAGE(OFFSET($CC$3,0,0,'Données projet'!$E$12+1,1))-AVERAGE(OFFSET($H$3,0,0,'Données projet'!$E$12+1,1))</f>
        <v>553.16421218123958</v>
      </c>
      <c r="CE88" s="59">
        <f t="shared" si="94"/>
        <v>291.73668613844416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101.36900180698331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101.36900180698331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66.512714731323285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10.41</v>
      </c>
      <c r="CT88" s="12">
        <f>IF('Données projet'!$A$140&gt;35,CT87+CS88-DB87,IF(A88&lt;'Données projet'!$A$140,$CQ$205^A88,IF(A88='Données projet'!$A$140,'Données projet'!$B$140,CT87+CS88-DB87)))</f>
        <v>388.19000000000005</v>
      </c>
      <c r="CU88" s="17">
        <f>CT88*VLOOKUP('Données projet'!$B$13,Paramètres!$A$1:$I$89,3,0)*VLOOKUP('Données projet'!$B$13,Paramètres!$A$1:$I$89,5,0)</f>
        <v>393.62466000000012</v>
      </c>
      <c r="CV88" s="13">
        <f t="shared" si="95"/>
        <v>90.48295676320447</v>
      </c>
      <c r="CW88" s="20">
        <f t="shared" si="67"/>
        <v>843.15409919591457</v>
      </c>
      <c r="CX88" s="59">
        <f t="shared" si="68"/>
        <v>1123.7007198774334</v>
      </c>
      <c r="CY88" s="59">
        <f ca="1">AVERAGE(OFFSET($CX$3,0,0,'Données projet'!$E$13+1,1))-AVERAGE(OFFSET($H$3,0,0,'Données projet'!$E$13+1,1))</f>
        <v>611.82989382187804</v>
      </c>
      <c r="CZ88" s="59">
        <f t="shared" si="96"/>
        <v>320.34124600136363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113.60319168023992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113.60319168023992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66.512714731323285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10.41</v>
      </c>
      <c r="DO88" s="12">
        <f>IF('Données projet'!$A$166&gt;35,DO87+DN88-DW87,IF(A88&lt;'Données projet'!$A$166,$DL$205^A88,IF(A88='Données projet'!$A$166,'Données projet'!$B$166,DO87+DN88-DW87)))</f>
        <v>388.19000000000005</v>
      </c>
      <c r="DP88" s="17">
        <f>DO88*VLOOKUP('Données projet'!$B$14,Paramètres!$A$1:$I$89,3,0)*VLOOKUP('Données projet'!$B$14,Paramètres!$A$1:$I$89,5,0)</f>
        <v>417.84771600000005</v>
      </c>
      <c r="DQ88" s="13">
        <f t="shared" si="97"/>
        <v>95.385771887847838</v>
      </c>
      <c r="DR88" s="20">
        <f t="shared" si="70"/>
        <v>893.88165807133498</v>
      </c>
      <c r="DS88" s="59">
        <f t="shared" si="71"/>
        <v>1174.4282787528537</v>
      </c>
      <c r="DT88" s="59">
        <f ca="1">AVERAGE(OFFSET($DS$3,0,0,'Données projet'!$E$14+1,1))-AVERAGE(OFFSET($H$3,0,0,'Données projet'!$E$14+1,1))</f>
        <v>645.29541304800614</v>
      </c>
      <c r="DU88" s="59">
        <f t="shared" si="98"/>
        <v>336.65580771733323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120.59415732210078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120.59415732210078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66.512714731323285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319</v>
      </c>
      <c r="EK88" s="17">
        <f>EJ88*VLOOKUP('Données projet'!$B$15,Paramètres!$A$1:$I$89,3,0)*VLOOKUP('Données projet'!$B$15,Paramètres!$A$1:$I$89,5,0)</f>
        <v>233.89079999999998</v>
      </c>
      <c r="EL88" s="13">
        <f t="shared" si="99"/>
        <v>57.123140349023068</v>
      </c>
      <c r="EM88" s="20">
        <f t="shared" si="73"/>
        <v>506.84927944121517</v>
      </c>
      <c r="EN88" s="59">
        <f t="shared" si="74"/>
        <v>787.39590012273391</v>
      </c>
      <c r="EO88" s="59">
        <f ca="1">AVERAGE(OFFSET($EN$3,0,0,'Données projet'!$E$15+1,1))-AVERAGE(OFFSET($H$3,0,0,'Données projet'!$E$15+1,1))</f>
        <v>343.31122043016137</v>
      </c>
      <c r="EP88" s="59">
        <f t="shared" si="100"/>
        <v>333.61098411258877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36.005450386866251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36.005450386866251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66.512714731323285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319</v>
      </c>
      <c r="FF88" s="17">
        <f>FE88*VLOOKUP('Données projet'!$B$16,Paramètres!$A$1:$I$89,3,0)*VLOOKUP('Données projet'!$B$16,Paramètres!$A$1:$I$89,5,0)</f>
        <v>253.79640000000001</v>
      </c>
      <c r="FG88" s="13">
        <f t="shared" si="101"/>
        <v>61.39816832228076</v>
      </c>
      <c r="FH88" s="20">
        <f t="shared" si="76"/>
        <v>548.96387316130563</v>
      </c>
      <c r="FI88" s="59">
        <f t="shared" si="77"/>
        <v>829.51049384282442</v>
      </c>
      <c r="FJ88" s="59">
        <f ca="1">AVERAGE(OFFSET($FI$3,0,0,'Données projet'!$E$16+1,1))-AVERAGE(OFFSET($H$3,0,0,'Données projet'!$E$16+1,1))</f>
        <v>368.12945163484585</v>
      </c>
      <c r="FK88" s="59">
        <f t="shared" si="102"/>
        <v>357.27183934545121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48.155731022117514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48.155731022117514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66.512714731323285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66.512714731323285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3.0869565217391299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11.318840579710143</v>
      </c>
      <c r="H89" s="66">
        <f t="shared" si="56"/>
        <v>211.39130434782609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66.573211334332953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13.233750000000001</v>
      </c>
      <c r="N89" s="13">
        <f>IF('Données projet'!$A$36&gt;35,N88+M89-V88,IF(A89&lt;'Données projet'!$A$36,$K$205^A89,IF(A89='Données projet'!$A$36,'Données projet'!$B$36,N88+M89-V88)))</f>
        <v>465.55124999999941</v>
      </c>
      <c r="O89" s="13">
        <f>N89*VLOOKUP('Données projet'!$B$9,Paramètres!$A$1:$I$89,3,0)*VLOOKUP('Données projet'!$B$9,Paramètres!$A$1:$I$89,5,0)</f>
        <v>217.87798499999974</v>
      </c>
      <c r="P89" s="13">
        <f t="shared" si="87"/>
        <v>53.653416401808421</v>
      </c>
      <c r="Q89" s="20">
        <f t="shared" si="54"/>
        <v>472.91719077481588</v>
      </c>
      <c r="R89" s="59">
        <f t="shared" si="55"/>
        <v>753.68563233403665</v>
      </c>
      <c r="S89" s="59">
        <f ca="1">AVERAGE(OFFSET($R$3,0,0,'Données projet'!$E$9+1,1))-AVERAGE(OFFSET($H$3,0,0,'Données projet'!$E$9+1,1))</f>
        <v>320.30433416149219</v>
      </c>
      <c r="T89" s="59">
        <f t="shared" si="88"/>
        <v>201.33422682092797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123.37326400875175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123.37326400875175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66.573211334332953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763.00000000000057</v>
      </c>
      <c r="AJ89" s="13">
        <f>AI89*VLOOKUP('Données projet'!$B$10,Paramètres!$A$1:$I$89,3,0)*VLOOKUP('Données projet'!$B$10,Paramètres!$A$1:$I$89,5,0)</f>
        <v>456.2740000000004</v>
      </c>
      <c r="AK89" s="13">
        <f t="shared" si="89"/>
        <v>103.09649786611838</v>
      </c>
      <c r="AL89" s="20">
        <f t="shared" si="58"/>
        <v>974.23695045015677</v>
      </c>
      <c r="AM89" s="59">
        <f t="shared" si="59"/>
        <v>1255.0053920093776</v>
      </c>
      <c r="AN89" s="59">
        <f ca="1">AVERAGE(OFFSET($AM$3,0,0,'Données projet'!$E$10+1,1))-AVERAGE(OFFSET($H$3,0,0,'Données projet'!$E$10+1,1))</f>
        <v>569.80473816957431</v>
      </c>
      <c r="AO89" s="59">
        <f t="shared" si="90"/>
        <v>495.56567790763199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94.498536733876605</v>
      </c>
      <c r="AV89" s="21">
        <f>EXP(-LN(2)/25)*AV88+(1-EXP(-LN(2)/25))/(LN(2)/25)*Calculateur!AQ89*Calculateur!AS89*VLOOKUP('Données projet'!$B$10,Paramètres!$A$1:$I$89,3,0)*0.475*44/12</f>
        <v>13.848810289059633</v>
      </c>
      <c r="AW89" s="21">
        <f>EXP(-LN(2)/2)*AW88+(1-EXP(-LN(2)/2))/(LN(2)/2)*AQ89*AT89*VLOOKUP('Données projet'!$B$10,Paramètres!$A$1:$I$89,3,0)*0.475*44/12</f>
        <v>2.9261135272387815E-10</v>
      </c>
      <c r="AX89" s="21">
        <f t="shared" si="60"/>
        <v>108.34734702322885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66.573211334332953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-5.6843418860808015E-14</v>
      </c>
      <c r="BE89" s="13">
        <f>BD89*VLOOKUP('Données projet'!$B$11,Paramètres!$A$1:$I$89,3,0)*VLOOKUP('Données projet'!$B$11,Paramètres!$A$1:$I$89,5,0)</f>
        <v>-2.5006556825246661E-14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180.42749272334603</v>
      </c>
      <c r="BJ89" s="59">
        <f t="shared" si="92"/>
        <v>346.61476512497495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21.093811630620138</v>
      </c>
      <c r="BQ89" s="21">
        <f>EXP(-LN(2)/25)*BQ88+(1-EXP(-LN(2)/25))/(LN(2)/25)*Calculateur!BL89*Calculateur!BN89*VLOOKUP('Données projet'!$B$11,Paramètres!$A$1:$I$89,3,0)*0.475*44/12</f>
        <v>3.506461063443655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24.600272694063793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66.573211334332953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10.41</v>
      </c>
      <c r="BY89" s="12">
        <f>IF('Données projet'!$A$114&gt;35,BY88+BX89-CG88,IF(A89&lt;'Données projet'!$A$114,$BV$205^A89,IF(A89='Données projet'!$A$114,'Données projet'!$B$114,BY88+BX89-CG88)))</f>
        <v>398.60000000000008</v>
      </c>
      <c r="BZ89" s="13">
        <f>BY89*VLOOKUP('Données projet'!$B$12,Paramètres!$A$1:$I$89,3,0)*VLOOKUP('Données projet'!$B$12,Paramètres!$A$1:$I$89,5,0)</f>
        <v>360.65328000000005</v>
      </c>
      <c r="CA89" s="13">
        <f t="shared" si="93"/>
        <v>83.752289576604468</v>
      </c>
      <c r="CB89" s="20">
        <f t="shared" si="64"/>
        <v>774.00636701258611</v>
      </c>
      <c r="CC89" s="59">
        <f t="shared" si="65"/>
        <v>1054.7748085718069</v>
      </c>
      <c r="CD89" s="59">
        <f ca="1">AVERAGE(OFFSET($CC$3,0,0,'Données projet'!$E$12+1,1))-AVERAGE(OFFSET($H$3,0,0,'Données projet'!$E$12+1,1))</f>
        <v>553.16421218123958</v>
      </c>
      <c r="CE89" s="59">
        <f t="shared" si="94"/>
        <v>291.73668613844416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99.381217510534356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99.381217510534356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66.573211334332953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10.41</v>
      </c>
      <c r="CT89" s="12">
        <f>IF('Données projet'!$A$140&gt;35,CT88+CS89-DB88,IF(A89&lt;'Données projet'!$A$140,$CQ$205^A89,IF(A89='Données projet'!$A$140,'Données projet'!$B$140,CT88+CS89-DB88)))</f>
        <v>398.60000000000008</v>
      </c>
      <c r="CU89" s="17">
        <f>CT89*VLOOKUP('Données projet'!$B$13,Paramètres!$A$1:$I$89,3,0)*VLOOKUP('Données projet'!$B$13,Paramètres!$A$1:$I$89,5,0)</f>
        <v>404.18040000000013</v>
      </c>
      <c r="CV89" s="13">
        <f t="shared" si="95"/>
        <v>92.623663662853104</v>
      </c>
      <c r="CW89" s="20">
        <f t="shared" si="67"/>
        <v>865.26707754613597</v>
      </c>
      <c r="CX89" s="59">
        <f t="shared" si="68"/>
        <v>1146.0355191053568</v>
      </c>
      <c r="CY89" s="59">
        <f ca="1">AVERAGE(OFFSET($CX$3,0,0,'Données projet'!$E$13+1,1))-AVERAGE(OFFSET($H$3,0,0,'Données projet'!$E$13+1,1))</f>
        <v>611.82989382187804</v>
      </c>
      <c r="CZ89" s="59">
        <f t="shared" si="96"/>
        <v>320.34124600136363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111.37550238249541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111.37550238249541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66.573211334332953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10.41</v>
      </c>
      <c r="DO89" s="12">
        <f>IF('Données projet'!$A$166&gt;35,DO88+DN89-DW88,IF(A89&lt;'Données projet'!$A$166,$DL$205^A89,IF(A89='Données projet'!$A$166,'Données projet'!$B$166,DO88+DN89-DW88)))</f>
        <v>398.60000000000008</v>
      </c>
      <c r="DP89" s="17">
        <f>DO89*VLOOKUP('Données projet'!$B$14,Paramètres!$A$1:$I$89,3,0)*VLOOKUP('Données projet'!$B$14,Paramètres!$A$1:$I$89,5,0)</f>
        <v>429.05304000000007</v>
      </c>
      <c r="DQ89" s="13">
        <f t="shared" si="97"/>
        <v>97.642472898879149</v>
      </c>
      <c r="DR89" s="20">
        <f t="shared" si="70"/>
        <v>917.32801829888115</v>
      </c>
      <c r="DS89" s="59">
        <f t="shared" si="71"/>
        <v>1198.096459858102</v>
      </c>
      <c r="DT89" s="59">
        <f ca="1">AVERAGE(OFFSET($DS$3,0,0,'Données projet'!$E$14+1,1))-AVERAGE(OFFSET($H$3,0,0,'Données projet'!$E$14+1,1))</f>
        <v>645.29541304800614</v>
      </c>
      <c r="DU89" s="59">
        <f t="shared" si="98"/>
        <v>336.65580771733323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118.22937945218739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118.22937945218739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66.573211334332953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319</v>
      </c>
      <c r="EK89" s="17">
        <f>EJ89*VLOOKUP('Données projet'!$B$15,Paramètres!$A$1:$I$89,3,0)*VLOOKUP('Données projet'!$B$15,Paramètres!$A$1:$I$89,5,0)</f>
        <v>233.89079999999998</v>
      </c>
      <c r="EL89" s="13">
        <f t="shared" si="99"/>
        <v>57.123140349023068</v>
      </c>
      <c r="EM89" s="20">
        <f t="shared" si="73"/>
        <v>506.84927944121517</v>
      </c>
      <c r="EN89" s="59">
        <f t="shared" si="74"/>
        <v>787.61772100043595</v>
      </c>
      <c r="EO89" s="59">
        <f ca="1">AVERAGE(OFFSET($EN$3,0,0,'Données projet'!$E$15+1,1))-AVERAGE(OFFSET($H$3,0,0,'Données projet'!$E$15+1,1))</f>
        <v>343.31122043016137</v>
      </c>
      <c r="EP89" s="59">
        <f t="shared" si="100"/>
        <v>333.61098411258877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35.299405465936054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35.299405465936054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66.573211334332953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319</v>
      </c>
      <c r="FF89" s="17">
        <f>FE89*VLOOKUP('Données projet'!$B$16,Paramètres!$A$1:$I$89,3,0)*VLOOKUP('Données projet'!$B$16,Paramètres!$A$1:$I$89,5,0)</f>
        <v>253.79640000000001</v>
      </c>
      <c r="FG89" s="13">
        <f t="shared" si="101"/>
        <v>61.39816832228076</v>
      </c>
      <c r="FH89" s="20">
        <f t="shared" si="76"/>
        <v>548.96387316130563</v>
      </c>
      <c r="FI89" s="59">
        <f t="shared" si="77"/>
        <v>829.73231472052646</v>
      </c>
      <c r="FJ89" s="59">
        <f ca="1">AVERAGE(OFFSET($FI$3,0,0,'Données projet'!$E$16+1,1))-AVERAGE(OFFSET($H$3,0,0,'Données projet'!$E$16+1,1))</f>
        <v>368.12945163484585</v>
      </c>
      <c r="FK89" s="59">
        <f t="shared" si="102"/>
        <v>357.27183934545121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47.211426508869458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47.211426508869458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66.573211334332953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66.573211334332953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3.0869565217391299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11.318840579710143</v>
      </c>
      <c r="H90" s="66">
        <f t="shared" si="56"/>
        <v>211.39130434782609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66.632658456530535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13.233750000000001</v>
      </c>
      <c r="N90" s="13">
        <f>IF('Données projet'!$A$36&gt;35,N89+M90-V89,IF(A90&lt;'Données projet'!$A$36,$K$205^A90,IF(A90='Données projet'!$A$36,'Données projet'!$B$36,N89+M90-V89)))</f>
        <v>478.7849999999994</v>
      </c>
      <c r="O90" s="13">
        <f>N90*VLOOKUP('Données projet'!$B$9,Paramètres!$A$1:$I$89,3,0)*VLOOKUP('Données projet'!$B$9,Paramètres!$A$1:$I$89,5,0)</f>
        <v>224.07137999999972</v>
      </c>
      <c r="P90" s="13">
        <f t="shared" si="87"/>
        <v>54.998833459119965</v>
      </c>
      <c r="Q90" s="20">
        <f t="shared" si="54"/>
        <v>486.04728844130017</v>
      </c>
      <c r="R90" s="59">
        <f t="shared" si="55"/>
        <v>767.0337027819121</v>
      </c>
      <c r="S90" s="59">
        <f ca="1">AVERAGE(OFFSET($R$3,0,0,'Données projet'!$E$9+1,1))-AVERAGE(OFFSET($H$3,0,0,'Données projet'!$E$9+1,1))</f>
        <v>320.30433416149219</v>
      </c>
      <c r="T90" s="59">
        <f t="shared" si="88"/>
        <v>201.33422682092797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120.95398955180083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120.95398955180083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66.632658456530535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763.00000000000057</v>
      </c>
      <c r="AJ90" s="13">
        <f>AI90*VLOOKUP('Données projet'!$B$10,Paramètres!$A$1:$I$89,3,0)*VLOOKUP('Données projet'!$B$10,Paramètres!$A$1:$I$89,5,0)</f>
        <v>456.2740000000004</v>
      </c>
      <c r="AK90" s="13">
        <f t="shared" si="89"/>
        <v>103.09649786611838</v>
      </c>
      <c r="AL90" s="20">
        <f t="shared" si="58"/>
        <v>974.23695045015677</v>
      </c>
      <c r="AM90" s="59">
        <f t="shared" si="59"/>
        <v>1255.2233647907688</v>
      </c>
      <c r="AN90" s="59">
        <f ca="1">AVERAGE(OFFSET($AM$3,0,0,'Données projet'!$E$10+1,1))-AVERAGE(OFFSET($H$3,0,0,'Données projet'!$E$10+1,1))</f>
        <v>569.80473816957431</v>
      </c>
      <c r="AO90" s="59">
        <f t="shared" si="90"/>
        <v>495.56567790763199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92.645478066941365</v>
      </c>
      <c r="AV90" s="21">
        <f>EXP(-LN(2)/25)*AV89+(1-EXP(-LN(2)/25))/(LN(2)/25)*Calculateur!AQ90*Calculateur!AS90*VLOOKUP('Données projet'!$B$10,Paramètres!$A$1:$I$89,3,0)*0.475*44/12</f>
        <v>13.470113843428017</v>
      </c>
      <c r="AW90" s="21">
        <f>EXP(-LN(2)/2)*AW89+(1-EXP(-LN(2)/2))/(LN(2)/2)*AQ90*AT90*VLOOKUP('Données projet'!$B$10,Paramètres!$A$1:$I$89,3,0)*0.475*44/12</f>
        <v>2.0690747176322299E-10</v>
      </c>
      <c r="AX90" s="21">
        <f t="shared" si="60"/>
        <v>106.11559191057628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66.632658456530535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-5.6843418860808015E-14</v>
      </c>
      <c r="BE90" s="13">
        <f>BD90*VLOOKUP('Données projet'!$B$11,Paramètres!$A$1:$I$89,3,0)*VLOOKUP('Données projet'!$B$11,Paramètres!$A$1:$I$89,5,0)</f>
        <v>-2.5006556825246661E-14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180.42749272334603</v>
      </c>
      <c r="BJ90" s="59">
        <f t="shared" si="92"/>
        <v>346.61476512497495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20.680174850498364</v>
      </c>
      <c r="BQ90" s="21">
        <f>EXP(-LN(2)/25)*BQ89+(1-EXP(-LN(2)/25))/(LN(2)/25)*Calculateur!BL90*Calculateur!BN90*VLOOKUP('Données projet'!$B$11,Paramètres!$A$1:$I$89,3,0)*0.475*44/12</f>
        <v>3.410576701267015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24.090751551765379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66.632658456530535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10.41</v>
      </c>
      <c r="BY90" s="12">
        <f>IF('Données projet'!$A$114&gt;35,BY89+BX90-CG89,IF(A90&lt;'Données projet'!$A$114,$BV$205^A90,IF(A90='Données projet'!$A$114,'Données projet'!$B$114,BY89+BX90-CG89)))</f>
        <v>409.0100000000001</v>
      </c>
      <c r="BZ90" s="13">
        <f>BY90*VLOOKUP('Données projet'!$B$12,Paramètres!$A$1:$I$89,3,0)*VLOOKUP('Données projet'!$B$12,Paramètres!$A$1:$I$89,5,0)</f>
        <v>370.07224800000012</v>
      </c>
      <c r="CA90" s="13">
        <f t="shared" si="93"/>
        <v>85.682086233509125</v>
      </c>
      <c r="CB90" s="20">
        <f t="shared" si="64"/>
        <v>793.77213212336176</v>
      </c>
      <c r="CC90" s="59">
        <f t="shared" si="65"/>
        <v>1074.7585464639737</v>
      </c>
      <c r="CD90" s="59">
        <f ca="1">AVERAGE(OFFSET($CC$3,0,0,'Données projet'!$E$12+1,1))-AVERAGE(OFFSET($H$3,0,0,'Données projet'!$E$12+1,1))</f>
        <v>553.16421218123958</v>
      </c>
      <c r="CE90" s="59">
        <f t="shared" si="94"/>
        <v>291.73668613844416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97.432412451710064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97.432412451710064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66.632658456530535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10.41</v>
      </c>
      <c r="CT90" s="12">
        <f>IF('Données projet'!$A$140&gt;35,CT89+CS90-DB89,IF(A90&lt;'Données projet'!$A$140,$CQ$205^A90,IF(A90='Données projet'!$A$140,'Données projet'!$B$140,CT89+CS90-DB89)))</f>
        <v>409.0100000000001</v>
      </c>
      <c r="CU90" s="17">
        <f>CT90*VLOOKUP('Données projet'!$B$13,Paramètres!$A$1:$I$89,3,0)*VLOOKUP('Données projet'!$B$13,Paramètres!$A$1:$I$89,5,0)</f>
        <v>414.73614000000015</v>
      </c>
      <c r="CV90" s="13">
        <f t="shared" si="95"/>
        <v>94.757872021698574</v>
      </c>
      <c r="CW90" s="20">
        <f t="shared" si="67"/>
        <v>887.3687376044586</v>
      </c>
      <c r="CX90" s="59">
        <f t="shared" si="68"/>
        <v>1168.3551519450705</v>
      </c>
      <c r="CY90" s="59">
        <f ca="1">AVERAGE(OFFSET($CX$3,0,0,'Données projet'!$E$13+1,1))-AVERAGE(OFFSET($H$3,0,0,'Données projet'!$E$13+1,1))</f>
        <v>611.82989382187804</v>
      </c>
      <c r="CZ90" s="59">
        <f t="shared" si="96"/>
        <v>320.34124600136363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109.19149671312337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109.19149671312337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66.632658456530535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10.41</v>
      </c>
      <c r="DO90" s="12">
        <f>IF('Données projet'!$A$166&gt;35,DO89+DN90-DW89,IF(A90&lt;'Données projet'!$A$166,$DL$205^A90,IF(A90='Données projet'!$A$166,'Données projet'!$B$166,DO89+DN90-DW89)))</f>
        <v>409.0100000000001</v>
      </c>
      <c r="DP90" s="17">
        <f>DO90*VLOOKUP('Données projet'!$B$14,Paramètres!$A$1:$I$89,3,0)*VLOOKUP('Données projet'!$B$14,Paramètres!$A$1:$I$89,5,0)</f>
        <v>440.25836400000014</v>
      </c>
      <c r="DQ90" s="13">
        <f t="shared" si="97"/>
        <v>99.892323245953079</v>
      </c>
      <c r="DR90" s="20">
        <f t="shared" si="70"/>
        <v>940.76244695336857</v>
      </c>
      <c r="DS90" s="59">
        <f t="shared" si="71"/>
        <v>1221.7488612939806</v>
      </c>
      <c r="DT90" s="59">
        <f ca="1">AVERAGE(OFFSET($DS$3,0,0,'Données projet'!$E$14+1,1))-AVERAGE(OFFSET($H$3,0,0,'Données projet'!$E$14+1,1))</f>
        <v>645.29541304800614</v>
      </c>
      <c r="DU90" s="59">
        <f t="shared" si="98"/>
        <v>336.65580771733323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115.91097343393091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115.91097343393091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66.632658456530535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319</v>
      </c>
      <c r="EK90" s="17">
        <f>EJ90*VLOOKUP('Données projet'!$B$15,Paramètres!$A$1:$I$89,3,0)*VLOOKUP('Données projet'!$B$15,Paramètres!$A$1:$I$89,5,0)</f>
        <v>233.89079999999998</v>
      </c>
      <c r="EL90" s="13">
        <f t="shared" si="99"/>
        <v>57.123140349023068</v>
      </c>
      <c r="EM90" s="20">
        <f t="shared" si="73"/>
        <v>506.84927944121517</v>
      </c>
      <c r="EN90" s="59">
        <f t="shared" si="74"/>
        <v>787.8356937818271</v>
      </c>
      <c r="EO90" s="59">
        <f ca="1">AVERAGE(OFFSET($EN$3,0,0,'Données projet'!$E$15+1,1))-AVERAGE(OFFSET($H$3,0,0,'Données projet'!$E$15+1,1))</f>
        <v>343.31122043016137</v>
      </c>
      <c r="EP90" s="59">
        <f t="shared" si="100"/>
        <v>333.61098411258877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34.607205655260422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34.607205655260422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66.632658456530535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319</v>
      </c>
      <c r="FF90" s="17">
        <f>FE90*VLOOKUP('Données projet'!$B$16,Paramètres!$A$1:$I$89,3,0)*VLOOKUP('Données projet'!$B$16,Paramètres!$A$1:$I$89,5,0)</f>
        <v>253.79640000000001</v>
      </c>
      <c r="FG90" s="13">
        <f t="shared" si="101"/>
        <v>61.39816832228076</v>
      </c>
      <c r="FH90" s="20">
        <f t="shared" si="76"/>
        <v>548.96387316130563</v>
      </c>
      <c r="FI90" s="59">
        <f t="shared" si="77"/>
        <v>829.9502875019175</v>
      </c>
      <c r="FJ90" s="59">
        <f ca="1">AVERAGE(OFFSET($FI$3,0,0,'Données projet'!$E$16+1,1))-AVERAGE(OFFSET($H$3,0,0,'Données projet'!$E$16+1,1))</f>
        <v>368.12945163484585</v>
      </c>
      <c r="FK90" s="59">
        <f t="shared" si="102"/>
        <v>357.27183934545121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46.285639231157319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46.285639231157319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66.632658456530535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66.632658456530535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3.0869565217391299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11.318840579710143</v>
      </c>
      <c r="H91" s="66">
        <f t="shared" si="56"/>
        <v>211.39130434782609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66.691074304061857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13.233750000000001</v>
      </c>
      <c r="N91" s="13">
        <f>IF('Données projet'!$A$36&gt;35,N90+M91-V90,IF(A91&lt;'Données projet'!$A$36,$K$205^A91,IF(A91='Données projet'!$A$36,'Données projet'!$B$36,N90+M91-V90)))</f>
        <v>492.01874999999939</v>
      </c>
      <c r="O91" s="13">
        <f>N91*VLOOKUP('Données projet'!$B$9,Paramètres!$A$1:$I$89,3,0)*VLOOKUP('Données projet'!$B$9,Paramètres!$A$1:$I$89,5,0)</f>
        <v>230.2647749999997</v>
      </c>
      <c r="P91" s="13">
        <f t="shared" si="87"/>
        <v>56.33992824246085</v>
      </c>
      <c r="Q91" s="20">
        <f t="shared" si="54"/>
        <v>499.16985814728554</v>
      </c>
      <c r="R91" s="59">
        <f t="shared" si="55"/>
        <v>780.37046392884565</v>
      </c>
      <c r="S91" s="59">
        <f ca="1">AVERAGE(OFFSET($R$3,0,0,'Données projet'!$E$9+1,1))-AVERAGE(OFFSET($H$3,0,0,'Données projet'!$E$9+1,1))</f>
        <v>320.30433416149219</v>
      </c>
      <c r="T91" s="59">
        <f t="shared" si="88"/>
        <v>201.33422682092797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118.582155591339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118.582155591339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66.691074304061857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763.00000000000057</v>
      </c>
      <c r="AJ91" s="13">
        <f>AI91*VLOOKUP('Données projet'!$B$10,Paramètres!$A$1:$I$89,3,0)*VLOOKUP('Données projet'!$B$10,Paramètres!$A$1:$I$89,5,0)</f>
        <v>456.2740000000004</v>
      </c>
      <c r="AK91" s="13">
        <f t="shared" si="89"/>
        <v>103.09649786611838</v>
      </c>
      <c r="AL91" s="20">
        <f t="shared" si="58"/>
        <v>974.23695045015677</v>
      </c>
      <c r="AM91" s="59">
        <f t="shared" si="59"/>
        <v>1255.4375562317168</v>
      </c>
      <c r="AN91" s="59">
        <f ca="1">AVERAGE(OFFSET($AM$3,0,0,'Données projet'!$E$10+1,1))-AVERAGE(OFFSET($H$3,0,0,'Données projet'!$E$10+1,1))</f>
        <v>569.80473816957431</v>
      </c>
      <c r="AO91" s="59">
        <f t="shared" si="90"/>
        <v>495.56567790763199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90.828756750210545</v>
      </c>
      <c r="AV91" s="21">
        <f>EXP(-LN(2)/25)*AV90+(1-EXP(-LN(2)/25))/(LN(2)/25)*Calculateur!AQ91*Calculateur!AS91*VLOOKUP('Données projet'!$B$10,Paramètres!$A$1:$I$89,3,0)*0.475*44/12</f>
        <v>13.101772872016976</v>
      </c>
      <c r="AW91" s="21">
        <f>EXP(-LN(2)/2)*AW90+(1-EXP(-LN(2)/2))/(LN(2)/2)*AQ91*AT91*VLOOKUP('Données projet'!$B$10,Paramètres!$A$1:$I$89,3,0)*0.475*44/12</f>
        <v>1.4630567636193908E-10</v>
      </c>
      <c r="AX91" s="21">
        <f t="shared" si="60"/>
        <v>103.93052962237383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66.691074304061857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-5.6843418860808015E-14</v>
      </c>
      <c r="BE91" s="13">
        <f>BD91*VLOOKUP('Données projet'!$B$11,Paramètres!$A$1:$I$89,3,0)*VLOOKUP('Données projet'!$B$11,Paramètres!$A$1:$I$89,5,0)</f>
        <v>-2.5006556825246661E-14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180.42749272334603</v>
      </c>
      <c r="BJ91" s="59">
        <f t="shared" si="92"/>
        <v>346.61476512497495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20.274649235341254</v>
      </c>
      <c r="BQ91" s="21">
        <f>EXP(-LN(2)/25)*BQ90+(1-EXP(-LN(2)/25))/(LN(2)/25)*Calculateur!BL91*Calculateur!BN91*VLOOKUP('Données projet'!$B$11,Paramètres!$A$1:$I$89,3,0)*0.475*44/12</f>
        <v>3.3173143020164346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23.591963537357689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66.691074304061857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10.41</v>
      </c>
      <c r="BY91" s="12">
        <f>IF('Données projet'!$A$114&gt;35,BY90+BX91-CG90,IF(A91&lt;'Données projet'!$A$114,$BV$205^A91,IF(A91='Données projet'!$A$114,'Données projet'!$B$114,BY90+BX91-CG90)))</f>
        <v>419.42000000000013</v>
      </c>
      <c r="BZ91" s="13">
        <f>BY91*VLOOKUP('Données projet'!$B$12,Paramètres!$A$1:$I$89,3,0)*VLOOKUP('Données projet'!$B$12,Paramètres!$A$1:$I$89,5,0)</f>
        <v>379.49121600000012</v>
      </c>
      <c r="CA91" s="13">
        <f t="shared" si="93"/>
        <v>87.606173526430752</v>
      </c>
      <c r="CB91" s="20">
        <f t="shared" si="64"/>
        <v>813.52795342520051</v>
      </c>
      <c r="CC91" s="59">
        <f t="shared" si="65"/>
        <v>1094.7285592067606</v>
      </c>
      <c r="CD91" s="59">
        <f ca="1">AVERAGE(OFFSET($CC$3,0,0,'Données projet'!$E$12+1,1))-AVERAGE(OFFSET($H$3,0,0,'Données projet'!$E$12+1,1))</f>
        <v>553.16421218123958</v>
      </c>
      <c r="CE91" s="59">
        <f t="shared" si="94"/>
        <v>291.73668613844416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95.52182227143561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95.52182227143561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66.691074304061857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10.41</v>
      </c>
      <c r="CT91" s="12">
        <f>IF('Données projet'!$A$140&gt;35,CT90+CS91-DB90,IF(A91&lt;'Données projet'!$A$140,$CQ$205^A91,IF(A91='Données projet'!$A$140,'Données projet'!$B$140,CT90+CS91-DB90)))</f>
        <v>419.42000000000013</v>
      </c>
      <c r="CU91" s="17">
        <f>CT91*VLOOKUP('Données projet'!$B$13,Paramètres!$A$1:$I$89,3,0)*VLOOKUP('Données projet'!$B$13,Paramètres!$A$1:$I$89,5,0)</f>
        <v>425.29188000000016</v>
      </c>
      <c r="CV91" s="13">
        <f t="shared" si="95"/>
        <v>96.885766258124534</v>
      </c>
      <c r="CW91" s="20">
        <f t="shared" si="67"/>
        <v>909.45940056623385</v>
      </c>
      <c r="CX91" s="59">
        <f t="shared" si="68"/>
        <v>1190.660006347794</v>
      </c>
      <c r="CY91" s="59">
        <f ca="1">AVERAGE(OFFSET($CX$3,0,0,'Données projet'!$E$13+1,1))-AVERAGE(OFFSET($H$3,0,0,'Données projet'!$E$13+1,1))</f>
        <v>611.82989382187804</v>
      </c>
      <c r="CZ91" s="59">
        <f t="shared" si="96"/>
        <v>320.34124600136363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107.05031806281579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107.05031806281579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66.691074304061857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10.41</v>
      </c>
      <c r="DO91" s="12">
        <f>IF('Données projet'!$A$166&gt;35,DO90+DN91-DW90,IF(A91&lt;'Données projet'!$A$166,$DL$205^A91,IF(A91='Données projet'!$A$166,'Données projet'!$B$166,DO90+DN91-DW90)))</f>
        <v>419.42000000000013</v>
      </c>
      <c r="DP91" s="17">
        <f>DO91*VLOOKUP('Données projet'!$B$14,Paramètres!$A$1:$I$89,3,0)*VLOOKUP('Données projet'!$B$14,Paramètres!$A$1:$I$89,5,0)</f>
        <v>451.46368800000016</v>
      </c>
      <c r="DQ91" s="13">
        <f t="shared" si="97"/>
        <v>102.1355173401555</v>
      </c>
      <c r="DR91" s="20">
        <f t="shared" si="70"/>
        <v>964.18528263410451</v>
      </c>
      <c r="DS91" s="59">
        <f t="shared" si="71"/>
        <v>1245.3858884156646</v>
      </c>
      <c r="DT91" s="59">
        <f ca="1">AVERAGE(OFFSET($DS$3,0,0,'Données projet'!$E$14+1,1))-AVERAGE(OFFSET($H$3,0,0,'Données projet'!$E$14+1,1))</f>
        <v>645.29541304800614</v>
      </c>
      <c r="DU91" s="59">
        <f t="shared" si="98"/>
        <v>336.65580771733323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113.63802994360439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113.63802994360439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66.691074304061857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319</v>
      </c>
      <c r="EK91" s="17">
        <f>EJ91*VLOOKUP('Données projet'!$B$15,Paramètres!$A$1:$I$89,3,0)*VLOOKUP('Données projet'!$B$15,Paramètres!$A$1:$I$89,5,0)</f>
        <v>233.89079999999998</v>
      </c>
      <c r="EL91" s="13">
        <f t="shared" si="99"/>
        <v>57.123140349023068</v>
      </c>
      <c r="EM91" s="20">
        <f t="shared" si="73"/>
        <v>506.84927944121517</v>
      </c>
      <c r="EN91" s="59">
        <f t="shared" si="74"/>
        <v>788.04988522277529</v>
      </c>
      <c r="EO91" s="59">
        <f ca="1">AVERAGE(OFFSET($EN$3,0,0,'Données projet'!$E$15+1,1))-AVERAGE(OFFSET($H$3,0,0,'Données projet'!$E$15+1,1))</f>
        <v>343.31122043016137</v>
      </c>
      <c r="EP91" s="59">
        <f t="shared" si="100"/>
        <v>333.61098411258877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33.928579460671941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33.928579460671941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66.691074304061857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319</v>
      </c>
      <c r="FF91" s="17">
        <f>FE91*VLOOKUP('Données projet'!$B$16,Paramètres!$A$1:$I$89,3,0)*VLOOKUP('Données projet'!$B$16,Paramètres!$A$1:$I$89,5,0)</f>
        <v>253.79640000000001</v>
      </c>
      <c r="FG91" s="13">
        <f t="shared" si="101"/>
        <v>61.39816832228076</v>
      </c>
      <c r="FH91" s="20">
        <f t="shared" si="76"/>
        <v>548.96387316130563</v>
      </c>
      <c r="FI91" s="59">
        <f t="shared" si="77"/>
        <v>830.1644789428658</v>
      </c>
      <c r="FJ91" s="59">
        <f ca="1">AVERAGE(OFFSET($FI$3,0,0,'Données projet'!$E$16+1,1))-AVERAGE(OFFSET($H$3,0,0,'Données projet'!$E$16+1,1))</f>
        <v>368.12945163484585</v>
      </c>
      <c r="FK91" s="59">
        <f t="shared" si="102"/>
        <v>357.27183934545121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45.378006077286628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45.378006077286628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66.691074304061857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66.691074304061857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3.0869565217391299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11.318840579710143</v>
      </c>
      <c r="H92" s="66">
        <f t="shared" si="56"/>
        <v>211.39130434782609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66.748476767236781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13.233750000000001</v>
      </c>
      <c r="N92" s="13">
        <f>IF('Données projet'!$A$36&gt;35,N91+M92-V91,IF(A92&lt;'Données projet'!$A$36,$K$205^A92,IF(A92='Données projet'!$A$36,'Données projet'!$B$36,N91+M92-V91)))</f>
        <v>505.25249999999937</v>
      </c>
      <c r="O92" s="13">
        <f>N92*VLOOKUP('Données projet'!$B$9,Paramètres!$A$1:$I$89,3,0)*VLOOKUP('Données projet'!$B$9,Paramètres!$A$1:$I$89,5,0)</f>
        <v>236.45816999999968</v>
      </c>
      <c r="P92" s="13">
        <f t="shared" si="87"/>
        <v>57.676830368175608</v>
      </c>
      <c r="Q92" s="20">
        <f t="shared" si="54"/>
        <v>512.28512564123855</v>
      </c>
      <c r="R92" s="59">
        <f t="shared" si="55"/>
        <v>793.69620712110668</v>
      </c>
      <c r="S92" s="59">
        <f ca="1">AVERAGE(OFFSET($R$3,0,0,'Données projet'!$E$9+1,1))-AVERAGE(OFFSET($H$3,0,0,'Données projet'!$E$9+1,1))</f>
        <v>320.30433416149219</v>
      </c>
      <c r="T92" s="59">
        <f t="shared" si="88"/>
        <v>201.33422682092797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116.25683184816596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116.25683184816596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66.748476767236781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763.00000000000057</v>
      </c>
      <c r="AJ92" s="13">
        <f>AI92*VLOOKUP('Données projet'!$B$10,Paramètres!$A$1:$I$89,3,0)*VLOOKUP('Données projet'!$B$10,Paramètres!$A$1:$I$89,5,0)</f>
        <v>456.2740000000004</v>
      </c>
      <c r="AK92" s="13">
        <f t="shared" si="89"/>
        <v>103.09649786611838</v>
      </c>
      <c r="AL92" s="20">
        <f t="shared" si="58"/>
        <v>974.23695045015677</v>
      </c>
      <c r="AM92" s="59">
        <f t="shared" si="59"/>
        <v>1255.6480319300249</v>
      </c>
      <c r="AN92" s="59">
        <f ca="1">AVERAGE(OFFSET($AM$3,0,0,'Données projet'!$E$10+1,1))-AVERAGE(OFFSET($H$3,0,0,'Données projet'!$E$10+1,1))</f>
        <v>569.80473816957431</v>
      </c>
      <c r="AO92" s="59">
        <f t="shared" si="90"/>
        <v>495.56567790763199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89.04766023041023</v>
      </c>
      <c r="AV92" s="21">
        <f>EXP(-LN(2)/25)*AV91+(1-EXP(-LN(2)/25))/(LN(2)/25)*Calculateur!AQ92*Calculateur!AS92*VLOOKUP('Données projet'!$B$10,Paramètres!$A$1:$I$89,3,0)*0.475*44/12</f>
        <v>12.743504203839381</v>
      </c>
      <c r="AW92" s="21">
        <f>EXP(-LN(2)/2)*AW91+(1-EXP(-LN(2)/2))/(LN(2)/2)*AQ92*AT92*VLOOKUP('Données projet'!$B$10,Paramètres!$A$1:$I$89,3,0)*0.475*44/12</f>
        <v>1.0345373588161149E-10</v>
      </c>
      <c r="AX92" s="21">
        <f t="shared" si="60"/>
        <v>101.79116443435306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66.748476767236781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-5.6843418860808015E-14</v>
      </c>
      <c r="BE92" s="13">
        <f>BD92*VLOOKUP('Données projet'!$B$11,Paramètres!$A$1:$I$89,3,0)*VLOOKUP('Données projet'!$B$11,Paramètres!$A$1:$I$89,5,0)</f>
        <v>-2.5006556825246661E-14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180.42749272334603</v>
      </c>
      <c r="BJ92" s="59">
        <f t="shared" si="92"/>
        <v>346.61476512497495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19.877075730151173</v>
      </c>
      <c r="BQ92" s="21">
        <f>EXP(-LN(2)/25)*BQ91+(1-EXP(-LN(2)/25))/(LN(2)/25)*Calculateur!BL92*Calculateur!BN92*VLOOKUP('Données projet'!$B$11,Paramètres!$A$1:$I$89,3,0)*0.475*44/12</f>
        <v>3.2266021679778181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23.103677898128993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66.748476767236781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>
        <f>VLOOKUP(A92,'Données projet'!$A$113:$I$133,2,0)</f>
        <v>429.83</v>
      </c>
      <c r="BW92" s="12">
        <f>VLOOKUP(A92,'Données projet'!$A$113:$I$133,9,0)</f>
        <v>10.41</v>
      </c>
      <c r="BX92" s="12">
        <f t="array" ref="BX92">INDEX(BW:BW,MIN(IF(ISNUMBER(BW92:BW288),ROW(BW92:BW288),"")))</f>
        <v>10.41</v>
      </c>
      <c r="BY92" s="12">
        <f>IF('Données projet'!$A$114&gt;35,BY91+BX92-CG91,IF(A92&lt;'Données projet'!$A$114,$BV$205^A92,IF(A92='Données projet'!$A$114,'Données projet'!$B$114,BY91+BX92-CG91)))</f>
        <v>429.83000000000015</v>
      </c>
      <c r="BZ92" s="13">
        <f>BY92*VLOOKUP('Données projet'!$B$12,Paramètres!$A$1:$I$89,3,0)*VLOOKUP('Données projet'!$B$12,Paramètres!$A$1:$I$89,5,0)</f>
        <v>388.91018400000013</v>
      </c>
      <c r="CA92" s="13">
        <f t="shared" si="93"/>
        <v>89.524709460853941</v>
      </c>
      <c r="CB92" s="20">
        <f t="shared" si="64"/>
        <v>833.27410611098742</v>
      </c>
      <c r="CC92" s="59">
        <f t="shared" si="65"/>
        <v>1114.6851875908555</v>
      </c>
      <c r="CD92" s="59">
        <f ca="1">AVERAGE(OFFSET($CC$3,0,0,'Données projet'!$E$12+1,1))-AVERAGE(OFFSET($H$3,0,0,'Données projet'!$E$12+1,1))</f>
        <v>553.16421218123958</v>
      </c>
      <c r="CE92" s="59">
        <f t="shared" si="94"/>
        <v>291.73668613844416</v>
      </c>
      <c r="CF92" s="15">
        <f>IF(ISNA(VLOOKUP(A92,'Données projet'!$A$113:$I$133,3,0)),0,VLOOKUP(A92,'Données projet'!$A$113:$I$133,3,0))</f>
        <v>8</v>
      </c>
      <c r="CG92" s="15">
        <f>IF(ISNA(VLOOKUP(A92,'Données projet'!$A$113:$I$133,4,0)),0,VLOOKUP(A92,'Données projet'!$A$113:$I$133,4,0))</f>
        <v>64.5</v>
      </c>
      <c r="CH92" s="16">
        <f>IF(ISNA(VLOOKUP(A92,'Données projet'!$A$113:$I$133,5,0)),0%,VLOOKUP(A92,'Données projet'!$A$113:$I$133,5,0)*VLOOKUP('Données projet'!$B$12,Paramètres!$A$1:$I$89,7,0))</f>
        <v>0.43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121.39006553864958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121.39006553864958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66.748476767236781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>
        <f>VLOOKUP(A92,'Données projet'!$A$139:$I$159,2,0)</f>
        <v>429.83</v>
      </c>
      <c r="CR92" s="12">
        <f>VLOOKUP(A92,'Données projet'!$A$139:$I$159,9,0)</f>
        <v>10.41</v>
      </c>
      <c r="CS92" s="12">
        <f t="array" ref="CS92">INDEX(CR:CR,MIN(IF(ISNUMBER(CR92:CR288),ROW(CR92:CR288),"")))</f>
        <v>10.41</v>
      </c>
      <c r="CT92" s="12">
        <f>IF('Données projet'!$A$140&gt;35,CT91+CS92-DB91,IF(A92&lt;'Données projet'!$A$140,$CQ$205^A92,IF(A92='Données projet'!$A$140,'Données projet'!$B$140,CT91+CS92-DB91)))</f>
        <v>429.83000000000015</v>
      </c>
      <c r="CU92" s="17">
        <f>CT92*VLOOKUP('Données projet'!$B$13,Paramètres!$A$1:$I$89,3,0)*VLOOKUP('Données projet'!$B$13,Paramètres!$A$1:$I$89,5,0)</f>
        <v>435.84762000000018</v>
      </c>
      <c r="CV92" s="13">
        <f t="shared" si="95"/>
        <v>99.007521114182325</v>
      </c>
      <c r="CW92" s="20">
        <f t="shared" si="67"/>
        <v>931.53937077386774</v>
      </c>
      <c r="CX92" s="59">
        <f t="shared" si="68"/>
        <v>1212.9504522537359</v>
      </c>
      <c r="CY92" s="59">
        <f ca="1">AVERAGE(OFFSET($CX$3,0,0,'Données projet'!$E$13+1,1))-AVERAGE(OFFSET($H$3,0,0,'Données projet'!$E$13+1,1))</f>
        <v>611.82989382187804</v>
      </c>
      <c r="CZ92" s="59">
        <f t="shared" si="96"/>
        <v>320.34124600136363</v>
      </c>
      <c r="DA92" s="15">
        <f>IF(ISNA(VLOOKUP(A92,'Données projet'!$A$139:$I$159,3,0)),0,VLOOKUP(A92,'Données projet'!$A$139:$I$159,3,0))</f>
        <v>8</v>
      </c>
      <c r="DB92" s="15">
        <f>IF(ISNA(VLOOKUP(A92,'Données projet'!$A$139:$I$159,4,0)),0,VLOOKUP(A92,'Données projet'!$A$139:$I$159,4,0))</f>
        <v>64.5</v>
      </c>
      <c r="DC92" s="16">
        <f>IF(ISNA(VLOOKUP(A92,'Données projet'!$A$139:$I$159,5,0)),0%,VLOOKUP(A92,'Données projet'!$A$139:$I$159,5,0)*VLOOKUP('Données projet'!$B$13,Paramètres!$A$1:$I$89,7,0))</f>
        <v>0.43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136.04059068986595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136.04059068986595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66.748476767236781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>
        <f>VLOOKUP(A92,'Données projet'!$A$165:$I$185,2,0)</f>
        <v>429.83</v>
      </c>
      <c r="DM92" s="12">
        <f>VLOOKUP(A92,'Données projet'!$A$165:$I$185,9,0)</f>
        <v>10.41</v>
      </c>
      <c r="DN92" s="12">
        <f t="array" ref="DN92">INDEX(DM:DM,MIN(IF(ISNUMBER(DM92:DM288),ROW(DM92:DM288),"")))</f>
        <v>10.41</v>
      </c>
      <c r="DO92" s="12">
        <f>IF('Données projet'!$A$166&gt;35,DO91+DN92-DW91,IF(A92&lt;'Données projet'!$A$166,$DL$205^A92,IF(A92='Données projet'!$A$166,'Données projet'!$B$166,DO91+DN92-DW91)))</f>
        <v>429.83000000000015</v>
      </c>
      <c r="DP92" s="17">
        <f>DO92*VLOOKUP('Données projet'!$B$14,Paramètres!$A$1:$I$89,3,0)*VLOOKUP('Données projet'!$B$14,Paramètres!$A$1:$I$89,5,0)</f>
        <v>462.66901200000018</v>
      </c>
      <c r="DQ92" s="13">
        <f t="shared" si="97"/>
        <v>104.37223939192828</v>
      </c>
      <c r="DR92" s="20">
        <f t="shared" si="70"/>
        <v>987.59684617427536</v>
      </c>
      <c r="DS92" s="59">
        <f t="shared" si="71"/>
        <v>1269.0079276541435</v>
      </c>
      <c r="DT92" s="59">
        <f ca="1">AVERAGE(OFFSET($DS$3,0,0,'Données projet'!$E$14+1,1))-AVERAGE(OFFSET($H$3,0,0,'Données projet'!$E$14+1,1))</f>
        <v>645.29541304800614</v>
      </c>
      <c r="DU92" s="59">
        <f t="shared" si="98"/>
        <v>336.65580771733323</v>
      </c>
      <c r="DV92" s="15">
        <f>IF(ISNA(VLOOKUP(A92,'Données projet'!$A$165:$I$185,3,0)),0,VLOOKUP(A92,'Données projet'!$A$165:$I$185,3,0))</f>
        <v>8</v>
      </c>
      <c r="DW92" s="15">
        <f>IF(ISNA(VLOOKUP(A92,'Données projet'!$A$165:$I$185,4,0)),0,VLOOKUP(A92,'Données projet'!$A$165:$I$185,4,0))</f>
        <v>64.5</v>
      </c>
      <c r="DX92" s="16">
        <f>IF(ISNA(VLOOKUP(A92,'Données projet'!$A$165:$I$185,5,0)),0%,VLOOKUP(A92,'Données projet'!$A$165:$I$185,5,0)*VLOOKUP('Données projet'!$B$14,Paramètres!$A$1:$I$89,7,0))</f>
        <v>0.43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144.41231934770377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144.41231934770377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66.748476767236781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319</v>
      </c>
      <c r="EK92" s="17">
        <f>EJ92*VLOOKUP('Données projet'!$B$15,Paramètres!$A$1:$I$89,3,0)*VLOOKUP('Données projet'!$B$15,Paramètres!$A$1:$I$89,5,0)</f>
        <v>233.89079999999998</v>
      </c>
      <c r="EL92" s="13">
        <f t="shared" si="99"/>
        <v>57.123140349023068</v>
      </c>
      <c r="EM92" s="20">
        <f t="shared" si="73"/>
        <v>506.84927944121517</v>
      </c>
      <c r="EN92" s="59">
        <f t="shared" si="74"/>
        <v>788.26036092108336</v>
      </c>
      <c r="EO92" s="59">
        <f ca="1">AVERAGE(OFFSET($EN$3,0,0,'Données projet'!$E$15+1,1))-AVERAGE(OFFSET($H$3,0,0,'Données projet'!$E$15+1,1))</f>
        <v>343.31122043016137</v>
      </c>
      <c r="EP92" s="59">
        <f t="shared" si="100"/>
        <v>333.61098411258877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33.263260711838235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33.263260711838235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66.748476767236781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319</v>
      </c>
      <c r="FF92" s="17">
        <f>FE92*VLOOKUP('Données projet'!$B$16,Paramètres!$A$1:$I$89,3,0)*VLOOKUP('Données projet'!$B$16,Paramètres!$A$1:$I$89,5,0)</f>
        <v>253.79640000000001</v>
      </c>
      <c r="FG92" s="13">
        <f t="shared" si="101"/>
        <v>61.39816832228076</v>
      </c>
      <c r="FH92" s="20">
        <f t="shared" si="76"/>
        <v>548.96387316130563</v>
      </c>
      <c r="FI92" s="59">
        <f t="shared" si="77"/>
        <v>830.37495464117387</v>
      </c>
      <c r="FJ92" s="59">
        <f ca="1">AVERAGE(OFFSET($FI$3,0,0,'Données projet'!$E$16+1,1))-AVERAGE(OFFSET($H$3,0,0,'Données projet'!$E$16+1,1))</f>
        <v>368.12945163484585</v>
      </c>
      <c r="FK92" s="59">
        <f t="shared" si="102"/>
        <v>357.27183934545121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44.488171055961786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44.488171055961786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66.748476767236781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66.748476767236781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3.0869565217391299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11.318840579710143</v>
      </c>
      <c r="H93" s="66">
        <f t="shared" si="56"/>
        <v>211.39130434782609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66.804883426008288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13.233750000000001</v>
      </c>
      <c r="N93" s="13">
        <f>IF('Données projet'!$A$36&gt;35,N92+M93-V92,IF(A93&lt;'Données projet'!$A$36,$K$205^A93,IF(A93='Données projet'!$A$36,'Données projet'!$B$36,N92+M93-V92)))</f>
        <v>518.48624999999936</v>
      </c>
      <c r="O93" s="13">
        <f>N93*VLOOKUP('Données projet'!$B$9,Paramètres!$A$1:$I$89,3,0)*VLOOKUP('Données projet'!$B$9,Paramètres!$A$1:$I$89,5,0)</f>
        <v>242.65156499999969</v>
      </c>
      <c r="P93" s="13">
        <f t="shared" si="87"/>
        <v>59.009662275987814</v>
      </c>
      <c r="Q93" s="20">
        <f t="shared" si="54"/>
        <v>525.39330417234487</v>
      </c>
      <c r="R93" s="59">
        <f t="shared" si="55"/>
        <v>807.01121006770859</v>
      </c>
      <c r="S93" s="59">
        <f ca="1">AVERAGE(OFFSET($R$3,0,0,'Données projet'!$E$9+1,1))-AVERAGE(OFFSET($H$3,0,0,'Données projet'!$E$9+1,1))</f>
        <v>320.30433416149219</v>
      </c>
      <c r="T93" s="59">
        <f t="shared" si="88"/>
        <v>201.33422682092797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113.97710628528911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113.97710628528911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66.804883426008288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763.00000000000057</v>
      </c>
      <c r="AJ93" s="13">
        <f>AI93*VLOOKUP('Données projet'!$B$10,Paramètres!$A$1:$I$89,3,0)*VLOOKUP('Données projet'!$B$10,Paramètres!$A$1:$I$89,5,0)</f>
        <v>456.2740000000004</v>
      </c>
      <c r="AK93" s="13">
        <f t="shared" si="89"/>
        <v>103.09649786611838</v>
      </c>
      <c r="AL93" s="20">
        <f t="shared" si="58"/>
        <v>974.23695045015677</v>
      </c>
      <c r="AM93" s="59">
        <f t="shared" si="59"/>
        <v>1255.8548563455206</v>
      </c>
      <c r="AN93" s="59">
        <f ca="1">AVERAGE(OFFSET($AM$3,0,0,'Données projet'!$E$10+1,1))-AVERAGE(OFFSET($H$3,0,0,'Données projet'!$E$10+1,1))</f>
        <v>569.80473816957431</v>
      </c>
      <c r="AO93" s="59">
        <f t="shared" si="90"/>
        <v>495.56567790763199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87.301489927001597</v>
      </c>
      <c r="AV93" s="21">
        <f>EXP(-LN(2)/25)*AV92+(1-EXP(-LN(2)/25))/(LN(2)/25)*Calculateur!AQ93*Calculateur!AS93*VLOOKUP('Données projet'!$B$10,Paramètres!$A$1:$I$89,3,0)*0.475*44/12</f>
        <v>12.395032411233633</v>
      </c>
      <c r="AW93" s="21">
        <f>EXP(-LN(2)/2)*AW92+(1-EXP(-LN(2)/2))/(LN(2)/2)*AQ93*AT93*VLOOKUP('Données projet'!$B$10,Paramètres!$A$1:$I$89,3,0)*0.475*44/12</f>
        <v>7.3152838180969538E-11</v>
      </c>
      <c r="AX93" s="21">
        <f t="shared" si="60"/>
        <v>99.696522338308384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66.804883426008288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-5.6843418860808015E-14</v>
      </c>
      <c r="BE93" s="13">
        <f>BD93*VLOOKUP('Données projet'!$B$11,Paramètres!$A$1:$I$89,3,0)*VLOOKUP('Données projet'!$B$11,Paramètres!$A$1:$I$89,5,0)</f>
        <v>-2.5006556825246661E-14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180.42749272334603</v>
      </c>
      <c r="BJ93" s="59">
        <f t="shared" si="92"/>
        <v>346.61476512497495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19.487298398901977</v>
      </c>
      <c r="BQ93" s="21">
        <f>EXP(-LN(2)/25)*BQ92+(1-EXP(-LN(2)/25))/(LN(2)/25)*Calculateur!BL93*Calculateur!BN93*VLOOKUP('Données projet'!$B$11,Paramètres!$A$1:$I$89,3,0)*0.475*44/12</f>
        <v>3.1383705620148312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22.625668960916808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66.804883426008288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9.9470000000000027</v>
      </c>
      <c r="BY93" s="12">
        <f>IF('Données projet'!$A$114&gt;35,BY92+BX93-CG92,IF(A93&lt;'Données projet'!$A$114,$BV$205^A93,IF(A93='Données projet'!$A$114,'Données projet'!$B$114,BY92+BX93-CG92)))</f>
        <v>375.27700000000016</v>
      </c>
      <c r="BZ93" s="13">
        <f>BY93*VLOOKUP('Données projet'!$B$12,Paramètres!$A$1:$I$89,3,0)*VLOOKUP('Données projet'!$B$12,Paramètres!$A$1:$I$89,5,0)</f>
        <v>339.55062960000009</v>
      </c>
      <c r="CA93" s="13">
        <f t="shared" si="93"/>
        <v>79.407096506902036</v>
      </c>
      <c r="CB93" s="20">
        <f t="shared" si="64"/>
        <v>729.68470630285447</v>
      </c>
      <c r="CC93" s="59">
        <f t="shared" si="65"/>
        <v>1011.3026121982182</v>
      </c>
      <c r="CD93" s="59">
        <f ca="1">AVERAGE(OFFSET($CC$3,0,0,'Données projet'!$E$12+1,1))-AVERAGE(OFFSET($H$3,0,0,'Données projet'!$E$12+1,1))</f>
        <v>553.16421218123958</v>
      </c>
      <c r="CE93" s="59">
        <f t="shared" si="94"/>
        <v>291.73668613844416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119.00968039406574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119.00968039406574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66.804883426008288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9.9470000000000027</v>
      </c>
      <c r="CT93" s="12">
        <f>IF('Données projet'!$A$140&gt;35,CT92+CS93-DB92,IF(A93&lt;'Données projet'!$A$140,$CQ$205^A93,IF(A93='Données projet'!$A$140,'Données projet'!$B$140,CT92+CS93-DB92)))</f>
        <v>375.27700000000016</v>
      </c>
      <c r="CU93" s="17">
        <f>CT93*VLOOKUP('Données projet'!$B$13,Paramètres!$A$1:$I$89,3,0)*VLOOKUP('Données projet'!$B$13,Paramètres!$A$1:$I$89,5,0)</f>
        <v>380.5308780000002</v>
      </c>
      <c r="CV93" s="13">
        <f t="shared" si="95"/>
        <v>87.818210540641346</v>
      </c>
      <c r="CW93" s="20">
        <f t="shared" si="67"/>
        <v>815.7079958749506</v>
      </c>
      <c r="CX93" s="59">
        <f t="shared" si="68"/>
        <v>1097.3259017703144</v>
      </c>
      <c r="CY93" s="59">
        <f ca="1">AVERAGE(OFFSET($CX$3,0,0,'Données projet'!$E$13+1,1))-AVERAGE(OFFSET($H$3,0,0,'Données projet'!$E$13+1,1))</f>
        <v>611.82989382187804</v>
      </c>
      <c r="CZ93" s="59">
        <f t="shared" si="96"/>
        <v>320.34124600136363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133.37291768300474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133.37291768300474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66.804883426008288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9.9470000000000027</v>
      </c>
      <c r="DO93" s="12">
        <f>IF('Données projet'!$A$166&gt;35,DO92+DN93-DW92,IF(A93&lt;'Données projet'!$A$166,$DL$205^A93,IF(A93='Données projet'!$A$166,'Données projet'!$B$166,DO92+DN93-DW92)))</f>
        <v>375.27700000000016</v>
      </c>
      <c r="DP93" s="17">
        <f>DO93*VLOOKUP('Données projet'!$B$14,Paramètres!$A$1:$I$89,3,0)*VLOOKUP('Données projet'!$B$14,Paramètres!$A$1:$I$89,5,0)</f>
        <v>403.94816280000015</v>
      </c>
      <c r="DQ93" s="13">
        <f t="shared" si="97"/>
        <v>92.576636505705068</v>
      </c>
      <c r="DR93" s="20">
        <f t="shared" si="70"/>
        <v>864.78069212410321</v>
      </c>
      <c r="DS93" s="59">
        <f t="shared" si="71"/>
        <v>1146.398598019467</v>
      </c>
      <c r="DT93" s="59">
        <f ca="1">AVERAGE(OFFSET($DS$3,0,0,'Données projet'!$E$14+1,1))-AVERAGE(OFFSET($H$3,0,0,'Données projet'!$E$14+1,1))</f>
        <v>645.29541304800614</v>
      </c>
      <c r="DU93" s="59">
        <f t="shared" si="98"/>
        <v>336.65580771733323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141.58048184811264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141.58048184811264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66.804883426008288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319</v>
      </c>
      <c r="EK93" s="17">
        <f>EJ93*VLOOKUP('Données projet'!$B$15,Paramètres!$A$1:$I$89,3,0)*VLOOKUP('Données projet'!$B$15,Paramètres!$A$1:$I$89,5,0)</f>
        <v>233.89079999999998</v>
      </c>
      <c r="EL93" s="13">
        <f t="shared" si="99"/>
        <v>57.123140349023068</v>
      </c>
      <c r="EM93" s="20">
        <f t="shared" si="73"/>
        <v>506.84927944121517</v>
      </c>
      <c r="EN93" s="59">
        <f t="shared" si="74"/>
        <v>788.46718533657895</v>
      </c>
      <c r="EO93" s="59">
        <f ca="1">AVERAGE(OFFSET($EN$3,0,0,'Données projet'!$E$15+1,1))-AVERAGE(OFFSET($H$3,0,0,'Données projet'!$E$15+1,1))</f>
        <v>343.31122043016137</v>
      </c>
      <c r="EP93" s="59">
        <f t="shared" si="100"/>
        <v>333.61098411258877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32.610988457864792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32.610988457864792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66.804883426008288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319</v>
      </c>
      <c r="FF93" s="17">
        <f>FE93*VLOOKUP('Données projet'!$B$16,Paramètres!$A$1:$I$89,3,0)*VLOOKUP('Données projet'!$B$16,Paramètres!$A$1:$I$89,5,0)</f>
        <v>253.79640000000001</v>
      </c>
      <c r="FG93" s="13">
        <f t="shared" si="101"/>
        <v>61.39816832228076</v>
      </c>
      <c r="FH93" s="20">
        <f t="shared" si="76"/>
        <v>548.96387316130563</v>
      </c>
      <c r="FI93" s="59">
        <f t="shared" si="77"/>
        <v>830.58177905666935</v>
      </c>
      <c r="FJ93" s="59">
        <f ca="1">AVERAGE(OFFSET($FI$3,0,0,'Données projet'!$E$16+1,1))-AVERAGE(OFFSET($H$3,0,0,'Données projet'!$E$16+1,1))</f>
        <v>368.12945163484585</v>
      </c>
      <c r="FK93" s="59">
        <f t="shared" si="102"/>
        <v>357.27183934545121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43.615785156659349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43.615785156659349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66.804883426008288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66.804883426008288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3.0869565217391299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11.318840579710143</v>
      </c>
      <c r="H94" s="66">
        <f t="shared" si="56"/>
        <v>211.39130434782609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66.860311555356517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>
        <f>VLOOKUP(A94,'Données projet'!$A$35:$I$55,2,0)</f>
        <v>531.72</v>
      </c>
      <c r="L94" s="12">
        <f>VLOOKUP(A94,'Données projet'!$A$35:$I$55,9,0)</f>
        <v>13.233750000000001</v>
      </c>
      <c r="M94" s="12">
        <f t="array" ref="M94">INDEX(L:L,MIN(IF(ISNUMBER(L94:L290),ROW(L94:L290),"")))</f>
        <v>13.233750000000001</v>
      </c>
      <c r="N94" s="13">
        <f>IF('Données projet'!$A$36&gt;35,N93+M94-V93,IF(A94&lt;'Données projet'!$A$36,$K$205^A94,IF(A94='Données projet'!$A$36,'Données projet'!$B$36,N93+M94-V93)))</f>
        <v>531.71999999999935</v>
      </c>
      <c r="O94" s="13">
        <f>N94*VLOOKUP('Données projet'!$B$9,Paramètres!$A$1:$I$89,3,0)*VLOOKUP('Données projet'!$B$9,Paramètres!$A$1:$I$89,5,0)</f>
        <v>248.8449599999997</v>
      </c>
      <c r="P94" s="13">
        <f t="shared" si="87"/>
        <v>60.338539799248501</v>
      </c>
      <c r="Q94" s="20">
        <f t="shared" si="54"/>
        <v>538.49459548369055</v>
      </c>
      <c r="R94" s="59">
        <f t="shared" si="55"/>
        <v>820.31573785333103</v>
      </c>
      <c r="S94" s="59">
        <f ca="1">AVERAGE(OFFSET($R$3,0,0,'Données projet'!$E$9+1,1))-AVERAGE(OFFSET($H$3,0,0,'Données projet'!$E$9+1,1))</f>
        <v>320.30433416149219</v>
      </c>
      <c r="T94" s="59">
        <f t="shared" si="88"/>
        <v>201.33422682092797</v>
      </c>
      <c r="U94" s="15">
        <f>IF(ISNA(VLOOKUP(A94,'Données projet'!$A$35:$I$55,3,0)),0,VLOOKUP(A94,'Données projet'!$A$35:$I$55,3,0))</f>
        <v>7</v>
      </c>
      <c r="V94" s="15">
        <f>IF(ISNA(VLOOKUP(A94,'Données projet'!$A$35:$I$55,4,0)),0,VLOOKUP(A94,'Données projet'!$A$35:$I$55,4,0))</f>
        <v>260.64</v>
      </c>
      <c r="W94" s="16">
        <f>IF(ISNA(VLOOKUP(A94,'Données projet'!$A$35:$I$55,5,0)),0%,VLOOKUP(A94,'Données projet'!$A$35:$I$55,5,0)*VLOOKUP('Données projet'!$B$9,Paramètres!$A$1:$I$89,7,0))</f>
        <v>0.55000000000000004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200.73961728817204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200.73961728817204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66.860311555356517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763.00000000000057</v>
      </c>
      <c r="AJ94" s="13">
        <f>AI94*VLOOKUP('Données projet'!$B$10,Paramètres!$A$1:$I$89,3,0)*VLOOKUP('Données projet'!$B$10,Paramètres!$A$1:$I$89,5,0)</f>
        <v>456.2740000000004</v>
      </c>
      <c r="AK94" s="13">
        <f t="shared" si="89"/>
        <v>103.09649786611838</v>
      </c>
      <c r="AL94" s="20">
        <f t="shared" si="58"/>
        <v>974.23695045015677</v>
      </c>
      <c r="AM94" s="59">
        <f t="shared" si="59"/>
        <v>1256.0580928197974</v>
      </c>
      <c r="AN94" s="59">
        <f ca="1">AVERAGE(OFFSET($AM$3,0,0,'Données projet'!$E$10+1,1))-AVERAGE(OFFSET($H$3,0,0,'Données projet'!$E$10+1,1))</f>
        <v>569.80473816957431</v>
      </c>
      <c r="AO94" s="59">
        <f t="shared" si="90"/>
        <v>495.56567790763199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85.58956095818408</v>
      </c>
      <c r="AV94" s="21">
        <f>EXP(-LN(2)/25)*AV93+(1-EXP(-LN(2)/25))/(LN(2)/25)*Calculateur!AQ94*Calculateur!AS94*VLOOKUP('Données projet'!$B$10,Paramètres!$A$1:$I$89,3,0)*0.475*44/12</f>
        <v>12.056089598122023</v>
      </c>
      <c r="AW94" s="21">
        <f>EXP(-LN(2)/2)*AW93+(1-EXP(-LN(2)/2))/(LN(2)/2)*AQ94*AT94*VLOOKUP('Données projet'!$B$10,Paramètres!$A$1:$I$89,3,0)*0.475*44/12</f>
        <v>5.1726867940805747E-11</v>
      </c>
      <c r="AX94" s="21">
        <f t="shared" si="60"/>
        <v>97.645650556357836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66.860311555356517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-2.5006556825246661E-14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180.42749272334603</v>
      </c>
      <c r="BJ94" s="59">
        <f t="shared" si="92"/>
        <v>346.61476512497495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19.105164363377881</v>
      </c>
      <c r="BQ94" s="21">
        <f>EXP(-LN(2)/25)*BQ93+(1-EXP(-LN(2)/25))/(LN(2)/25)*Calculateur!BL94*Calculateur!BN94*VLOOKUP('Données projet'!$B$11,Paramètres!$A$1:$I$89,3,0)*0.475*44/12</f>
        <v>3.0525516539568005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22.157716017334682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66.860311555356517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9.9470000000000027</v>
      </c>
      <c r="BY94" s="12">
        <f>IF('Données projet'!$A$114&gt;35,BY93+BX94-CG93,IF(A94&lt;'Données projet'!$A$114,$BV$205^A94,IF(A94='Données projet'!$A$114,'Données projet'!$B$114,BY93+BX94-CG93)))</f>
        <v>385.22400000000016</v>
      </c>
      <c r="BZ94" s="13">
        <f>BY94*VLOOKUP('Données projet'!$B$12,Paramètres!$A$1:$I$89,3,0)*VLOOKUP('Données projet'!$B$12,Paramètres!$A$1:$I$89,5,0)</f>
        <v>348.55067520000011</v>
      </c>
      <c r="CA94" s="13">
        <f t="shared" si="93"/>
        <v>81.264008176199866</v>
      </c>
      <c r="CB94" s="20">
        <f t="shared" si="64"/>
        <v>748.59390688021494</v>
      </c>
      <c r="CC94" s="59">
        <f t="shared" si="65"/>
        <v>1030.4150492498554</v>
      </c>
      <c r="CD94" s="59">
        <f ca="1">AVERAGE(OFFSET($CC$3,0,0,'Données projet'!$E$12+1,1))-AVERAGE(OFFSET($H$3,0,0,'Données projet'!$E$12+1,1))</f>
        <v>553.16421218123958</v>
      </c>
      <c r="CE94" s="59">
        <f t="shared" si="94"/>
        <v>291.73668613844416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116.67597315027561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116.67597315027561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66.860311555356517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9.9470000000000027</v>
      </c>
      <c r="CT94" s="12">
        <f>IF('Données projet'!$A$140&gt;35,CT93+CS94-DB93,IF(A94&lt;'Données projet'!$A$140,$CQ$205^A94,IF(A94='Données projet'!$A$140,'Données projet'!$B$140,CT93+CS94-DB93)))</f>
        <v>385.22400000000016</v>
      </c>
      <c r="CU94" s="17">
        <f>CT94*VLOOKUP('Données projet'!$B$13,Paramètres!$A$1:$I$89,3,0)*VLOOKUP('Données projet'!$B$13,Paramètres!$A$1:$I$89,5,0)</f>
        <v>390.61713600000019</v>
      </c>
      <c r="CV94" s="13">
        <f t="shared" si="95"/>
        <v>89.871813645441875</v>
      </c>
      <c r="CW94" s="20">
        <f t="shared" si="67"/>
        <v>836.85158729914485</v>
      </c>
      <c r="CX94" s="59">
        <f t="shared" si="68"/>
        <v>1118.6727296687855</v>
      </c>
      <c r="CY94" s="59">
        <f ca="1">AVERAGE(OFFSET($CX$3,0,0,'Données projet'!$E$13+1,1))-AVERAGE(OFFSET($H$3,0,0,'Données projet'!$E$13+1,1))</f>
        <v>611.82989382187804</v>
      </c>
      <c r="CZ94" s="59">
        <f t="shared" si="96"/>
        <v>320.34124600136363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130.75755611668822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130.75755611668822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66.860311555356517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9.9470000000000027</v>
      </c>
      <c r="DO94" s="12">
        <f>IF('Données projet'!$A$166&gt;35,DO93+DN94-DW93,IF(A94&lt;'Données projet'!$A$166,$DL$205^A94,IF(A94='Données projet'!$A$166,'Données projet'!$B$166,DO93+DN94-DW93)))</f>
        <v>385.22400000000016</v>
      </c>
      <c r="DP94" s="17">
        <f>DO94*VLOOKUP('Données projet'!$B$14,Paramètres!$A$1:$I$89,3,0)*VLOOKUP('Données projet'!$B$14,Paramètres!$A$1:$I$89,5,0)</f>
        <v>414.65511360000016</v>
      </c>
      <c r="DQ94" s="13">
        <f t="shared" si="97"/>
        <v>94.741514006506833</v>
      </c>
      <c r="DR94" s="20">
        <f t="shared" si="70"/>
        <v>887.19912641466624</v>
      </c>
      <c r="DS94" s="59">
        <f t="shared" si="71"/>
        <v>1169.0202687843068</v>
      </c>
      <c r="DT94" s="59">
        <f ca="1">AVERAGE(OFFSET($DS$3,0,0,'Données projet'!$E$14+1,1))-AVERAGE(OFFSET($H$3,0,0,'Données projet'!$E$14+1,1))</f>
        <v>645.29541304800614</v>
      </c>
      <c r="DU94" s="59">
        <f t="shared" si="98"/>
        <v>336.65580771733323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138.80417495463817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138.80417495463817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66.860311555356517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319</v>
      </c>
      <c r="EK94" s="17">
        <f>EJ94*VLOOKUP('Données projet'!$B$15,Paramètres!$A$1:$I$89,3,0)*VLOOKUP('Données projet'!$B$15,Paramètres!$A$1:$I$89,5,0)</f>
        <v>233.89079999999998</v>
      </c>
      <c r="EL94" s="13">
        <f t="shared" si="99"/>
        <v>57.123140349023068</v>
      </c>
      <c r="EM94" s="20">
        <f t="shared" si="73"/>
        <v>506.84927944121517</v>
      </c>
      <c r="EN94" s="59">
        <f t="shared" si="74"/>
        <v>788.67042181085571</v>
      </c>
      <c r="EO94" s="59">
        <f ca="1">AVERAGE(OFFSET($EN$3,0,0,'Données projet'!$E$15+1,1))-AVERAGE(OFFSET($H$3,0,0,'Données projet'!$E$15+1,1))</f>
        <v>343.31122043016137</v>
      </c>
      <c r="EP94" s="59">
        <f t="shared" si="100"/>
        <v>333.61098411258877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31.971506864944974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31.971506864944974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66.860311555356517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319</v>
      </c>
      <c r="FF94" s="17">
        <f>FE94*VLOOKUP('Données projet'!$B$16,Paramètres!$A$1:$I$89,3,0)*VLOOKUP('Données projet'!$B$16,Paramètres!$A$1:$I$89,5,0)</f>
        <v>253.79640000000001</v>
      </c>
      <c r="FG94" s="13">
        <f t="shared" si="101"/>
        <v>61.39816832228076</v>
      </c>
      <c r="FH94" s="20">
        <f t="shared" si="76"/>
        <v>548.96387316130563</v>
      </c>
      <c r="FI94" s="59">
        <f t="shared" si="77"/>
        <v>830.78501553094611</v>
      </c>
      <c r="FJ94" s="59">
        <f ca="1">AVERAGE(OFFSET($FI$3,0,0,'Données projet'!$E$16+1,1))-AVERAGE(OFFSET($H$3,0,0,'Données projet'!$E$16+1,1))</f>
        <v>368.12945163484585</v>
      </c>
      <c r="FK94" s="59">
        <f t="shared" si="102"/>
        <v>357.27183934545121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42.760506212739379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42.760506212739379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66.860311555356517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66.860311555356517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3.0869565217391299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11.318840579710143</v>
      </c>
      <c r="H95" s="66">
        <f t="shared" si="56"/>
        <v>211.39130434782609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66.914778130579279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8.5349999999999966</v>
      </c>
      <c r="N95" s="13">
        <f>IF('Données projet'!$A$36&gt;35,N94+M95-V94,IF(A95&lt;'Données projet'!$A$36,$K$205^A95,IF(A95='Données projet'!$A$36,'Données projet'!$B$36,N94+M95-V94)))</f>
        <v>279.61499999999933</v>
      </c>
      <c r="O95" s="13">
        <f>N95*VLOOKUP('Données projet'!$B$9,Paramètres!$A$1:$I$89,3,0)*VLOOKUP('Données projet'!$B$9,Paramètres!$A$1:$I$89,5,0)</f>
        <v>130.8598199999997</v>
      </c>
      <c r="P95" s="13">
        <f t="shared" si="87"/>
        <v>34.194962198471394</v>
      </c>
      <c r="Q95" s="20">
        <f t="shared" si="54"/>
        <v>287.47041232900375</v>
      </c>
      <c r="R95" s="59">
        <f t="shared" si="55"/>
        <v>569.4912654744611</v>
      </c>
      <c r="S95" s="59">
        <f ca="1">AVERAGE(OFFSET($R$3,0,0,'Données projet'!$E$9+1,1))-AVERAGE(OFFSET($H$3,0,0,'Données projet'!$E$9+1,1))</f>
        <v>320.30433416149219</v>
      </c>
      <c r="T95" s="59">
        <f t="shared" si="88"/>
        <v>201.33422682092797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196.80323583222767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196.80323583222767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66.914778130579279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763.00000000000057</v>
      </c>
      <c r="AJ95" s="13">
        <f>AI95*VLOOKUP('Données projet'!$B$10,Paramètres!$A$1:$I$89,3,0)*VLOOKUP('Données projet'!$B$10,Paramètres!$A$1:$I$89,5,0)</f>
        <v>456.2740000000004</v>
      </c>
      <c r="AK95" s="13">
        <f t="shared" si="89"/>
        <v>103.09649786611838</v>
      </c>
      <c r="AL95" s="20">
        <f t="shared" si="58"/>
        <v>974.23695045015677</v>
      </c>
      <c r="AM95" s="59">
        <f t="shared" si="59"/>
        <v>1256.2578035956142</v>
      </c>
      <c r="AN95" s="59">
        <f ca="1">AVERAGE(OFFSET($AM$3,0,0,'Données projet'!$E$10+1,1))-AVERAGE(OFFSET($H$3,0,0,'Données projet'!$E$10+1,1))</f>
        <v>569.80473816957431</v>
      </c>
      <c r="AO95" s="59">
        <f t="shared" si="90"/>
        <v>495.56567790763199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83.911201872271505</v>
      </c>
      <c r="AV95" s="21">
        <f>EXP(-LN(2)/25)*AV94+(1-EXP(-LN(2)/25))/(LN(2)/25)*Calculateur!AQ95*Calculateur!AS95*VLOOKUP('Données projet'!$B$10,Paramètres!$A$1:$I$89,3,0)*0.475*44/12</f>
        <v>11.726415194059179</v>
      </c>
      <c r="AW95" s="21">
        <f>EXP(-LN(2)/2)*AW94+(1-EXP(-LN(2)/2))/(LN(2)/2)*AQ95*AT95*VLOOKUP('Données projet'!$B$10,Paramètres!$A$1:$I$89,3,0)*0.475*44/12</f>
        <v>3.6576419090484769E-11</v>
      </c>
      <c r="AX95" s="21">
        <f t="shared" si="60"/>
        <v>95.637617066367255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66.914778130579279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-2.5006556825246661E-14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180.42749272334603</v>
      </c>
      <c r="BJ95" s="59">
        <f t="shared" si="92"/>
        <v>346.61476512497495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18.730523743211663</v>
      </c>
      <c r="BQ95" s="21">
        <f>EXP(-LN(2)/25)*BQ94+(1-EXP(-LN(2)/25))/(LN(2)/25)*Calculateur!BL95*Calculateur!BN95*VLOOKUP('Données projet'!$B$11,Paramètres!$A$1:$I$89,3,0)*0.475*44/12</f>
        <v>2.9690794684526369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21.6996032116643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66.914778130579279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9.9470000000000027</v>
      </c>
      <c r="BY95" s="12">
        <f>IF('Données projet'!$A$114&gt;35,BY94+BX95-CG94,IF(A95&lt;'Données projet'!$A$114,$BV$205^A95,IF(A95='Données projet'!$A$114,'Données projet'!$B$114,BY94+BX95-CG94)))</f>
        <v>395.17100000000016</v>
      </c>
      <c r="BZ95" s="13">
        <f>BY95*VLOOKUP('Données projet'!$B$12,Paramètres!$A$1:$I$89,3,0)*VLOOKUP('Données projet'!$B$12,Paramètres!$A$1:$I$89,5,0)</f>
        <v>357.55072080000014</v>
      </c>
      <c r="CA95" s="13">
        <f t="shared" si="93"/>
        <v>83.115346428782544</v>
      </c>
      <c r="CB95" s="20">
        <f t="shared" si="64"/>
        <v>767.49340042346319</v>
      </c>
      <c r="CC95" s="59">
        <f t="shared" si="65"/>
        <v>1049.5142535689206</v>
      </c>
      <c r="CD95" s="59">
        <f ca="1">AVERAGE(OFFSET($CC$3,0,0,'Données projet'!$E$12+1,1))-AVERAGE(OFFSET($H$3,0,0,'Données projet'!$E$12+1,1))</f>
        <v>553.16421218123958</v>
      </c>
      <c r="CE95" s="59">
        <f t="shared" si="94"/>
        <v>291.73668613844416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114.38802848211533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114.38802848211533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66.914778130579279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9.9470000000000027</v>
      </c>
      <c r="CT95" s="12">
        <f>IF('Données projet'!$A$140&gt;35,CT94+CS95-DB94,IF(A95&lt;'Données projet'!$A$140,$CQ$205^A95,IF(A95='Données projet'!$A$140,'Données projet'!$B$140,CT94+CS95-DB94)))</f>
        <v>395.17100000000016</v>
      </c>
      <c r="CU95" s="17">
        <f>CT95*VLOOKUP('Données projet'!$B$13,Paramètres!$A$1:$I$89,3,0)*VLOOKUP('Données projet'!$B$13,Paramètres!$A$1:$I$89,5,0)</f>
        <v>400.70339400000023</v>
      </c>
      <c r="CV95" s="13">
        <f t="shared" si="95"/>
        <v>91.919252975163644</v>
      </c>
      <c r="CW95" s="20">
        <f t="shared" si="67"/>
        <v>857.98444348174371</v>
      </c>
      <c r="CX95" s="59">
        <f t="shared" si="68"/>
        <v>1140.005296627201</v>
      </c>
      <c r="CY95" s="59">
        <f ca="1">AVERAGE(OFFSET($CX$3,0,0,'Données projet'!$E$13+1,1))-AVERAGE(OFFSET($H$3,0,0,'Données projet'!$E$13+1,1))</f>
        <v>611.82989382187804</v>
      </c>
      <c r="CZ95" s="59">
        <f t="shared" si="96"/>
        <v>320.34124600136363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128.19348019547411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128.19348019547411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66.914778130579279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9.9470000000000027</v>
      </c>
      <c r="DO95" s="12">
        <f>IF('Données projet'!$A$166&gt;35,DO94+DN95-DW94,IF(A95&lt;'Données projet'!$A$166,$DL$205^A95,IF(A95='Données projet'!$A$166,'Données projet'!$B$166,DO94+DN95-DW94)))</f>
        <v>395.17100000000016</v>
      </c>
      <c r="DP95" s="17">
        <f>DO95*VLOOKUP('Données projet'!$B$14,Paramètres!$A$1:$I$89,3,0)*VLOOKUP('Données projet'!$B$14,Paramètres!$A$1:$I$89,5,0)</f>
        <v>425.36206440000018</v>
      </c>
      <c r="DQ95" s="13">
        <f t="shared" si="97"/>
        <v>96.899893748341995</v>
      </c>
      <c r="DR95" s="20">
        <f t="shared" si="70"/>
        <v>909.60624377502927</v>
      </c>
      <c r="DS95" s="59">
        <f t="shared" si="71"/>
        <v>1191.6270969204866</v>
      </c>
      <c r="DT95" s="59">
        <f ca="1">AVERAGE(OFFSET($DS$3,0,0,'Données projet'!$E$14+1,1))-AVERAGE(OFFSET($H$3,0,0,'Données projet'!$E$14+1,1))</f>
        <v>645.29541304800614</v>
      </c>
      <c r="DU95" s="59">
        <f t="shared" si="98"/>
        <v>336.65580771733323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136.08230974596475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136.08230974596475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66.914778130579279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319</v>
      </c>
      <c r="EK95" s="17">
        <f>EJ95*VLOOKUP('Données projet'!$B$15,Paramètres!$A$1:$I$89,3,0)*VLOOKUP('Données projet'!$B$15,Paramètres!$A$1:$I$89,5,0)</f>
        <v>233.89079999999998</v>
      </c>
      <c r="EL95" s="13">
        <f t="shared" si="99"/>
        <v>57.123140349023068</v>
      </c>
      <c r="EM95" s="20">
        <f t="shared" si="73"/>
        <v>506.84927944121517</v>
      </c>
      <c r="EN95" s="59">
        <f t="shared" si="74"/>
        <v>788.87013258667253</v>
      </c>
      <c r="EO95" s="59">
        <f ca="1">AVERAGE(OFFSET($EN$3,0,0,'Données projet'!$E$15+1,1))-AVERAGE(OFFSET($H$3,0,0,'Données projet'!$E$15+1,1))</f>
        <v>343.31122043016137</v>
      </c>
      <c r="EP95" s="59">
        <f t="shared" si="100"/>
        <v>333.61098411258877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31.344565116017058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31.344565116017058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66.914778130579279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319</v>
      </c>
      <c r="FF95" s="17">
        <f>FE95*VLOOKUP('Données projet'!$B$16,Paramètres!$A$1:$I$89,3,0)*VLOOKUP('Données projet'!$B$16,Paramètres!$A$1:$I$89,5,0)</f>
        <v>253.79640000000001</v>
      </c>
      <c r="FG95" s="13">
        <f t="shared" si="101"/>
        <v>61.39816832228076</v>
      </c>
      <c r="FH95" s="20">
        <f t="shared" si="76"/>
        <v>548.96387316130563</v>
      </c>
      <c r="FI95" s="59">
        <f t="shared" si="77"/>
        <v>830.98472630676292</v>
      </c>
      <c r="FJ95" s="59">
        <f ca="1">AVERAGE(OFFSET($FI$3,0,0,'Données projet'!$E$16+1,1))-AVERAGE(OFFSET($H$3,0,0,'Données projet'!$E$16+1,1))</f>
        <v>368.12945163484585</v>
      </c>
      <c r="FK95" s="59">
        <f t="shared" si="102"/>
        <v>357.27183934545121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41.921998767241035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41.921998767241035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66.914778130579279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66.914778130579279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3.0869565217391299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11.318840579710143</v>
      </c>
      <c r="H96" s="66">
        <f t="shared" si="56"/>
        <v>211.39130434782609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66.968299832490942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8.5349999999999966</v>
      </c>
      <c r="N96" s="13">
        <f>IF('Données projet'!$A$36&gt;35,N95+M96-V95,IF(A96&lt;'Données projet'!$A$36,$K$205^A96,IF(A96='Données projet'!$A$36,'Données projet'!$B$36,N95+M96-V95)))</f>
        <v>288.1499999999993</v>
      </c>
      <c r="O96" s="13">
        <f>N96*VLOOKUP('Données projet'!$B$9,Paramètres!$A$1:$I$89,3,0)*VLOOKUP('Données projet'!$B$9,Paramètres!$A$1:$I$89,5,0)</f>
        <v>134.85419999999968</v>
      </c>
      <c r="P96" s="13">
        <f t="shared" si="87"/>
        <v>35.115618062108894</v>
      </c>
      <c r="Q96" s="20">
        <f t="shared" si="54"/>
        <v>296.03076645817242</v>
      </c>
      <c r="R96" s="59">
        <f t="shared" si="55"/>
        <v>578.24786584397248</v>
      </c>
      <c r="S96" s="59">
        <f ca="1">AVERAGE(OFFSET($R$3,0,0,'Données projet'!$E$9+1,1))-AVERAGE(OFFSET($H$3,0,0,'Données projet'!$E$9+1,1))</f>
        <v>320.30433416149219</v>
      </c>
      <c r="T96" s="59">
        <f t="shared" si="88"/>
        <v>201.33422682092797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192.94404441567877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192.94404441567877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66.968299832490942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763.00000000000057</v>
      </c>
      <c r="AJ96" s="13">
        <f>AI96*VLOOKUP('Données projet'!$B$10,Paramètres!$A$1:$I$89,3,0)*VLOOKUP('Données projet'!$B$10,Paramètres!$A$1:$I$89,5,0)</f>
        <v>456.2740000000004</v>
      </c>
      <c r="AK96" s="13">
        <f t="shared" si="89"/>
        <v>103.09649786611838</v>
      </c>
      <c r="AL96" s="20">
        <f t="shared" si="58"/>
        <v>974.23695045015677</v>
      </c>
      <c r="AM96" s="59">
        <f t="shared" si="59"/>
        <v>1256.454049835957</v>
      </c>
      <c r="AN96" s="59">
        <f ca="1">AVERAGE(OFFSET($AM$3,0,0,'Données projet'!$E$10+1,1))-AVERAGE(OFFSET($H$3,0,0,'Données projet'!$E$10+1,1))</f>
        <v>569.80473816957431</v>
      </c>
      <c r="AO96" s="59">
        <f t="shared" si="90"/>
        <v>495.56567790763199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82.265754384335722</v>
      </c>
      <c r="AV96" s="21">
        <f>EXP(-LN(2)/25)*AV95+(1-EXP(-LN(2)/25))/(LN(2)/25)*Calculateur!AQ96*Calculateur!AS96*VLOOKUP('Données projet'!$B$10,Paramètres!$A$1:$I$89,3,0)*0.475*44/12</f>
        <v>11.405755753912256</v>
      </c>
      <c r="AW96" s="21">
        <f>EXP(-LN(2)/2)*AW95+(1-EXP(-LN(2)/2))/(LN(2)/2)*AQ96*AT96*VLOOKUP('Données projet'!$B$10,Paramètres!$A$1:$I$89,3,0)*0.475*44/12</f>
        <v>2.5863433970402874E-11</v>
      </c>
      <c r="AX96" s="21">
        <f t="shared" si="60"/>
        <v>93.671510138273845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66.968299832490942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-2.5006556825246661E-14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180.42749272334603</v>
      </c>
      <c r="BJ96" s="59">
        <f t="shared" si="92"/>
        <v>346.61476512497495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18.363229597098691</v>
      </c>
      <c r="BQ96" s="21">
        <f>EXP(-LN(2)/25)*BQ95+(1-EXP(-LN(2)/25))/(LN(2)/25)*Calculateur!BL96*Calculateur!BN96*VLOOKUP('Données projet'!$B$11,Paramètres!$A$1:$I$89,3,0)*0.475*44/12</f>
        <v>2.8878898342506965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21.251119431349387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66.968299832490942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9.9470000000000027</v>
      </c>
      <c r="BY96" s="12">
        <f>IF('Données projet'!$A$114&gt;35,BY95+BX96-CG95,IF(A96&lt;'Données projet'!$A$114,$BV$205^A96,IF(A96='Données projet'!$A$114,'Données projet'!$B$114,BY95+BX96-CG95)))</f>
        <v>405.11800000000017</v>
      </c>
      <c r="BZ96" s="13">
        <f>BY96*VLOOKUP('Données projet'!$B$12,Paramètres!$A$1:$I$89,3,0)*VLOOKUP('Données projet'!$B$12,Paramètres!$A$1:$I$89,5,0)</f>
        <v>366.5507664000001</v>
      </c>
      <c r="CA96" s="13">
        <f t="shared" si="93"/>
        <v>84.961267689272873</v>
      </c>
      <c r="CB96" s="20">
        <f t="shared" si="64"/>
        <v>786.38345937215036</v>
      </c>
      <c r="CC96" s="59">
        <f t="shared" si="65"/>
        <v>1068.6005587579505</v>
      </c>
      <c r="CD96" s="59">
        <f ca="1">AVERAGE(OFFSET($CC$3,0,0,'Données projet'!$E$12+1,1))-AVERAGE(OFFSET($H$3,0,0,'Données projet'!$E$12+1,1))</f>
        <v>553.16421218123958</v>
      </c>
      <c r="CE96" s="59">
        <f t="shared" si="94"/>
        <v>291.73668613844416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112.14494901338922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112.14494901338922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66.968299832490942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9.9470000000000027</v>
      </c>
      <c r="CT96" s="12">
        <f>IF('Données projet'!$A$140&gt;35,CT95+CS96-DB95,IF(A96&lt;'Données projet'!$A$140,$CQ$205^A96,IF(A96='Données projet'!$A$140,'Données projet'!$B$140,CT95+CS96-DB95)))</f>
        <v>405.11800000000017</v>
      </c>
      <c r="CU96" s="17">
        <f>CT96*VLOOKUP('Données projet'!$B$13,Paramètres!$A$1:$I$89,3,0)*VLOOKUP('Données projet'!$B$13,Paramètres!$A$1:$I$89,5,0)</f>
        <v>410.78965200000022</v>
      </c>
      <c r="CV96" s="13">
        <f t="shared" si="95"/>
        <v>93.960701523544898</v>
      </c>
      <c r="CW96" s="20">
        <f t="shared" si="67"/>
        <v>879.10686572017437</v>
      </c>
      <c r="CX96" s="59">
        <f t="shared" si="68"/>
        <v>1161.3239651059744</v>
      </c>
      <c r="CY96" s="59">
        <f ca="1">AVERAGE(OFFSET($CX$3,0,0,'Données projet'!$E$13+1,1))-AVERAGE(OFFSET($H$3,0,0,'Données projet'!$E$13+1,1))</f>
        <v>611.82989382187804</v>
      </c>
      <c r="CZ96" s="59">
        <f t="shared" si="96"/>
        <v>320.34124600136363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125.67968423914313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125.67968423914313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66.968299832490942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9.9470000000000027</v>
      </c>
      <c r="DO96" s="12">
        <f>IF('Données projet'!$A$166&gt;35,DO95+DN96-DW95,IF(A96&lt;'Données projet'!$A$166,$DL$205^A96,IF(A96='Données projet'!$A$166,'Données projet'!$B$166,DO95+DN96-DW95)))</f>
        <v>405.11800000000017</v>
      </c>
      <c r="DP96" s="17">
        <f>DO96*VLOOKUP('Données projet'!$B$14,Paramètres!$A$1:$I$89,3,0)*VLOOKUP('Données projet'!$B$14,Paramètres!$A$1:$I$89,5,0)</f>
        <v>436.06901520000014</v>
      </c>
      <c r="DQ96" s="13">
        <f t="shared" si="97"/>
        <v>99.051958098607116</v>
      </c>
      <c r="DR96" s="20">
        <f t="shared" si="70"/>
        <v>932.00236182840763</v>
      </c>
      <c r="DS96" s="59">
        <f t="shared" si="71"/>
        <v>1214.2194612142077</v>
      </c>
      <c r="DT96" s="59">
        <f ca="1">AVERAGE(OFFSET($DS$3,0,0,'Données projet'!$E$14+1,1))-AVERAGE(OFFSET($H$3,0,0,'Données projet'!$E$14+1,1))</f>
        <v>645.29541304800614</v>
      </c>
      <c r="DU96" s="59">
        <f t="shared" si="98"/>
        <v>336.65580771733323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133.41381865385955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133.41381865385955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66.968299832490942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319</v>
      </c>
      <c r="EK96" s="17">
        <f>EJ96*VLOOKUP('Données projet'!$B$15,Paramètres!$A$1:$I$89,3,0)*VLOOKUP('Données projet'!$B$15,Paramètres!$A$1:$I$89,5,0)</f>
        <v>233.89079999999998</v>
      </c>
      <c r="EL96" s="13">
        <f t="shared" si="99"/>
        <v>57.123140349023068</v>
      </c>
      <c r="EM96" s="20">
        <f t="shared" si="73"/>
        <v>506.84927944121517</v>
      </c>
      <c r="EN96" s="59">
        <f t="shared" si="74"/>
        <v>789.06637882701534</v>
      </c>
      <c r="EO96" s="59">
        <f ca="1">AVERAGE(OFFSET($EN$3,0,0,'Données projet'!$E$15+1,1))-AVERAGE(OFFSET($H$3,0,0,'Données projet'!$E$15+1,1))</f>
        <v>343.31122043016137</v>
      </c>
      <c r="EP96" s="59">
        <f t="shared" si="100"/>
        <v>333.61098411258877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30.72991731238891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30.72991731238891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66.968299832490942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319</v>
      </c>
      <c r="FF96" s="17">
        <f>FE96*VLOOKUP('Données projet'!$B$16,Paramètres!$A$1:$I$89,3,0)*VLOOKUP('Données projet'!$B$16,Paramètres!$A$1:$I$89,5,0)</f>
        <v>253.79640000000001</v>
      </c>
      <c r="FG96" s="13">
        <f t="shared" si="101"/>
        <v>61.39816832228076</v>
      </c>
      <c r="FH96" s="20">
        <f t="shared" si="76"/>
        <v>548.96387316130563</v>
      </c>
      <c r="FI96" s="59">
        <f t="shared" si="77"/>
        <v>831.18097254710574</v>
      </c>
      <c r="FJ96" s="59">
        <f ca="1">AVERAGE(OFFSET($FI$3,0,0,'Données projet'!$E$16+1,1))-AVERAGE(OFFSET($H$3,0,0,'Données projet'!$E$16+1,1))</f>
        <v>368.12945163484585</v>
      </c>
      <c r="FK96" s="59">
        <f t="shared" si="102"/>
        <v>357.27183934545121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41.099933941309871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41.099933941309871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66.968299832490942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66.968299832490942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3.0869565217391299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11.318840579710143</v>
      </c>
      <c r="H97" s="66">
        <f t="shared" si="56"/>
        <v>211.39130434782609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67.020893052531051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8.5349999999999966</v>
      </c>
      <c r="N97" s="13">
        <f>IF('Données projet'!$A$36&gt;35,N96+M97-V96,IF(A97&lt;'Données projet'!$A$36,$K$205^A97,IF(A97='Données projet'!$A$36,'Données projet'!$B$36,N96+M97-V96)))</f>
        <v>296.68499999999926</v>
      </c>
      <c r="O97" s="13">
        <f>N97*VLOOKUP('Données projet'!$B$9,Paramètres!$A$1:$I$89,3,0)*VLOOKUP('Données projet'!$B$9,Paramètres!$A$1:$I$89,5,0)</f>
        <v>138.84857999999966</v>
      </c>
      <c r="P97" s="13">
        <f t="shared" si="87"/>
        <v>36.033104695067792</v>
      </c>
      <c r="Q97" s="20">
        <f t="shared" si="54"/>
        <v>304.58560084390916</v>
      </c>
      <c r="R97" s="59">
        <f t="shared" si="55"/>
        <v>586.99554203652303</v>
      </c>
      <c r="S97" s="59">
        <f ca="1">AVERAGE(OFFSET($R$3,0,0,'Données projet'!$E$9+1,1))-AVERAGE(OFFSET($H$3,0,0,'Données projet'!$E$9+1,1))</f>
        <v>320.30433416149219</v>
      </c>
      <c r="T97" s="59">
        <f t="shared" si="88"/>
        <v>201.33422682092797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189.16052938893407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189.16052938893407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67.020893052531051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763.00000000000057</v>
      </c>
      <c r="AJ97" s="13">
        <f>AI97*VLOOKUP('Données projet'!$B$10,Paramètres!$A$1:$I$89,3,0)*VLOOKUP('Données projet'!$B$10,Paramètres!$A$1:$I$89,5,0)</f>
        <v>456.2740000000004</v>
      </c>
      <c r="AK97" s="13">
        <f t="shared" si="89"/>
        <v>103.09649786611838</v>
      </c>
      <c r="AL97" s="20">
        <f t="shared" si="58"/>
        <v>974.23695045015677</v>
      </c>
      <c r="AM97" s="59">
        <f t="shared" si="59"/>
        <v>1256.6468916427707</v>
      </c>
      <c r="AN97" s="59">
        <f ca="1">AVERAGE(OFFSET($AM$3,0,0,'Données projet'!$E$10+1,1))-AVERAGE(OFFSET($H$3,0,0,'Données projet'!$E$10+1,1))</f>
        <v>569.80473816957431</v>
      </c>
      <c r="AO97" s="59">
        <f t="shared" si="90"/>
        <v>495.56567790763199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80.652573118014487</v>
      </c>
      <c r="AV97" s="21">
        <f>EXP(-LN(2)/25)*AV96+(1-EXP(-LN(2)/25))/(LN(2)/25)*Calculateur!AQ97*Calculateur!AS97*VLOOKUP('Données projet'!$B$10,Paramètres!$A$1:$I$89,3,0)*0.475*44/12</f>
        <v>11.0938647630189</v>
      </c>
      <c r="AW97" s="21">
        <f>EXP(-LN(2)/2)*AW96+(1-EXP(-LN(2)/2))/(LN(2)/2)*AQ97*AT97*VLOOKUP('Données projet'!$B$10,Paramètres!$A$1:$I$89,3,0)*0.475*44/12</f>
        <v>1.8288209545242385E-11</v>
      </c>
      <c r="AX97" s="21">
        <f t="shared" si="60"/>
        <v>91.746437881051676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67.020893052531051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-2.5006556825246661E-14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180.42749272334603</v>
      </c>
      <c r="BJ97" s="59">
        <f t="shared" si="92"/>
        <v>346.61476512497495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18.003137865163687</v>
      </c>
      <c r="BQ97" s="21">
        <f>EXP(-LN(2)/25)*BQ96+(1-EXP(-LN(2)/25))/(LN(2)/25)*Calculateur!BL97*Calculateur!BN97*VLOOKUP('Données projet'!$B$11,Paramètres!$A$1:$I$89,3,0)*0.475*44/12</f>
        <v>2.8089203348655851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20.812058200029274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67.020893052531051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9.9470000000000027</v>
      </c>
      <c r="BY97" s="12">
        <f>IF('Données projet'!$A$114&gt;35,BY96+BX97-CG96,IF(A97&lt;'Données projet'!$A$114,$BV$205^A97,IF(A97='Données projet'!$A$114,'Données projet'!$B$114,BY96+BX97-CG96)))</f>
        <v>415.06500000000017</v>
      </c>
      <c r="BZ97" s="13">
        <f>BY97*VLOOKUP('Données projet'!$B$12,Paramètres!$A$1:$I$89,3,0)*VLOOKUP('Données projet'!$B$12,Paramètres!$A$1:$I$89,5,0)</f>
        <v>375.55081200000012</v>
      </c>
      <c r="CA97" s="13">
        <f t="shared" si="93"/>
        <v>86.801920262883286</v>
      </c>
      <c r="CB97" s="20">
        <f t="shared" si="64"/>
        <v>805.26434202452185</v>
      </c>
      <c r="CC97" s="59">
        <f t="shared" si="65"/>
        <v>1087.6742832171358</v>
      </c>
      <c r="CD97" s="59">
        <f ca="1">AVERAGE(OFFSET($CC$3,0,0,'Données projet'!$E$12+1,1))-AVERAGE(OFFSET($H$3,0,0,'Données projet'!$E$12+1,1))</f>
        <v>553.16421218123958</v>
      </c>
      <c r="CE97" s="59">
        <f t="shared" si="94"/>
        <v>291.73668613844416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109.94585496490146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109.94585496490146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67.020893052531051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9.9470000000000027</v>
      </c>
      <c r="CT97" s="12">
        <f>IF('Données projet'!$A$140&gt;35,CT96+CS97-DB96,IF(A97&lt;'Données projet'!$A$140,$CQ$205^A97,IF(A97='Données projet'!$A$140,'Données projet'!$B$140,CT96+CS97-DB96)))</f>
        <v>415.06500000000017</v>
      </c>
      <c r="CU97" s="17">
        <f>CT97*VLOOKUP('Données projet'!$B$13,Paramètres!$A$1:$I$89,3,0)*VLOOKUP('Données projet'!$B$13,Paramètres!$A$1:$I$89,5,0)</f>
        <v>420.8759100000002</v>
      </c>
      <c r="CV97" s="13">
        <f t="shared" si="95"/>
        <v>95.996323304873258</v>
      </c>
      <c r="CW97" s="20">
        <f t="shared" si="67"/>
        <v>900.21913967265448</v>
      </c>
      <c r="CX97" s="59">
        <f t="shared" si="68"/>
        <v>1182.6290808652684</v>
      </c>
      <c r="CY97" s="59">
        <f ca="1">AVERAGE(OFFSET($CX$3,0,0,'Données projet'!$E$13+1,1))-AVERAGE(OFFSET($H$3,0,0,'Données projet'!$E$13+1,1))</f>
        <v>611.82989382187804</v>
      </c>
      <c r="CZ97" s="59">
        <f t="shared" si="96"/>
        <v>320.34124600136363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123.21518228825167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123.21518228825167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67.020893052531051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9.9470000000000027</v>
      </c>
      <c r="DO97" s="12">
        <f>IF('Données projet'!$A$166&gt;35,DO96+DN97-DW96,IF(A97&lt;'Données projet'!$A$166,$DL$205^A97,IF(A97='Données projet'!$A$166,'Données projet'!$B$166,DO96+DN97-DW96)))</f>
        <v>415.06500000000017</v>
      </c>
      <c r="DP97" s="17">
        <f>DO97*VLOOKUP('Données projet'!$B$14,Paramètres!$A$1:$I$89,3,0)*VLOOKUP('Données projet'!$B$14,Paramètres!$A$1:$I$89,5,0)</f>
        <v>446.77596600000015</v>
      </c>
      <c r="DQ97" s="13">
        <f t="shared" si="97"/>
        <v>101.19787995869693</v>
      </c>
      <c r="DR97" s="20">
        <f t="shared" si="70"/>
        <v>954.38778171139745</v>
      </c>
      <c r="DS97" s="59">
        <f t="shared" si="71"/>
        <v>1236.7977229040114</v>
      </c>
      <c r="DT97" s="59">
        <f ca="1">AVERAGE(OFFSET($DS$3,0,0,'Données projet'!$E$14+1,1))-AVERAGE(OFFSET($H$3,0,0,'Données projet'!$E$14+1,1))</f>
        <v>645.29541304800614</v>
      </c>
      <c r="DU97" s="59">
        <f t="shared" si="98"/>
        <v>336.65580771733323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130.79765504445169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130.79765504445169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67.020893052531051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319</v>
      </c>
      <c r="EK97" s="17">
        <f>EJ97*VLOOKUP('Données projet'!$B$15,Paramètres!$A$1:$I$89,3,0)*VLOOKUP('Données projet'!$B$15,Paramètres!$A$1:$I$89,5,0)</f>
        <v>233.89079999999998</v>
      </c>
      <c r="EL97" s="13">
        <f t="shared" si="99"/>
        <v>57.123140349023068</v>
      </c>
      <c r="EM97" s="20">
        <f t="shared" si="73"/>
        <v>506.84927944121517</v>
      </c>
      <c r="EN97" s="59">
        <f t="shared" si="74"/>
        <v>789.25922063382905</v>
      </c>
      <c r="EO97" s="59">
        <f ca="1">AVERAGE(OFFSET($EN$3,0,0,'Données projet'!$E$15+1,1))-AVERAGE(OFFSET($H$3,0,0,'Données projet'!$E$15+1,1))</f>
        <v>343.31122043016137</v>
      </c>
      <c r="EP97" s="59">
        <f t="shared" si="100"/>
        <v>333.61098411258877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30.127322377291765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30.127322377291765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67.020893052531051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319</v>
      </c>
      <c r="FF97" s="17">
        <f>FE97*VLOOKUP('Données projet'!$B$16,Paramètres!$A$1:$I$89,3,0)*VLOOKUP('Données projet'!$B$16,Paramètres!$A$1:$I$89,5,0)</f>
        <v>253.79640000000001</v>
      </c>
      <c r="FG97" s="13">
        <f t="shared" si="101"/>
        <v>61.39816832228076</v>
      </c>
      <c r="FH97" s="20">
        <f t="shared" si="76"/>
        <v>548.96387316130563</v>
      </c>
      <c r="FI97" s="59">
        <f t="shared" si="77"/>
        <v>831.37381435391944</v>
      </c>
      <c r="FJ97" s="59">
        <f ca="1">AVERAGE(OFFSET($FI$3,0,0,'Données projet'!$E$16+1,1))-AVERAGE(OFFSET($H$3,0,0,'Données projet'!$E$16+1,1))</f>
        <v>368.12945163484585</v>
      </c>
      <c r="FK97" s="59">
        <f t="shared" si="102"/>
        <v>357.27183934545121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40.29398930520518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40.29398930520518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67.020893052531051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67.020893052531051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3.0869565217391299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11.318840579710143</v>
      </c>
      <c r="H98" s="66">
        <f t="shared" si="56"/>
        <v>211.39130434782609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67.072573897784295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8.5349999999999966</v>
      </c>
      <c r="N98" s="13">
        <f>IF('Données projet'!$A$36&gt;35,N97+M98-V97,IF(A98&lt;'Données projet'!$A$36,$K$205^A98,IF(A98='Données projet'!$A$36,'Données projet'!$B$36,N97+M98-V97)))</f>
        <v>305.21999999999923</v>
      </c>
      <c r="O98" s="13">
        <f>N98*VLOOKUP('Données projet'!$B$9,Paramètres!$A$1:$I$89,3,0)*VLOOKUP('Données projet'!$B$9,Paramètres!$A$1:$I$89,5,0)</f>
        <v>142.84295999999964</v>
      </c>
      <c r="P98" s="13">
        <f t="shared" si="87"/>
        <v>36.947523740027073</v>
      </c>
      <c r="Q98" s="20">
        <f t="shared" si="54"/>
        <v>313.13509251387984</v>
      </c>
      <c r="R98" s="59">
        <f t="shared" si="55"/>
        <v>595.73453013908897</v>
      </c>
      <c r="S98" s="59">
        <f ca="1">AVERAGE(OFFSET($R$3,0,0,'Données projet'!$E$9+1,1))-AVERAGE(OFFSET($H$3,0,0,'Données projet'!$E$9+1,1))</f>
        <v>320.30433416149219</v>
      </c>
      <c r="T98" s="59">
        <f t="shared" si="88"/>
        <v>201.33422682092797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185.4512067841475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185.4512067841475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67.072573897784295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763.00000000000057</v>
      </c>
      <c r="AJ98" s="13">
        <f>AI98*VLOOKUP('Données projet'!$B$10,Paramètres!$A$1:$I$89,3,0)*VLOOKUP('Données projet'!$B$10,Paramètres!$A$1:$I$89,5,0)</f>
        <v>456.2740000000004</v>
      </c>
      <c r="AK98" s="13">
        <f t="shared" si="89"/>
        <v>103.09649786611838</v>
      </c>
      <c r="AL98" s="20">
        <f t="shared" si="58"/>
        <v>974.23695045015677</v>
      </c>
      <c r="AM98" s="59">
        <f t="shared" si="59"/>
        <v>1256.8363880753659</v>
      </c>
      <c r="AN98" s="59">
        <f ca="1">AVERAGE(OFFSET($AM$3,0,0,'Données projet'!$E$10+1,1))-AVERAGE(OFFSET($H$3,0,0,'Données projet'!$E$10+1,1))</f>
        <v>569.80473816957431</v>
      </c>
      <c r="AO98" s="59">
        <f t="shared" si="90"/>
        <v>495.56567790763199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79.071025352382392</v>
      </c>
      <c r="AV98" s="21">
        <f>EXP(-LN(2)/25)*AV97+(1-EXP(-LN(2)/25))/(LN(2)/25)*Calculateur!AQ98*Calculateur!AS98*VLOOKUP('Données projet'!$B$10,Paramètres!$A$1:$I$89,3,0)*0.475*44/12</f>
        <v>10.790502447673155</v>
      </c>
      <c r="AW98" s="21">
        <f>EXP(-LN(2)/2)*AW97+(1-EXP(-LN(2)/2))/(LN(2)/2)*AQ98*AT98*VLOOKUP('Données projet'!$B$10,Paramètres!$A$1:$I$89,3,0)*0.475*44/12</f>
        <v>1.2931716985201437E-11</v>
      </c>
      <c r="AX98" s="21">
        <f t="shared" si="60"/>
        <v>89.861527800068473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67.072573897784295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-2.5006556825246661E-14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180.42749272334603</v>
      </c>
      <c r="BJ98" s="59">
        <f t="shared" si="92"/>
        <v>346.61476512497495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17.650107312457656</v>
      </c>
      <c r="BQ98" s="21">
        <f>EXP(-LN(2)/25)*BQ97+(1-EXP(-LN(2)/25))/(LN(2)/25)*Calculateur!BL98*Calculateur!BN98*VLOOKUP('Données projet'!$B$11,Paramètres!$A$1:$I$89,3,0)*0.475*44/12</f>
        <v>2.7321102605939851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20.382217573051641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67.072573897784295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9.9470000000000027</v>
      </c>
      <c r="BY98" s="12">
        <f>IF('Données projet'!$A$114&gt;35,BY97+BX98-CG97,IF(A98&lt;'Données projet'!$A$114,$BV$205^A98,IF(A98='Données projet'!$A$114,'Données projet'!$B$114,BY97+BX98-CG97)))</f>
        <v>425.01200000000017</v>
      </c>
      <c r="BZ98" s="13">
        <f>BY98*VLOOKUP('Données projet'!$B$12,Paramètres!$A$1:$I$89,3,0)*VLOOKUP('Données projet'!$B$12,Paramètres!$A$1:$I$89,5,0)</f>
        <v>384.55085760000014</v>
      </c>
      <c r="CA98" s="13">
        <f t="shared" si="93"/>
        <v>88.637444941196293</v>
      </c>
      <c r="CB98" s="20">
        <f t="shared" si="64"/>
        <v>824.13629359258368</v>
      </c>
      <c r="CC98" s="59">
        <f t="shared" si="65"/>
        <v>1106.7357312177928</v>
      </c>
      <c r="CD98" s="59">
        <f ca="1">AVERAGE(OFFSET($CC$3,0,0,'Données projet'!$E$12+1,1))-AVERAGE(OFFSET($H$3,0,0,'Données projet'!$E$12+1,1))</f>
        <v>553.16421218123958</v>
      </c>
      <c r="CE98" s="59">
        <f t="shared" si="94"/>
        <v>291.73668613844416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107.78988380938961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107.78988380938961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67.072573897784295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9.9470000000000027</v>
      </c>
      <c r="CT98" s="12">
        <f>IF('Données projet'!$A$140&gt;35,CT97+CS98-DB97,IF(A98&lt;'Données projet'!$A$140,$CQ$205^A98,IF(A98='Données projet'!$A$140,'Données projet'!$B$140,CT97+CS98-DB97)))</f>
        <v>425.01200000000017</v>
      </c>
      <c r="CU98" s="17">
        <f>CT98*VLOOKUP('Données projet'!$B$13,Paramètres!$A$1:$I$89,3,0)*VLOOKUP('Données projet'!$B$13,Paramètres!$A$1:$I$89,5,0)</f>
        <v>430.96216800000025</v>
      </c>
      <c r="CV98" s="13">
        <f t="shared" si="95"/>
        <v>98.026274023933112</v>
      </c>
      <c r="CW98" s="20">
        <f t="shared" si="67"/>
        <v>921.32153652501711</v>
      </c>
      <c r="CX98" s="59">
        <f t="shared" si="68"/>
        <v>1203.9209741502261</v>
      </c>
      <c r="CY98" s="59">
        <f ca="1">AVERAGE(OFFSET($CX$3,0,0,'Données projet'!$E$13+1,1))-AVERAGE(OFFSET($H$3,0,0,'Données projet'!$E$13+1,1))</f>
        <v>611.82989382187804</v>
      </c>
      <c r="CZ98" s="59">
        <f t="shared" si="96"/>
        <v>320.34124600136363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120.79900771741943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120.79900771741943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67.072573897784295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9.9470000000000027</v>
      </c>
      <c r="DO98" s="12">
        <f>IF('Données projet'!$A$166&gt;35,DO97+DN98-DW97,IF(A98&lt;'Données projet'!$A$166,$DL$205^A98,IF(A98='Données projet'!$A$166,'Données projet'!$B$166,DO97+DN98-DW97)))</f>
        <v>425.01200000000017</v>
      </c>
      <c r="DP98" s="17">
        <f>DO98*VLOOKUP('Données projet'!$B$14,Paramètres!$A$1:$I$89,3,0)*VLOOKUP('Données projet'!$B$14,Paramètres!$A$1:$I$89,5,0)</f>
        <v>457.48291680000011</v>
      </c>
      <c r="DQ98" s="13">
        <f t="shared" si="97"/>
        <v>103.33782347025286</v>
      </c>
      <c r="DR98" s="20">
        <f t="shared" si="70"/>
        <v>976.76278930402384</v>
      </c>
      <c r="DS98" s="59">
        <f t="shared" si="71"/>
        <v>1259.362226929233</v>
      </c>
      <c r="DT98" s="59">
        <f ca="1">AVERAGE(OFFSET($DS$3,0,0,'Données projet'!$E$14+1,1))-AVERAGE(OFFSET($H$3,0,0,'Données projet'!$E$14+1,1))</f>
        <v>645.29541304800614</v>
      </c>
      <c r="DU98" s="59">
        <f t="shared" si="98"/>
        <v>336.65580771733323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128.23279280772206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128.23279280772206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67.072573897784295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319</v>
      </c>
      <c r="EK98" s="17">
        <f>EJ98*VLOOKUP('Données projet'!$B$15,Paramètres!$A$1:$I$89,3,0)*VLOOKUP('Données projet'!$B$15,Paramètres!$A$1:$I$89,5,0)</f>
        <v>233.89079999999998</v>
      </c>
      <c r="EL98" s="13">
        <f t="shared" si="99"/>
        <v>57.123140349023068</v>
      </c>
      <c r="EM98" s="20">
        <f t="shared" si="73"/>
        <v>506.84927944121517</v>
      </c>
      <c r="EN98" s="59">
        <f t="shared" si="74"/>
        <v>789.44871706642425</v>
      </c>
      <c r="EO98" s="59">
        <f ca="1">AVERAGE(OFFSET($EN$3,0,0,'Données projet'!$E$15+1,1))-AVERAGE(OFFSET($H$3,0,0,'Données projet'!$E$15+1,1))</f>
        <v>343.31122043016137</v>
      </c>
      <c r="EP98" s="59">
        <f t="shared" si="100"/>
        <v>333.61098411258877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29.536543961325258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29.536543961325258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67.072573897784295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319</v>
      </c>
      <c r="FF98" s="17">
        <f>FE98*VLOOKUP('Données projet'!$B$16,Paramètres!$A$1:$I$89,3,0)*VLOOKUP('Données projet'!$B$16,Paramètres!$A$1:$I$89,5,0)</f>
        <v>253.79640000000001</v>
      </c>
      <c r="FG98" s="13">
        <f t="shared" si="101"/>
        <v>61.39816832228076</v>
      </c>
      <c r="FH98" s="20">
        <f t="shared" si="76"/>
        <v>548.96387316130563</v>
      </c>
      <c r="FI98" s="59">
        <f t="shared" si="77"/>
        <v>831.56331078651465</v>
      </c>
      <c r="FJ98" s="59">
        <f ca="1">AVERAGE(OFFSET($FI$3,0,0,'Données projet'!$E$16+1,1))-AVERAGE(OFFSET($H$3,0,0,'Données projet'!$E$16+1,1))</f>
        <v>368.12945163484585</v>
      </c>
      <c r="FK98" s="59">
        <f t="shared" si="102"/>
        <v>357.27183934545121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39.503848751836813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39.503848751836813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67.072573897784295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67.072573897784295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3.0869565217391299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11.318840579710143</v>
      </c>
      <c r="H99" s="66">
        <f t="shared" si="56"/>
        <v>211.39130434782609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67.123358195913454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8.5349999999999966</v>
      </c>
      <c r="N99" s="13">
        <f>IF('Données projet'!$A$36&gt;35,N98+M99-V98,IF(A99&lt;'Données projet'!$A$36,$K$205^A99,IF(A99='Données projet'!$A$36,'Données projet'!$B$36,N98+M99-V98)))</f>
        <v>313.7549999999992</v>
      </c>
      <c r="O99" s="13">
        <f>N99*VLOOKUP('Données projet'!$B$9,Paramètres!$A$1:$I$89,3,0)*VLOOKUP('Données projet'!$B$9,Paramètres!$A$1:$I$89,5,0)</f>
        <v>146.83733999999961</v>
      </c>
      <c r="P99" s="13">
        <f t="shared" si="87"/>
        <v>37.858970831678995</v>
      </c>
      <c r="Q99" s="20">
        <f t="shared" ref="Q99:Q130" si="107">(O99+P99)*0.475*44/12</f>
        <v>321.67940803184018</v>
      </c>
      <c r="R99" s="59">
        <f t="shared" si="55"/>
        <v>604.46505475018955</v>
      </c>
      <c r="S99" s="59">
        <f ca="1">AVERAGE(OFFSET($R$3,0,0,'Données projet'!$E$9+1,1))-AVERAGE(OFFSET($H$3,0,0,'Données projet'!$E$9+1,1))</f>
        <v>320.30433416149219</v>
      </c>
      <c r="T99" s="59">
        <f t="shared" si="88"/>
        <v>201.33422682092797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181.81462173317743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181.81462173317743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67.123358195913454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763.00000000000057</v>
      </c>
      <c r="AJ99" s="13">
        <f>AI99*VLOOKUP('Données projet'!$B$10,Paramètres!$A$1:$I$89,3,0)*VLOOKUP('Données projet'!$B$10,Paramètres!$A$1:$I$89,5,0)</f>
        <v>456.2740000000004</v>
      </c>
      <c r="AK99" s="13">
        <f t="shared" si="89"/>
        <v>103.09649786611838</v>
      </c>
      <c r="AL99" s="20">
        <f t="shared" si="58"/>
        <v>974.23695045015677</v>
      </c>
      <c r="AM99" s="59">
        <f t="shared" si="59"/>
        <v>1257.0225971685061</v>
      </c>
      <c r="AN99" s="59">
        <f ca="1">AVERAGE(OFFSET($AM$3,0,0,'Données projet'!$E$10+1,1))-AVERAGE(OFFSET($H$3,0,0,'Données projet'!$E$10+1,1))</f>
        <v>569.80473816957431</v>
      </c>
      <c r="AO99" s="59">
        <f t="shared" si="90"/>
        <v>495.56567790763199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77.520490773785468</v>
      </c>
      <c r="AV99" s="21">
        <f>EXP(-LN(2)/25)*AV98+(1-EXP(-LN(2)/25))/(LN(2)/25)*Calculateur!AQ99*Calculateur!AS99*VLOOKUP('Données projet'!$B$10,Paramètres!$A$1:$I$89,3,0)*0.475*44/12</f>
        <v>10.49543559079367</v>
      </c>
      <c r="AW99" s="21">
        <f>EXP(-LN(2)/2)*AW98+(1-EXP(-LN(2)/2))/(LN(2)/2)*AQ99*AT99*VLOOKUP('Données projet'!$B$10,Paramètres!$A$1:$I$89,3,0)*0.475*44/12</f>
        <v>9.1441047726211923E-12</v>
      </c>
      <c r="AX99" s="21">
        <f t="shared" si="60"/>
        <v>88.015926364588282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67.123358195913454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-2.5006556825246661E-14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180.42749272334603</v>
      </c>
      <c r="BJ99" s="59">
        <f t="shared" si="92"/>
        <v>346.61476512497495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17.303999473562818</v>
      </c>
      <c r="BQ99" s="21">
        <f>EXP(-LN(2)/25)*BQ98+(1-EXP(-LN(2)/25))/(LN(2)/25)*Calculateur!BL99*Calculateur!BN99*VLOOKUP('Données projet'!$B$11,Paramètres!$A$1:$I$89,3,0)*0.475*44/12</f>
        <v>2.6574005618426084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19.961400035405426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67.123358195913454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9.9470000000000027</v>
      </c>
      <c r="BY99" s="12">
        <f>IF('Données projet'!$A$114&gt;35,BY98+BX99-CG98,IF(A99&lt;'Données projet'!$A$114,$BV$205^A99,IF(A99='Données projet'!$A$114,'Données projet'!$B$114,BY98+BX99-CG98)))</f>
        <v>434.95900000000017</v>
      </c>
      <c r="BZ99" s="13">
        <f>BY99*VLOOKUP('Données projet'!$B$12,Paramètres!$A$1:$I$89,3,0)*VLOOKUP('Données projet'!$B$12,Paramètres!$A$1:$I$89,5,0)</f>
        <v>393.55090320000016</v>
      </c>
      <c r="CA99" s="13">
        <f t="shared" si="93"/>
        <v>90.467975549637174</v>
      </c>
      <c r="CB99" s="20">
        <f t="shared" si="64"/>
        <v>842.99954715561842</v>
      </c>
      <c r="CC99" s="59">
        <f t="shared" si="65"/>
        <v>1125.7851938739677</v>
      </c>
      <c r="CD99" s="59">
        <f ca="1">AVERAGE(OFFSET($CC$3,0,0,'Données projet'!$E$12+1,1))-AVERAGE(OFFSET($H$3,0,0,'Données projet'!$E$12+1,1))</f>
        <v>553.16421218123958</v>
      </c>
      <c r="CE99" s="59">
        <f t="shared" si="94"/>
        <v>291.73668613844416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105.67618993322479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105.67618993322479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67.123358195913454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9.9470000000000027</v>
      </c>
      <c r="CT99" s="12">
        <f>IF('Données projet'!$A$140&gt;35,CT98+CS99-DB98,IF(A99&lt;'Données projet'!$A$140,$CQ$205^A99,IF(A99='Données projet'!$A$140,'Données projet'!$B$140,CT98+CS99-DB98)))</f>
        <v>434.95900000000017</v>
      </c>
      <c r="CU99" s="17">
        <f>CT99*VLOOKUP('Données projet'!$B$13,Paramètres!$A$1:$I$89,3,0)*VLOOKUP('Données projet'!$B$13,Paramètres!$A$1:$I$89,5,0)</f>
        <v>441.04842600000018</v>
      </c>
      <c r="CV99" s="13">
        <f t="shared" si="95"/>
        <v>100.05070168146835</v>
      </c>
      <c r="CW99" s="20">
        <f t="shared" si="67"/>
        <v>942.41431404522439</v>
      </c>
      <c r="CX99" s="59">
        <f t="shared" si="68"/>
        <v>1225.1999607635737</v>
      </c>
      <c r="CY99" s="59">
        <f ca="1">AVERAGE(OFFSET($CX$3,0,0,'Données projet'!$E$13+1,1))-AVERAGE(OFFSET($H$3,0,0,'Données projet'!$E$13+1,1))</f>
        <v>611.82989382187804</v>
      </c>
      <c r="CZ99" s="59">
        <f t="shared" si="96"/>
        <v>320.34124600136363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118.43021285620023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118.43021285620023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67.123358195913454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9.9470000000000027</v>
      </c>
      <c r="DO99" s="12">
        <f>IF('Données projet'!$A$166&gt;35,DO98+DN99-DW98,IF(A99&lt;'Données projet'!$A$166,$DL$205^A99,IF(A99='Données projet'!$A$166,'Données projet'!$B$166,DO98+DN99-DW98)))</f>
        <v>434.95900000000017</v>
      </c>
      <c r="DP99" s="17">
        <f>DO99*VLOOKUP('Données projet'!$B$14,Paramètres!$A$1:$I$89,3,0)*VLOOKUP('Données projet'!$B$14,Paramètres!$A$1:$I$89,5,0)</f>
        <v>468.18986760000018</v>
      </c>
      <c r="DQ99" s="13">
        <f t="shared" si="97"/>
        <v>105.47194465343287</v>
      </c>
      <c r="DR99" s="20">
        <f t="shared" si="70"/>
        <v>999.12765634139578</v>
      </c>
      <c r="DS99" s="59">
        <f t="shared" si="71"/>
        <v>1281.9133030597452</v>
      </c>
      <c r="DT99" s="59">
        <f ca="1">AVERAGE(OFFSET($DS$3,0,0,'Données projet'!$E$14+1,1))-AVERAGE(OFFSET($H$3,0,0,'Données projet'!$E$14+1,1))</f>
        <v>645.29541304800614</v>
      </c>
      <c r="DU99" s="59">
        <f t="shared" si="98"/>
        <v>336.65580771733323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125.71822595504322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125.71822595504322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67.123358195913454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319</v>
      </c>
      <c r="EK99" s="17">
        <f>EJ99*VLOOKUP('Données projet'!$B$15,Paramètres!$A$1:$I$89,3,0)*VLOOKUP('Données projet'!$B$15,Paramètres!$A$1:$I$89,5,0)</f>
        <v>233.89079999999998</v>
      </c>
      <c r="EL99" s="13">
        <f t="shared" si="99"/>
        <v>57.123140349023068</v>
      </c>
      <c r="EM99" s="20">
        <f t="shared" si="73"/>
        <v>506.84927944121517</v>
      </c>
      <c r="EN99" s="59">
        <f t="shared" si="74"/>
        <v>789.63492615956454</v>
      </c>
      <c r="EO99" s="59">
        <f ca="1">AVERAGE(OFFSET($EN$3,0,0,'Données projet'!$E$15+1,1))-AVERAGE(OFFSET($H$3,0,0,'Données projet'!$E$15+1,1))</f>
        <v>343.31122043016137</v>
      </c>
      <c r="EP99" s="59">
        <f t="shared" si="100"/>
        <v>333.61098411258877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28.957350349756602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28.957350349756602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67.123358195913454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319</v>
      </c>
      <c r="FF99" s="17">
        <f>FE99*VLOOKUP('Données projet'!$B$16,Paramètres!$A$1:$I$89,3,0)*VLOOKUP('Données projet'!$B$16,Paramètres!$A$1:$I$89,5,0)</f>
        <v>253.79640000000001</v>
      </c>
      <c r="FG99" s="13">
        <f t="shared" si="101"/>
        <v>61.39816832228076</v>
      </c>
      <c r="FH99" s="20">
        <f t="shared" si="76"/>
        <v>548.96387316130563</v>
      </c>
      <c r="FI99" s="59">
        <f t="shared" si="77"/>
        <v>831.74951987965505</v>
      </c>
      <c r="FJ99" s="59">
        <f ca="1">AVERAGE(OFFSET($FI$3,0,0,'Données projet'!$E$16+1,1))-AVERAGE(OFFSET($H$3,0,0,'Données projet'!$E$16+1,1))</f>
        <v>368.12945163484585</v>
      </c>
      <c r="FK99" s="59">
        <f t="shared" si="102"/>
        <v>357.27183934545121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38.729202372781849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38.729202372781849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67.123358195913454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67.123358195913454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3.0869565217391299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11.318840579710143</v>
      </c>
      <c r="H100" s="66">
        <f t="shared" si="56"/>
        <v>211.39130434782609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67.173261500006731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8.5349999999999966</v>
      </c>
      <c r="N100" s="13">
        <f>IF('Données projet'!$A$36&gt;35,N99+M100-V99,IF(A100&lt;'Données projet'!$A$36,$K$205^A100,IF(A100='Données projet'!$A$36,'Données projet'!$B$36,N99+M100-V99)))</f>
        <v>322.28999999999917</v>
      </c>
      <c r="O100" s="13">
        <f>N100*VLOOKUP('Données projet'!$B$9,Paramètres!$A$1:$I$89,3,0)*VLOOKUP('Données projet'!$B$9,Paramètres!$A$1:$I$89,5,0)</f>
        <v>150.83171999999962</v>
      </c>
      <c r="P100" s="13">
        <f t="shared" si="87"/>
        <v>38.767536105502572</v>
      </c>
      <c r="Q100" s="20">
        <f t="shared" si="107"/>
        <v>330.2187043837497</v>
      </c>
      <c r="R100" s="59">
        <f t="shared" si="55"/>
        <v>613.1873298837744</v>
      </c>
      <c r="S100" s="59">
        <f ca="1">AVERAGE(OFFSET($R$3,0,0,'Données projet'!$E$9+1,1))-AVERAGE(OFFSET($H$3,0,0,'Données projet'!$E$9+1,1))</f>
        <v>320.30433416149219</v>
      </c>
      <c r="T100" s="59">
        <f t="shared" si="88"/>
        <v>201.33422682092797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178.24934789695902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178.24934789695902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67.173261500006731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763.00000000000057</v>
      </c>
      <c r="AJ100" s="13">
        <f>AI100*VLOOKUP('Données projet'!$B$10,Paramètres!$A$1:$I$89,3,0)*VLOOKUP('Données projet'!$B$10,Paramètres!$A$1:$I$89,5,0)</f>
        <v>456.2740000000004</v>
      </c>
      <c r="AK100" s="13">
        <f t="shared" si="89"/>
        <v>103.09649786611838</v>
      </c>
      <c r="AL100" s="20">
        <f t="shared" si="58"/>
        <v>974.23695045015677</v>
      </c>
      <c r="AM100" s="59">
        <f t="shared" si="59"/>
        <v>1257.2055759501814</v>
      </c>
      <c r="AN100" s="59">
        <f ca="1">AVERAGE(OFFSET($AM$3,0,0,'Données projet'!$E$10+1,1))-AVERAGE(OFFSET($H$3,0,0,'Données projet'!$E$10+1,1))</f>
        <v>569.80473816957431</v>
      </c>
      <c r="AO100" s="59">
        <f t="shared" si="90"/>
        <v>495.56567790763199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76.000361232542119</v>
      </c>
      <c r="AV100" s="21">
        <f>EXP(-LN(2)/25)*AV99+(1-EXP(-LN(2)/25))/(LN(2)/25)*Calculateur!AQ100*Calculateur!AS100*VLOOKUP('Données projet'!$B$10,Paramètres!$A$1:$I$89,3,0)*0.475*44/12</f>
        <v>10.208437352632448</v>
      </c>
      <c r="AW100" s="21">
        <f>EXP(-LN(2)/2)*AW99+(1-EXP(-LN(2)/2))/(LN(2)/2)*AQ100*AT100*VLOOKUP('Données projet'!$B$10,Paramètres!$A$1:$I$89,3,0)*0.475*44/12</f>
        <v>6.4658584926007184E-12</v>
      </c>
      <c r="AX100" s="21">
        <f t="shared" si="60"/>
        <v>86.208798585181029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67.173261500006731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-2.5006556825246661E-14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180.42749272334603</v>
      </c>
      <c r="BJ100" s="59">
        <f t="shared" si="92"/>
        <v>346.61476512497495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16.964678598283772</v>
      </c>
      <c r="BQ100" s="21">
        <f>EXP(-LN(2)/25)*BQ99+(1-EXP(-LN(2)/25))/(LN(2)/25)*Calculateur!BL100*Calculateur!BN100*VLOOKUP('Données projet'!$B$11,Paramètres!$A$1:$I$89,3,0)*0.475*44/12</f>
        <v>2.5847338037324001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19.549412402016173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67.173261500006731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9.9470000000000027</v>
      </c>
      <c r="BY100" s="12">
        <f>IF('Données projet'!$A$114&gt;35,BY99+BX100-CG99,IF(A100&lt;'Données projet'!$A$114,$BV$205^A100,IF(A100='Données projet'!$A$114,'Données projet'!$B$114,BY99+BX100-CG99)))</f>
        <v>444.90600000000018</v>
      </c>
      <c r="BZ100" s="13">
        <f>BY100*VLOOKUP('Données projet'!$B$12,Paramètres!$A$1:$I$89,3,0)*VLOOKUP('Données projet'!$B$12,Paramètres!$A$1:$I$89,5,0)</f>
        <v>402.55094880000019</v>
      </c>
      <c r="CA100" s="13">
        <f t="shared" si="93"/>
        <v>92.293639443453927</v>
      </c>
      <c r="CB100" s="20">
        <f t="shared" si="64"/>
        <v>861.85432452401585</v>
      </c>
      <c r="CC100" s="59">
        <f t="shared" si="65"/>
        <v>1144.8229500240404</v>
      </c>
      <c r="CD100" s="59">
        <f ca="1">AVERAGE(OFFSET($CC$3,0,0,'Données projet'!$E$12+1,1))-AVERAGE(OFFSET($H$3,0,0,'Données projet'!$E$12+1,1))</f>
        <v>553.16421218123958</v>
      </c>
      <c r="CE100" s="59">
        <f t="shared" si="94"/>
        <v>291.73668613844416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103.6039443047456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103.6039443047456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67.173261500006731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9.9470000000000027</v>
      </c>
      <c r="CT100" s="12">
        <f>IF('Données projet'!$A$140&gt;35,CT99+CS100-DB99,IF(A100&lt;'Données projet'!$A$140,$CQ$205^A100,IF(A100='Données projet'!$A$140,'Données projet'!$B$140,CT99+CS100-DB99)))</f>
        <v>444.90600000000018</v>
      </c>
      <c r="CU100" s="17">
        <f>CT100*VLOOKUP('Données projet'!$B$13,Paramètres!$A$1:$I$89,3,0)*VLOOKUP('Données projet'!$B$13,Paramètres!$A$1:$I$89,5,0)</f>
        <v>451.13468400000016</v>
      </c>
      <c r="CV100" s="13">
        <f t="shared" si="95"/>
        <v>102.0697471226993</v>
      </c>
      <c r="CW100" s="20">
        <f t="shared" si="67"/>
        <v>963.49771753870164</v>
      </c>
      <c r="CX100" s="59">
        <f t="shared" si="68"/>
        <v>1246.4663430387263</v>
      </c>
      <c r="CY100" s="59">
        <f ca="1">AVERAGE(OFFSET($CX$3,0,0,'Données projet'!$E$13+1,1))-AVERAGE(OFFSET($H$3,0,0,'Données projet'!$E$13+1,1))</f>
        <v>611.82989382187804</v>
      </c>
      <c r="CZ100" s="59">
        <f t="shared" si="96"/>
        <v>320.34124600136363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116.10786861738734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116.10786861738734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67.173261500006731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9.9470000000000027</v>
      </c>
      <c r="DO100" s="12">
        <f>IF('Données projet'!$A$166&gt;35,DO99+DN100-DW99,IF(A100&lt;'Données projet'!$A$166,$DL$205^A100,IF(A100='Données projet'!$A$166,'Données projet'!$B$166,DO99+DN100-DW99)))</f>
        <v>444.90600000000018</v>
      </c>
      <c r="DP100" s="17">
        <f>DO100*VLOOKUP('Données projet'!$B$14,Paramètres!$A$1:$I$89,3,0)*VLOOKUP('Données projet'!$B$14,Paramètres!$A$1:$I$89,5,0)</f>
        <v>478.8968184000002</v>
      </c>
      <c r="DQ100" s="13">
        <f t="shared" si="97"/>
        <v>107.60039198514929</v>
      </c>
      <c r="DR100" s="20">
        <f t="shared" si="70"/>
        <v>1021.482641420802</v>
      </c>
      <c r="DS100" s="59">
        <f t="shared" si="71"/>
        <v>1304.4512669208266</v>
      </c>
      <c r="DT100" s="59">
        <f ca="1">AVERAGE(OFFSET($DS$3,0,0,'Données projet'!$E$14+1,1))-AVERAGE(OFFSET($H$3,0,0,'Données projet'!$E$14+1,1))</f>
        <v>645.29541304800614</v>
      </c>
      <c r="DU100" s="59">
        <f t="shared" si="98"/>
        <v>336.65580771733323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123.25296822461108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123.25296822461108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67.173261500006731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319</v>
      </c>
      <c r="EK100" s="17">
        <f>EJ100*VLOOKUP('Données projet'!$B$15,Paramètres!$A$1:$I$89,3,0)*VLOOKUP('Données projet'!$B$15,Paramètres!$A$1:$I$89,5,0)</f>
        <v>233.89079999999998</v>
      </c>
      <c r="EL100" s="13">
        <f t="shared" si="99"/>
        <v>57.123140349023068</v>
      </c>
      <c r="EM100" s="20">
        <f t="shared" si="73"/>
        <v>506.84927944121517</v>
      </c>
      <c r="EN100" s="59">
        <f t="shared" si="74"/>
        <v>789.81790494123993</v>
      </c>
      <c r="EO100" s="59">
        <f ca="1">AVERAGE(OFFSET($EN$3,0,0,'Données projet'!$E$15+1,1))-AVERAGE(OFFSET($H$3,0,0,'Données projet'!$E$15+1,1))</f>
        <v>343.31122043016137</v>
      </c>
      <c r="EP100" s="59">
        <f t="shared" si="100"/>
        <v>333.61098411258877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28.389514371637588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28.389514371637588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67.173261500006731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319</v>
      </c>
      <c r="FF100" s="17">
        <f>FE100*VLOOKUP('Données projet'!$B$16,Paramètres!$A$1:$I$89,3,0)*VLOOKUP('Données projet'!$B$16,Paramètres!$A$1:$I$89,5,0)</f>
        <v>253.79640000000001</v>
      </c>
      <c r="FG100" s="13">
        <f t="shared" si="101"/>
        <v>61.39816832228076</v>
      </c>
      <c r="FH100" s="20">
        <f t="shared" si="76"/>
        <v>548.96387316130563</v>
      </c>
      <c r="FI100" s="59">
        <f t="shared" si="77"/>
        <v>831.93249866133033</v>
      </c>
      <c r="FJ100" s="59">
        <f ca="1">AVERAGE(OFFSET($FI$3,0,0,'Données projet'!$E$16+1,1))-AVERAGE(OFFSET($H$3,0,0,'Données projet'!$E$16+1,1))</f>
        <v>368.12945163484585</v>
      </c>
      <c r="FK100" s="59">
        <f t="shared" si="102"/>
        <v>357.27183934545121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37.96974633673252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37.96974633673252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67.173261500006731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67.173261500006731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3.0869565217391299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11.318840579710143</v>
      </c>
      <c r="H101" s="66">
        <f t="shared" si="56"/>
        <v>211.39130434782609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67.222299093341093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8.5349999999999966</v>
      </c>
      <c r="N101" s="13">
        <f>IF('Données projet'!$A$36&gt;35,N100+M101-V100,IF(A101&lt;'Données projet'!$A$36,$K$205^A101,IF(A101='Données projet'!$A$36,'Données projet'!$B$36,N100+M101-V100)))</f>
        <v>330.82499999999914</v>
      </c>
      <c r="O101" s="13">
        <f>N101*VLOOKUP('Données projet'!$B$9,Paramètres!$A$1:$I$89,3,0)*VLOOKUP('Données projet'!$B$9,Paramètres!$A$1:$I$89,5,0)</f>
        <v>154.8260999999996</v>
      </c>
      <c r="P101" s="13">
        <f t="shared" si="87"/>
        <v>39.673304651126898</v>
      </c>
      <c r="Q101" s="20">
        <f t="shared" si="107"/>
        <v>338.75312976737865</v>
      </c>
      <c r="R101" s="59">
        <f t="shared" si="55"/>
        <v>621.90155977629593</v>
      </c>
      <c r="S101" s="59">
        <f ca="1">AVERAGE(OFFSET($R$3,0,0,'Données projet'!$E$9+1,1))-AVERAGE(OFFSET($H$3,0,0,'Données projet'!$E$9+1,1))</f>
        <v>320.30433416149219</v>
      </c>
      <c r="T101" s="59">
        <f t="shared" si="88"/>
        <v>201.33422682092797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174.75398690606653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174.75398690606653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67.222299093341093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763.00000000000057</v>
      </c>
      <c r="AJ101" s="13">
        <f>AI101*VLOOKUP('Données projet'!$B$10,Paramètres!$A$1:$I$89,3,0)*VLOOKUP('Données projet'!$B$10,Paramètres!$A$1:$I$89,5,0)</f>
        <v>456.2740000000004</v>
      </c>
      <c r="AK101" s="13">
        <f t="shared" si="89"/>
        <v>103.09649786611838</v>
      </c>
      <c r="AL101" s="20">
        <f t="shared" si="58"/>
        <v>974.23695045015677</v>
      </c>
      <c r="AM101" s="59">
        <f t="shared" si="59"/>
        <v>1257.385380459074</v>
      </c>
      <c r="AN101" s="59">
        <f ca="1">AVERAGE(OFFSET($AM$3,0,0,'Données projet'!$E$10+1,1))-AVERAGE(OFFSET($H$3,0,0,'Données projet'!$E$10+1,1))</f>
        <v>569.80473816957431</v>
      </c>
      <c r="AO101" s="59">
        <f t="shared" si="90"/>
        <v>495.56567790763199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74.510040504415073</v>
      </c>
      <c r="AV101" s="21">
        <f>EXP(-LN(2)/25)*AV100+(1-EXP(-LN(2)/25))/(LN(2)/25)*Calculateur!AQ101*Calculateur!AS101*VLOOKUP('Données projet'!$B$10,Paramètres!$A$1:$I$89,3,0)*0.475*44/12</f>
        <v>9.9292870963863251</v>
      </c>
      <c r="AW101" s="21">
        <f>EXP(-LN(2)/2)*AW100+(1-EXP(-LN(2)/2))/(LN(2)/2)*AQ101*AT101*VLOOKUP('Données projet'!$B$10,Paramètres!$A$1:$I$89,3,0)*0.475*44/12</f>
        <v>4.5720523863105961E-12</v>
      </c>
      <c r="AX101" s="21">
        <f t="shared" si="60"/>
        <v>84.439327600805967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67.222299093341093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-2.5006556825246661E-14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180.42749272334603</v>
      </c>
      <c r="BJ101" s="59">
        <f t="shared" si="92"/>
        <v>346.61476512497495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16.632011598403647</v>
      </c>
      <c r="BQ101" s="21">
        <f>EXP(-LN(2)/25)*BQ100+(1-EXP(-LN(2)/25))/(LN(2)/25)*Calculateur!BL101*Calculateur!BN101*VLOOKUP('Données projet'!$B$11,Paramètres!$A$1:$I$89,3,0)*0.475*44/12</f>
        <v>2.5140541219440946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19.146065720347742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67.222299093341093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9.9470000000000027</v>
      </c>
      <c r="BY101" s="12">
        <f>IF('Données projet'!$A$114&gt;35,BY100+BX101-CG100,IF(A101&lt;'Données projet'!$A$114,$BV$205^A101,IF(A101='Données projet'!$A$114,'Données projet'!$B$114,BY100+BX101-CG100)))</f>
        <v>454.85300000000018</v>
      </c>
      <c r="BZ101" s="13">
        <f>BY101*VLOOKUP('Données projet'!$B$12,Paramètres!$A$1:$I$89,3,0)*VLOOKUP('Données projet'!$B$12,Paramètres!$A$1:$I$89,5,0)</f>
        <v>411.55099440000015</v>
      </c>
      <c r="CA101" s="13">
        <f t="shared" si="93"/>
        <v>94.11455795809178</v>
      </c>
      <c r="CB101" s="20">
        <f t="shared" si="64"/>
        <v>880.70083702367674</v>
      </c>
      <c r="CC101" s="59">
        <f t="shared" si="65"/>
        <v>1163.8492670325941</v>
      </c>
      <c r="CD101" s="59">
        <f ca="1">AVERAGE(OFFSET($CC$3,0,0,'Données projet'!$E$12+1,1))-AVERAGE(OFFSET($H$3,0,0,'Données projet'!$E$12+1,1))</f>
        <v>553.16421218123958</v>
      </c>
      <c r="CE101" s="59">
        <f t="shared" si="94"/>
        <v>291.73668613844416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101.57233414909585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101.57233414909585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67.222299093341093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9.9470000000000027</v>
      </c>
      <c r="CT101" s="12">
        <f>IF('Données projet'!$A$140&gt;35,CT100+CS101-DB100,IF(A101&lt;'Données projet'!$A$140,$CQ$205^A101,IF(A101='Données projet'!$A$140,'Données projet'!$B$140,CT100+CS101-DB100)))</f>
        <v>454.85300000000018</v>
      </c>
      <c r="CU101" s="17">
        <f>CT101*VLOOKUP('Données projet'!$B$13,Paramètres!$A$1:$I$89,3,0)*VLOOKUP('Données projet'!$B$13,Paramètres!$A$1:$I$89,5,0)</f>
        <v>461.22094200000021</v>
      </c>
      <c r="CV101" s="13">
        <f t="shared" si="95"/>
        <v>104.08354453540181</v>
      </c>
      <c r="CW101" s="20">
        <f t="shared" si="67"/>
        <v>984.57198071582513</v>
      </c>
      <c r="CX101" s="59">
        <f t="shared" si="68"/>
        <v>1267.7204107247426</v>
      </c>
      <c r="CY101" s="59">
        <f ca="1">AVERAGE(OFFSET($CX$3,0,0,'Données projet'!$E$13+1,1))-AVERAGE(OFFSET($H$3,0,0,'Données projet'!$E$13+1,1))</f>
        <v>611.82989382187804</v>
      </c>
      <c r="CZ101" s="59">
        <f t="shared" si="96"/>
        <v>320.34124600136363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113.83106413260745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113.83106413260745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67.222299093341093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9.9470000000000027</v>
      </c>
      <c r="DO101" s="12">
        <f>IF('Données projet'!$A$166&gt;35,DO100+DN101-DW100,IF(A101&lt;'Données projet'!$A$166,$DL$205^A101,IF(A101='Données projet'!$A$166,'Données projet'!$B$166,DO100+DN101-DW100)))</f>
        <v>454.85300000000018</v>
      </c>
      <c r="DP101" s="17">
        <f>DO101*VLOOKUP('Données projet'!$B$14,Paramètres!$A$1:$I$89,3,0)*VLOOKUP('Données projet'!$B$14,Paramètres!$A$1:$I$89,5,0)</f>
        <v>489.60376920000016</v>
      </c>
      <c r="DQ101" s="13">
        <f t="shared" si="97"/>
        <v>109.72330692413685</v>
      </c>
      <c r="DR101" s="20">
        <f t="shared" si="70"/>
        <v>1043.8279909162054</v>
      </c>
      <c r="DS101" s="59">
        <f t="shared" si="71"/>
        <v>1326.9764209251227</v>
      </c>
      <c r="DT101" s="59">
        <f ca="1">AVERAGE(OFFSET($DS$3,0,0,'Données projet'!$E$14+1,1))-AVERAGE(OFFSET($H$3,0,0,'Données projet'!$E$14+1,1))</f>
        <v>645.29541304800614</v>
      </c>
      <c r="DU101" s="59">
        <f t="shared" si="98"/>
        <v>336.65580771733323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120.83605269461397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120.83605269461397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67.222299093341093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319</v>
      </c>
      <c r="EK101" s="17">
        <f>EJ101*VLOOKUP('Données projet'!$B$15,Paramètres!$A$1:$I$89,3,0)*VLOOKUP('Données projet'!$B$15,Paramètres!$A$1:$I$89,5,0)</f>
        <v>233.89079999999998</v>
      </c>
      <c r="EL101" s="13">
        <f t="shared" si="99"/>
        <v>57.123140349023068</v>
      </c>
      <c r="EM101" s="20">
        <f t="shared" si="73"/>
        <v>506.84927944121517</v>
      </c>
      <c r="EN101" s="59">
        <f t="shared" si="74"/>
        <v>789.99770945013256</v>
      </c>
      <c r="EO101" s="59">
        <f ca="1">AVERAGE(OFFSET($EN$3,0,0,'Données projet'!$E$15+1,1))-AVERAGE(OFFSET($H$3,0,0,'Données projet'!$E$15+1,1))</f>
        <v>343.31122043016137</v>
      </c>
      <c r="EP101" s="59">
        <f t="shared" si="100"/>
        <v>333.61098411258877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27.832813310703738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27.832813310703738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67.222299093341093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319</v>
      </c>
      <c r="FF101" s="17">
        <f>FE101*VLOOKUP('Données projet'!$B$16,Paramètres!$A$1:$I$89,3,0)*VLOOKUP('Données projet'!$B$16,Paramètres!$A$1:$I$89,5,0)</f>
        <v>253.79640000000001</v>
      </c>
      <c r="FG101" s="13">
        <f t="shared" si="101"/>
        <v>61.39816832228076</v>
      </c>
      <c r="FH101" s="20">
        <f t="shared" si="76"/>
        <v>548.96387316130563</v>
      </c>
      <c r="FI101" s="59">
        <f t="shared" si="77"/>
        <v>832.11230317022296</v>
      </c>
      <c r="FJ101" s="59">
        <f ca="1">AVERAGE(OFFSET($FI$3,0,0,'Données projet'!$E$16+1,1))-AVERAGE(OFFSET($H$3,0,0,'Données projet'!$E$16+1,1))</f>
        <v>368.12945163484585</v>
      </c>
      <c r="FK101" s="59">
        <f t="shared" si="102"/>
        <v>357.27183934545121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37.22518277032767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37.22518277032767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67.222299093341093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67.222299093341093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3.0869565217391299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11.318840579710143</v>
      </c>
      <c r="H102" s="66">
        <f t="shared" si="56"/>
        <v>211.39130434782609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67.27048599406271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8.5349999999999966</v>
      </c>
      <c r="N102" s="13">
        <f>IF('Données projet'!$A$36&gt;35,N101+M102-V101,IF(A102&lt;'Données projet'!$A$36,$K$205^A102,IF(A102='Données projet'!$A$36,'Données projet'!$B$36,N101+M102-V101)))</f>
        <v>339.3599999999991</v>
      </c>
      <c r="O102" s="13">
        <f>N102*VLOOKUP('Données projet'!$B$9,Paramètres!$A$1:$I$89,3,0)*VLOOKUP('Données projet'!$B$9,Paramètres!$A$1:$I$89,5,0)</f>
        <v>158.82047999999958</v>
      </c>
      <c r="P102" s="13">
        <f t="shared" si="87"/>
        <v>40.576356917593031</v>
      </c>
      <c r="Q102" s="20">
        <f t="shared" si="107"/>
        <v>347.28282429814044</v>
      </c>
      <c r="R102" s="59">
        <f t="shared" si="55"/>
        <v>630.60793960970364</v>
      </c>
      <c r="S102" s="59">
        <f ca="1">AVERAGE(OFFSET($R$3,0,0,'Données projet'!$E$9+1,1))-AVERAGE(OFFSET($H$3,0,0,'Données projet'!$E$9+1,1))</f>
        <v>320.30433416149219</v>
      </c>
      <c r="T102" s="59">
        <f t="shared" si="88"/>
        <v>201.33422682092797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171.32716781224576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171.32716781224576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67.27048599406271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763.00000000000057</v>
      </c>
      <c r="AJ102" s="13">
        <f>AI102*VLOOKUP('Données projet'!$B$10,Paramètres!$A$1:$I$89,3,0)*VLOOKUP('Données projet'!$B$10,Paramètres!$A$1:$I$89,5,0)</f>
        <v>456.2740000000004</v>
      </c>
      <c r="AK102" s="13">
        <f t="shared" si="89"/>
        <v>103.09649786611838</v>
      </c>
      <c r="AL102" s="20">
        <f t="shared" si="58"/>
        <v>974.23695045015677</v>
      </c>
      <c r="AM102" s="59">
        <f t="shared" si="59"/>
        <v>1257.5620657617201</v>
      </c>
      <c r="AN102" s="59">
        <f ca="1">AVERAGE(OFFSET($AM$3,0,0,'Données projet'!$E$10+1,1))-AVERAGE(OFFSET($H$3,0,0,'Données projet'!$E$10+1,1))</f>
        <v>569.80473816957431</v>
      </c>
      <c r="AO102" s="59">
        <f t="shared" si="90"/>
        <v>495.56567790763199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73.048944056760718</v>
      </c>
      <c r="AV102" s="21">
        <f>EXP(-LN(2)/25)*AV101+(1-EXP(-LN(2)/25))/(LN(2)/25)*Calculateur!AQ102*Calculateur!AS102*VLOOKUP('Données projet'!$B$10,Paramètres!$A$1:$I$89,3,0)*0.475*44/12</f>
        <v>9.6577702185771255</v>
      </c>
      <c r="AW102" s="21">
        <f>EXP(-LN(2)/2)*AW101+(1-EXP(-LN(2)/2))/(LN(2)/2)*AQ102*AT102*VLOOKUP('Données projet'!$B$10,Paramètres!$A$1:$I$89,3,0)*0.475*44/12</f>
        <v>3.2329292463003592E-12</v>
      </c>
      <c r="AX102" s="21">
        <f t="shared" si="60"/>
        <v>82.706714275341071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67.27048599406271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-2.5006556825246661E-14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180.42749272334603</v>
      </c>
      <c r="BJ102" s="59">
        <f t="shared" si="92"/>
        <v>346.61476512497495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16.305867995484338</v>
      </c>
      <c r="BQ102" s="21">
        <f>EXP(-LN(2)/25)*BQ101+(1-EXP(-LN(2)/25))/(LN(2)/25)*Calculateur!BL102*Calculateur!BN102*VLOOKUP('Données projet'!$B$11,Paramètres!$A$1:$I$89,3,0)*0.475*44/12</f>
        <v>2.4453071797711732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18.751175175255511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67.27048599406271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464.8</v>
      </c>
      <c r="BW102" s="12">
        <f>VLOOKUP(A102,'Données projet'!$A$113:$I$133,9,0)</f>
        <v>9.9470000000000027</v>
      </c>
      <c r="BX102" s="12">
        <f t="array" ref="BX102">INDEX(BW:BW,MIN(IF(ISNUMBER(BW102:BW298),ROW(BW102:BW298),"")))</f>
        <v>9.9470000000000027</v>
      </c>
      <c r="BY102" s="12">
        <f>IF('Données projet'!$A$114&gt;35,BY101+BX102-CG101,IF(A102&lt;'Données projet'!$A$114,$BV$205^A102,IF(A102='Données projet'!$A$114,'Données projet'!$B$114,BY101+BX102-CG101)))</f>
        <v>464.80000000000018</v>
      </c>
      <c r="BZ102" s="13">
        <f>BY102*VLOOKUP('Données projet'!$B$12,Paramètres!$A$1:$I$89,3,0)*VLOOKUP('Données projet'!$B$12,Paramètres!$A$1:$I$89,5,0)</f>
        <v>420.55104000000011</v>
      </c>
      <c r="CA102" s="13">
        <f t="shared" si="93"/>
        <v>95.930846819060008</v>
      </c>
      <c r="CB102" s="20">
        <f t="shared" si="64"/>
        <v>899.53928620986301</v>
      </c>
      <c r="CC102" s="59">
        <f t="shared" si="65"/>
        <v>1182.8644015214263</v>
      </c>
      <c r="CD102" s="59">
        <f ca="1">AVERAGE(OFFSET($CC$3,0,0,'Données projet'!$E$12+1,1))-AVERAGE(OFFSET($H$3,0,0,'Données projet'!$E$12+1,1))</f>
        <v>553.16421218123958</v>
      </c>
      <c r="CE102" s="59">
        <f t="shared" si="94"/>
        <v>291.73668613844416</v>
      </c>
      <c r="CF102" s="15">
        <f>IF(ISNA(VLOOKUP(A102,'Données projet'!$A$113:$I$133,3,0)),0,VLOOKUP(A102,'Données projet'!$A$113:$I$133,3,0))</f>
        <v>9</v>
      </c>
      <c r="CG102" s="15">
        <f>IF(ISNA(VLOOKUP(A102,'Données projet'!$A$113:$I$133,4,0)),0,VLOOKUP(A102,'Données projet'!$A$113:$I$133,4,0))</f>
        <v>62.94</v>
      </c>
      <c r="CH102" s="16">
        <f>IF(ISNA(VLOOKUP(A102,'Données projet'!$A$113:$I$133,5,0)),0%,VLOOKUP(A102,'Données projet'!$A$113:$I$133,5,0)*VLOOKUP('Données projet'!$B$12,Paramètres!$A$1:$I$89,7,0))</f>
        <v>0.43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126.65097655355829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126.65097655355829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67.27048599406271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>
        <f>VLOOKUP(A102,'Données projet'!$A$139:$I$159,2,0)</f>
        <v>464.8</v>
      </c>
      <c r="CR102" s="12">
        <f>VLOOKUP(A102,'Données projet'!$A$139:$I$159,9,0)</f>
        <v>9.9470000000000027</v>
      </c>
      <c r="CS102" s="12">
        <f t="array" ref="CS102">INDEX(CR:CR,MIN(IF(ISNUMBER(CR102:CR298),ROW(CR102:CR298),"")))</f>
        <v>9.9470000000000027</v>
      </c>
      <c r="CT102" s="12">
        <f>IF('Données projet'!$A$140&gt;35,CT101+CS102-DB101,IF(A102&lt;'Données projet'!$A$140,$CQ$205^A102,IF(A102='Données projet'!$A$140,'Données projet'!$B$140,CT101+CS102-DB101)))</f>
        <v>464.80000000000018</v>
      </c>
      <c r="CU102" s="17">
        <f>CT102*VLOOKUP('Données projet'!$B$13,Paramètres!$A$1:$I$89,3,0)*VLOOKUP('Données projet'!$B$13,Paramètres!$A$1:$I$89,5,0)</f>
        <v>471.30720000000019</v>
      </c>
      <c r="CV102" s="13">
        <f t="shared" si="95"/>
        <v>106.0922219031893</v>
      </c>
      <c r="CW102" s="20">
        <f t="shared" si="67"/>
        <v>1005.6373264813883</v>
      </c>
      <c r="CX102" s="59">
        <f t="shared" si="68"/>
        <v>1288.9624417929515</v>
      </c>
      <c r="CY102" s="59">
        <f ca="1">AVERAGE(OFFSET($CX$3,0,0,'Données projet'!$E$13+1,1))-AVERAGE(OFFSET($H$3,0,0,'Données projet'!$E$13+1,1))</f>
        <v>611.82989382187804</v>
      </c>
      <c r="CZ102" s="59">
        <f t="shared" si="96"/>
        <v>320.34124600136363</v>
      </c>
      <c r="DA102" s="15">
        <f>IF(ISNA(VLOOKUP(A102,'Données projet'!$A$139:$I$159,3,0)),0,VLOOKUP(A102,'Données projet'!$A$139:$I$159,3,0))</f>
        <v>9</v>
      </c>
      <c r="DB102" s="15">
        <f>IF(ISNA(VLOOKUP(A102,'Données projet'!$A$139:$I$159,4,0)),0,VLOOKUP(A102,'Données projet'!$A$139:$I$159,4,0))</f>
        <v>62.94</v>
      </c>
      <c r="DC102" s="16">
        <f>IF(ISNA(VLOOKUP(A102,'Données projet'!$A$139:$I$159,5,0)),0%,VLOOKUP(A102,'Données projet'!$A$139:$I$159,5,0)*VLOOKUP('Données projet'!$B$13,Paramètres!$A$1:$I$89,7,0))</f>
        <v>0.43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141.93643924105675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141.93643924105675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67.27048599406271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>
        <f>VLOOKUP(A102,'Données projet'!$A$165:$I$185,2,0)</f>
        <v>464.8</v>
      </c>
      <c r="DM102" s="12">
        <f>VLOOKUP(A102,'Données projet'!$A$165:$I$185,9,0)</f>
        <v>9.9470000000000027</v>
      </c>
      <c r="DN102" s="12">
        <f t="array" ref="DN102">INDEX(DM:DM,MIN(IF(ISNUMBER(DM102:DM298),ROW(DM102:DM298),"")))</f>
        <v>9.9470000000000027</v>
      </c>
      <c r="DO102" s="12">
        <f>IF('Données projet'!$A$166&gt;35,DO101+DN102-DW101,IF(A102&lt;'Données projet'!$A$166,$DL$205^A102,IF(A102='Données projet'!$A$166,'Données projet'!$B$166,DO101+DN102-DW101)))</f>
        <v>464.80000000000018</v>
      </c>
      <c r="DP102" s="17">
        <f>DO102*VLOOKUP('Données projet'!$B$14,Paramètres!$A$1:$I$89,3,0)*VLOOKUP('Données projet'!$B$14,Paramètres!$A$1:$I$89,5,0)</f>
        <v>500.31072000000017</v>
      </c>
      <c r="DQ102" s="13">
        <f t="shared" si="97"/>
        <v>111.84082438879571</v>
      </c>
      <c r="DR102" s="20">
        <f t="shared" si="70"/>
        <v>1066.163939810486</v>
      </c>
      <c r="DS102" s="59">
        <f t="shared" si="71"/>
        <v>1349.4890551220492</v>
      </c>
      <c r="DT102" s="59">
        <f ca="1">AVERAGE(OFFSET($DS$3,0,0,'Données projet'!$E$14+1,1))-AVERAGE(OFFSET($H$3,0,0,'Données projet'!$E$14+1,1))</f>
        <v>645.29541304800614</v>
      </c>
      <c r="DU102" s="59">
        <f t="shared" si="98"/>
        <v>336.65580771733323</v>
      </c>
      <c r="DV102" s="15">
        <f>IF(ISNA(VLOOKUP(A102,'Données projet'!$A$165:$I$185,3,0)),0,VLOOKUP(A102,'Données projet'!$A$165:$I$185,3,0))</f>
        <v>9</v>
      </c>
      <c r="DW102" s="15">
        <f>IF(ISNA(VLOOKUP(A102,'Données projet'!$A$165:$I$185,4,0)),0,VLOOKUP(A102,'Données projet'!$A$165:$I$185,4,0))</f>
        <v>62.94</v>
      </c>
      <c r="DX102" s="16">
        <f>IF(ISNA(VLOOKUP(A102,'Données projet'!$A$165:$I$185,5,0)),0%,VLOOKUP(A102,'Données projet'!$A$165:$I$185,5,0)*VLOOKUP('Données projet'!$B$14,Paramètres!$A$1:$I$89,7,0))</f>
        <v>0.43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150.67098934819859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150.67098934819859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67.27048599406271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319</v>
      </c>
      <c r="EK102" s="17">
        <f>EJ102*VLOOKUP('Données projet'!$B$15,Paramètres!$A$1:$I$89,3,0)*VLOOKUP('Données projet'!$B$15,Paramètres!$A$1:$I$89,5,0)</f>
        <v>233.89079999999998</v>
      </c>
      <c r="EL102" s="13">
        <f t="shared" si="99"/>
        <v>57.123140349023068</v>
      </c>
      <c r="EM102" s="20">
        <f t="shared" si="73"/>
        <v>506.84927944121517</v>
      </c>
      <c r="EN102" s="59">
        <f t="shared" si="74"/>
        <v>790.17439475277843</v>
      </c>
      <c r="EO102" s="59">
        <f ca="1">AVERAGE(OFFSET($EN$3,0,0,'Données projet'!$E$15+1,1))-AVERAGE(OFFSET($H$3,0,0,'Données projet'!$E$15+1,1))</f>
        <v>343.31122043016137</v>
      </c>
      <c r="EP102" s="59">
        <f t="shared" si="100"/>
        <v>333.61098411258877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27.287028818020683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27.287028818020683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67.27048599406271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319</v>
      </c>
      <c r="FF102" s="17">
        <f>FE102*VLOOKUP('Données projet'!$B$16,Paramètres!$A$1:$I$89,3,0)*VLOOKUP('Données projet'!$B$16,Paramètres!$A$1:$I$89,5,0)</f>
        <v>253.79640000000001</v>
      </c>
      <c r="FG102" s="13">
        <f t="shared" si="101"/>
        <v>61.39816832228076</v>
      </c>
      <c r="FH102" s="20">
        <f t="shared" si="76"/>
        <v>548.96387316130563</v>
      </c>
      <c r="FI102" s="59">
        <f t="shared" si="77"/>
        <v>832.28898847286882</v>
      </c>
      <c r="FJ102" s="59">
        <f ca="1">AVERAGE(OFFSET($FI$3,0,0,'Données projet'!$E$16+1,1))-AVERAGE(OFFSET($H$3,0,0,'Données projet'!$E$16+1,1))</f>
        <v>368.12945163484585</v>
      </c>
      <c r="FK102" s="59">
        <f t="shared" si="102"/>
        <v>357.27183934545121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36.495219641321093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36.495219641321093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67.27048599406271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67.27048599406271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3.0869565217391299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11.318840579710143</v>
      </c>
      <c r="H103" s="66">
        <f t="shared" si="56"/>
        <v>211.39130434782609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67.317836959786604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8.5349999999999966</v>
      </c>
      <c r="N103" s="13">
        <f>IF('Données projet'!$A$36&gt;35,N102+M103-V102,IF(A103&lt;'Données projet'!$A$36,$K$205^A103,IF(A103='Données projet'!$A$36,'Données projet'!$B$36,N102+M103-V102)))</f>
        <v>347.89499999999907</v>
      </c>
      <c r="O103" s="13">
        <f>N103*VLOOKUP('Données projet'!$B$9,Paramètres!$A$1:$I$89,3,0)*VLOOKUP('Données projet'!$B$9,Paramètres!$A$1:$I$89,5,0)</f>
        <v>162.81485999999956</v>
      </c>
      <c r="P103" s="13">
        <f t="shared" si="87"/>
        <v>41.476769076697764</v>
      </c>
      <c r="Q103" s="20">
        <f t="shared" si="107"/>
        <v>355.80792064191445</v>
      </c>
      <c r="R103" s="59">
        <f t="shared" si="55"/>
        <v>639.30665616113197</v>
      </c>
      <c r="S103" s="59">
        <f ca="1">AVERAGE(OFFSET($R$3,0,0,'Données projet'!$E$9+1,1))-AVERAGE(OFFSET($H$3,0,0,'Données projet'!$E$9+1,1))</f>
        <v>320.30433416149219</v>
      </c>
      <c r="T103" s="59">
        <f t="shared" si="88"/>
        <v>201.33422682092797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167.96754655070154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167.96754655070154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67.317836959786604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763.00000000000057</v>
      </c>
      <c r="AJ103" s="13">
        <f>AI103*VLOOKUP('Données projet'!$B$10,Paramètres!$A$1:$I$89,3,0)*VLOOKUP('Données projet'!$B$10,Paramètres!$A$1:$I$89,5,0)</f>
        <v>456.2740000000004</v>
      </c>
      <c r="AK103" s="13">
        <f t="shared" si="89"/>
        <v>103.09649786611838</v>
      </c>
      <c r="AL103" s="20">
        <f t="shared" si="58"/>
        <v>974.23695045015677</v>
      </c>
      <c r="AM103" s="59">
        <f t="shared" si="59"/>
        <v>1257.7356859693743</v>
      </c>
      <c r="AN103" s="59">
        <f ca="1">AVERAGE(OFFSET($AM$3,0,0,'Données projet'!$E$10+1,1))-AVERAGE(OFFSET($H$3,0,0,'Données projet'!$E$10+1,1))</f>
        <v>569.80473816957431</v>
      </c>
      <c r="AO103" s="59">
        <f t="shared" si="90"/>
        <v>495.56567790763199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71.616498819264024</v>
      </c>
      <c r="AV103" s="21">
        <f>EXP(-LN(2)/25)*AV102+(1-EXP(-LN(2)/25))/(LN(2)/25)*Calculateur!AQ103*Calculateur!AS103*VLOOKUP('Données projet'!$B$10,Paramètres!$A$1:$I$89,3,0)*0.475*44/12</f>
        <v>9.3936779840700719</v>
      </c>
      <c r="AW103" s="21">
        <f>EXP(-LN(2)/2)*AW102+(1-EXP(-LN(2)/2))/(LN(2)/2)*AQ103*AT103*VLOOKUP('Données projet'!$B$10,Paramètres!$A$1:$I$89,3,0)*0.475*44/12</f>
        <v>2.2860261931552981E-12</v>
      </c>
      <c r="AX103" s="21">
        <f t="shared" si="60"/>
        <v>81.010176803336378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67.317836959786604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-2.5006556825246661E-14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180.42749272334603</v>
      </c>
      <c r="BJ103" s="59">
        <f t="shared" si="92"/>
        <v>346.61476512497495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15.98611986969032</v>
      </c>
      <c r="BQ103" s="21">
        <f>EXP(-LN(2)/25)*BQ102+(1-EXP(-LN(2)/25))/(LN(2)/25)*Calculateur!BL103*Calculateur!BN103*VLOOKUP('Données projet'!$B$11,Paramètres!$A$1:$I$89,3,0)*0.475*44/12</f>
        <v>2.3784401263472148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18.364559996037535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67.317836959786604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9.7110000000000021</v>
      </c>
      <c r="BY103" s="12">
        <f>IF('Données projet'!$A$114&gt;35,BY102+BX103-CG102,IF(A103&lt;'Données projet'!$A$114,$BV$205^A103,IF(A103='Données projet'!$A$114,'Données projet'!$B$114,BY102+BX103-CG102)))</f>
        <v>411.5710000000002</v>
      </c>
      <c r="BZ103" s="13">
        <f>BY103*VLOOKUP('Données projet'!$B$12,Paramètres!$A$1:$I$89,3,0)*VLOOKUP('Données projet'!$B$12,Paramètres!$A$1:$I$89,5,0)</f>
        <v>372.38944080000016</v>
      </c>
      <c r="CA103" s="13">
        <f t="shared" si="93"/>
        <v>86.155960872174546</v>
      </c>
      <c r="CB103" s="20">
        <f t="shared" si="64"/>
        <v>798.6332412457042</v>
      </c>
      <c r="CC103" s="59">
        <f t="shared" si="65"/>
        <v>1082.1319767649218</v>
      </c>
      <c r="CD103" s="59">
        <f ca="1">AVERAGE(OFFSET($CC$3,0,0,'Données projet'!$E$12+1,1))-AVERAGE(OFFSET($H$3,0,0,'Données projet'!$E$12+1,1))</f>
        <v>553.16421218123958</v>
      </c>
      <c r="CE103" s="59">
        <f t="shared" si="94"/>
        <v>291.73668613844416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124.16742815281096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124.16742815281096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67.317836959786604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9.7110000000000021</v>
      </c>
      <c r="CT103" s="12">
        <f>IF('Données projet'!$A$140&gt;35,CT102+CS103-DB102,IF(A103&lt;'Données projet'!$A$140,$CQ$205^A103,IF(A103='Données projet'!$A$140,'Données projet'!$B$140,CT102+CS103-DB102)))</f>
        <v>411.5710000000002</v>
      </c>
      <c r="CU103" s="17">
        <f>CT103*VLOOKUP('Données projet'!$B$13,Paramètres!$A$1:$I$89,3,0)*VLOOKUP('Données projet'!$B$13,Paramètres!$A$1:$I$89,5,0)</f>
        <v>417.33299400000027</v>
      </c>
      <c r="CV103" s="13">
        <f t="shared" si="95"/>
        <v>95.281941338155363</v>
      </c>
      <c r="CW103" s="20">
        <f t="shared" si="67"/>
        <v>892.80434571395438</v>
      </c>
      <c r="CX103" s="59">
        <f t="shared" si="68"/>
        <v>1176.303081233172</v>
      </c>
      <c r="CY103" s="59">
        <f ca="1">AVERAGE(OFFSET($CX$3,0,0,'Données projet'!$E$13+1,1))-AVERAGE(OFFSET($H$3,0,0,'Données projet'!$E$13+1,1))</f>
        <v>611.82989382187804</v>
      </c>
      <c r="CZ103" s="59">
        <f t="shared" si="96"/>
        <v>320.34124600136363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139.15315224021921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139.15315224021921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67.317836959786604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9.7110000000000021</v>
      </c>
      <c r="DO103" s="12">
        <f>IF('Données projet'!$A$166&gt;35,DO102+DN103-DW102,IF(A103&lt;'Données projet'!$A$166,$DL$205^A103,IF(A103='Données projet'!$A$166,'Données projet'!$B$166,DO102+DN103-DW102)))</f>
        <v>411.5710000000002</v>
      </c>
      <c r="DP103" s="17">
        <f>DO103*VLOOKUP('Données projet'!$B$14,Paramètres!$A$1:$I$89,3,0)*VLOOKUP('Données projet'!$B$14,Paramètres!$A$1:$I$89,5,0)</f>
        <v>443.01502440000019</v>
      </c>
      <c r="DQ103" s="13">
        <f t="shared" si="97"/>
        <v>100.44478923580552</v>
      </c>
      <c r="DR103" s="20">
        <f t="shared" si="70"/>
        <v>946.52584208236158</v>
      </c>
      <c r="DS103" s="59">
        <f t="shared" si="71"/>
        <v>1230.024577601579</v>
      </c>
      <c r="DT103" s="59">
        <f ca="1">AVERAGE(OFFSET($DS$3,0,0,'Données projet'!$E$14+1,1))-AVERAGE(OFFSET($H$3,0,0,'Données projet'!$E$14+1,1))</f>
        <v>645.29541304800614</v>
      </c>
      <c r="DU103" s="59">
        <f t="shared" si="98"/>
        <v>336.65580771733323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147.71642314730951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147.71642314730951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67.317836959786604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319</v>
      </c>
      <c r="EK103" s="17">
        <f>EJ103*VLOOKUP('Données projet'!$B$15,Paramètres!$A$1:$I$89,3,0)*VLOOKUP('Données projet'!$B$15,Paramètres!$A$1:$I$89,5,0)</f>
        <v>233.89079999999998</v>
      </c>
      <c r="EL103" s="13">
        <f t="shared" si="99"/>
        <v>57.123140349023068</v>
      </c>
      <c r="EM103" s="20">
        <f t="shared" si="73"/>
        <v>506.84927944121517</v>
      </c>
      <c r="EN103" s="59">
        <f t="shared" si="74"/>
        <v>790.34801496043269</v>
      </c>
      <c r="EO103" s="59">
        <f ca="1">AVERAGE(OFFSET($EN$3,0,0,'Données projet'!$E$15+1,1))-AVERAGE(OFFSET($H$3,0,0,'Données projet'!$E$15+1,1))</f>
        <v>343.31122043016137</v>
      </c>
      <c r="EP103" s="59">
        <f t="shared" si="100"/>
        <v>333.61098411258877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26.751946826343474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26.751946826343474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67.317836959786604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319</v>
      </c>
      <c r="FF103" s="17">
        <f>FE103*VLOOKUP('Données projet'!$B$16,Paramètres!$A$1:$I$89,3,0)*VLOOKUP('Données projet'!$B$16,Paramètres!$A$1:$I$89,5,0)</f>
        <v>253.79640000000001</v>
      </c>
      <c r="FG103" s="13">
        <f t="shared" si="101"/>
        <v>61.39816832228076</v>
      </c>
      <c r="FH103" s="20">
        <f t="shared" si="76"/>
        <v>548.96387316130563</v>
      </c>
      <c r="FI103" s="59">
        <f t="shared" si="77"/>
        <v>832.46260868052309</v>
      </c>
      <c r="FJ103" s="59">
        <f ca="1">AVERAGE(OFFSET($FI$3,0,0,'Données projet'!$E$16+1,1))-AVERAGE(OFFSET($H$3,0,0,'Données projet'!$E$16+1,1))</f>
        <v>368.12945163484585</v>
      </c>
      <c r="FK103" s="59">
        <f t="shared" si="102"/>
        <v>357.27183934545121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35.779570644040788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35.779570644040788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67.317836959786604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67.317836959786604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3.0869565217391299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11.318840579710143</v>
      </c>
      <c r="H104" s="66">
        <f t="shared" si="56"/>
        <v>211.39130434782609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67.364366492116062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>
        <f>VLOOKUP(A104,'Données projet'!$A$35:$I$55,2,0)</f>
        <v>356.43</v>
      </c>
      <c r="L104" s="12">
        <f>VLOOKUP(A104,'Données projet'!$A$35:$I$55,9,0)</f>
        <v>8.5349999999999966</v>
      </c>
      <c r="M104" s="12">
        <f t="array" ref="M104">INDEX(L:L,MIN(IF(ISNUMBER(L104:L300),ROW(L104:L300),"")))</f>
        <v>8.5349999999999966</v>
      </c>
      <c r="N104" s="13">
        <f>IF('Données projet'!$A$36&gt;35,N103+M104-V103,IF(A104&lt;'Données projet'!$A$36,$K$205^A104,IF(A104='Données projet'!$A$36,'Données projet'!$B$36,N103+M104-V103)))</f>
        <v>356.42999999999904</v>
      </c>
      <c r="O104" s="13">
        <f>N104*VLOOKUP('Données projet'!$B$9,Paramètres!$A$1:$I$89,3,0)*VLOOKUP('Données projet'!$B$9,Paramètres!$A$1:$I$89,5,0)</f>
        <v>166.80923999999956</v>
      </c>
      <c r="P104" s="13">
        <f t="shared" si="87"/>
        <v>42.374613349678434</v>
      </c>
      <c r="Q104" s="20">
        <f t="shared" si="107"/>
        <v>364.3285445840225</v>
      </c>
      <c r="R104" s="59">
        <f t="shared" si="55"/>
        <v>647.99788838844802</v>
      </c>
      <c r="S104" s="59">
        <f ca="1">AVERAGE(OFFSET($R$3,0,0,'Données projet'!$E$9+1,1))-AVERAGE(OFFSET($H$3,0,0,'Données projet'!$E$9+1,1))</f>
        <v>320.30433416149219</v>
      </c>
      <c r="T104" s="59">
        <f t="shared" si="88"/>
        <v>201.33422682092797</v>
      </c>
      <c r="U104" s="15">
        <f>IF(ISNA(VLOOKUP(A104,'Données projet'!$A$35:$I$55,3,0)),0,VLOOKUP(A104,'Données projet'!$A$35:$I$55,3,0))</f>
        <v>8</v>
      </c>
      <c r="V104" s="15">
        <f>IF(ISNA(VLOOKUP(A104,'Données projet'!$A$35:$I$55,4,0)),0,VLOOKUP(A104,'Données projet'!$A$35:$I$55,4,0))</f>
        <v>351.18</v>
      </c>
      <c r="W104" s="16">
        <f>IF(ISNA(VLOOKUP(A104,'Données projet'!$A$35:$I$55,5,0)),0%,VLOOKUP(A104,'Données projet'!$A$35:$I$55,5,0)*VLOOKUP('Données projet'!$B$9,Paramètres!$A$1:$I$89,7,0))</f>
        <v>0.55000000000000004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284.58691727865732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284.58691727865732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67.364366492116062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763.00000000000057</v>
      </c>
      <c r="AJ104" s="13">
        <f>AI104*VLOOKUP('Données projet'!$B$10,Paramètres!$A$1:$I$89,3,0)*VLOOKUP('Données projet'!$B$10,Paramètres!$A$1:$I$89,5,0)</f>
        <v>456.2740000000004</v>
      </c>
      <c r="AK104" s="13">
        <f t="shared" si="89"/>
        <v>103.09649786611838</v>
      </c>
      <c r="AL104" s="20">
        <f t="shared" si="58"/>
        <v>974.23695045015677</v>
      </c>
      <c r="AM104" s="59">
        <f t="shared" si="59"/>
        <v>1257.9062942545825</v>
      </c>
      <c r="AN104" s="59">
        <f ca="1">AVERAGE(OFFSET($AM$3,0,0,'Données projet'!$E$10+1,1))-AVERAGE(OFFSET($H$3,0,0,'Données projet'!$E$10+1,1))</f>
        <v>569.80473816957431</v>
      </c>
      <c r="AO104" s="59">
        <f t="shared" si="90"/>
        <v>495.56567790763199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70.212142959169327</v>
      </c>
      <c r="AV104" s="21">
        <f>EXP(-LN(2)/25)*AV103+(1-EXP(-LN(2)/25))/(LN(2)/25)*Calculateur!AQ104*Calculateur!AS104*VLOOKUP('Données projet'!$B$10,Paramètres!$A$1:$I$89,3,0)*0.475*44/12</f>
        <v>9.1368073656036195</v>
      </c>
      <c r="AW104" s="21">
        <f>EXP(-LN(2)/2)*AW103+(1-EXP(-LN(2)/2))/(LN(2)/2)*AQ104*AT104*VLOOKUP('Données projet'!$B$10,Paramètres!$A$1:$I$89,3,0)*0.475*44/12</f>
        <v>1.6164646231501796E-12</v>
      </c>
      <c r="AX104" s="21">
        <f t="shared" si="60"/>
        <v>79.348950324774563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67.364366492116062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-2.5006556825246661E-14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180.42749272334603</v>
      </c>
      <c r="BJ104" s="59">
        <f t="shared" si="92"/>
        <v>346.61476512497495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15.672641809616024</v>
      </c>
      <c r="BQ104" s="21">
        <f>EXP(-LN(2)/25)*BQ103+(1-EXP(-LN(2)/25))/(LN(2)/25)*Calculateur!BL104*Calculateur!BN104*VLOOKUP('Données projet'!$B$11,Paramètres!$A$1:$I$89,3,0)*0.475*44/12</f>
        <v>2.3134015560155201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17.986043365631545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67.364366492116062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9.7110000000000021</v>
      </c>
      <c r="BY104" s="12">
        <f>IF('Données projet'!$A$114&gt;35,BY103+BX104-CG103,IF(A104&lt;'Données projet'!$A$114,$BV$205^A104,IF(A104='Données projet'!$A$114,'Données projet'!$B$114,BY103+BX104-CG103)))</f>
        <v>421.28200000000021</v>
      </c>
      <c r="BZ104" s="13">
        <f>BY104*VLOOKUP('Données projet'!$B$12,Paramètres!$A$1:$I$89,3,0)*VLOOKUP('Données projet'!$B$12,Paramètres!$A$1:$I$89,5,0)</f>
        <v>381.17595360000018</v>
      </c>
      <c r="CA104" s="13">
        <f t="shared" si="93"/>
        <v>87.949738529484478</v>
      </c>
      <c r="CB104" s="20">
        <f t="shared" si="64"/>
        <v>817.06058045885254</v>
      </c>
      <c r="CC104" s="59">
        <f t="shared" si="65"/>
        <v>1100.729924263278</v>
      </c>
      <c r="CD104" s="59">
        <f ca="1">AVERAGE(OFFSET($CC$3,0,0,'Données projet'!$E$12+1,1))-AVERAGE(OFFSET($H$3,0,0,'Données projet'!$E$12+1,1))</f>
        <v>553.16421218123958</v>
      </c>
      <c r="CE104" s="59">
        <f t="shared" si="94"/>
        <v>291.73668613844416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121.73258062138733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121.73258062138733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67.364366492116062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9.7110000000000021</v>
      </c>
      <c r="CT104" s="12">
        <f>IF('Données projet'!$A$140&gt;35,CT103+CS104-DB103,IF(A104&lt;'Données projet'!$A$140,$CQ$205^A104,IF(A104='Données projet'!$A$140,'Données projet'!$B$140,CT103+CS104-DB103)))</f>
        <v>421.28200000000021</v>
      </c>
      <c r="CU104" s="17">
        <f>CT104*VLOOKUP('Données projet'!$B$13,Paramètres!$A$1:$I$89,3,0)*VLOOKUP('Données projet'!$B$13,Paramètres!$A$1:$I$89,5,0)</f>
        <v>427.17994800000019</v>
      </c>
      <c r="CV104" s="13">
        <f t="shared" si="95"/>
        <v>97.265723026471477</v>
      </c>
      <c r="CW104" s="20">
        <f t="shared" si="67"/>
        <v>913.40954370443831</v>
      </c>
      <c r="CX104" s="59">
        <f t="shared" si="68"/>
        <v>1197.0788875088638</v>
      </c>
      <c r="CY104" s="59">
        <f ca="1">AVERAGE(OFFSET($CX$3,0,0,'Données projet'!$E$13+1,1))-AVERAGE(OFFSET($H$3,0,0,'Données projet'!$E$13+1,1))</f>
        <v>611.82989382187804</v>
      </c>
      <c r="CZ104" s="59">
        <f t="shared" si="96"/>
        <v>320.34124600136363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136.42444379983067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136.42444379983067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67.364366492116062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9.7110000000000021</v>
      </c>
      <c r="DO104" s="12">
        <f>IF('Données projet'!$A$166&gt;35,DO103+DN104-DW103,IF(A104&lt;'Données projet'!$A$166,$DL$205^A104,IF(A104='Données projet'!$A$166,'Données projet'!$B$166,DO103+DN104-DW103)))</f>
        <v>421.28200000000021</v>
      </c>
      <c r="DP104" s="17">
        <f>DO104*VLOOKUP('Données projet'!$B$14,Paramètres!$A$1:$I$89,3,0)*VLOOKUP('Données projet'!$B$14,Paramètres!$A$1:$I$89,5,0)</f>
        <v>453.46794480000017</v>
      </c>
      <c r="DQ104" s="13">
        <f t="shared" si="97"/>
        <v>102.5360620496706</v>
      </c>
      <c r="DR104" s="20">
        <f t="shared" si="70"/>
        <v>968.37364526317651</v>
      </c>
      <c r="DS104" s="59">
        <f t="shared" si="71"/>
        <v>1252.0429890676021</v>
      </c>
      <c r="DT104" s="59">
        <f ca="1">AVERAGE(OFFSET($DS$3,0,0,'Données projet'!$E$14+1,1))-AVERAGE(OFFSET($H$3,0,0,'Données projet'!$E$14+1,1))</f>
        <v>645.29541304800614</v>
      </c>
      <c r="DU104" s="59">
        <f t="shared" si="98"/>
        <v>336.65580771733323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144.81979418751243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144.81979418751243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67.364366492116062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319</v>
      </c>
      <c r="EK104" s="17">
        <f>EJ104*VLOOKUP('Données projet'!$B$15,Paramètres!$A$1:$I$89,3,0)*VLOOKUP('Données projet'!$B$15,Paramètres!$A$1:$I$89,5,0)</f>
        <v>233.89079999999998</v>
      </c>
      <c r="EL104" s="13">
        <f t="shared" si="99"/>
        <v>57.123140349023068</v>
      </c>
      <c r="EM104" s="20">
        <f t="shared" si="73"/>
        <v>506.84927944121517</v>
      </c>
      <c r="EN104" s="59">
        <f t="shared" si="74"/>
        <v>790.51862324564081</v>
      </c>
      <c r="EO104" s="59">
        <f ca="1">AVERAGE(OFFSET($EN$3,0,0,'Données projet'!$E$15+1,1))-AVERAGE(OFFSET($H$3,0,0,'Données projet'!$E$15+1,1))</f>
        <v>343.31122043016137</v>
      </c>
      <c r="EP104" s="59">
        <f t="shared" si="100"/>
        <v>333.61098411258877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26.227357466155265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26.227357466155265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67.364366492116062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319</v>
      </c>
      <c r="FF104" s="17">
        <f>FE104*VLOOKUP('Données projet'!$B$16,Paramètres!$A$1:$I$89,3,0)*VLOOKUP('Données projet'!$B$16,Paramètres!$A$1:$I$89,5,0)</f>
        <v>253.79640000000001</v>
      </c>
      <c r="FG104" s="13">
        <f t="shared" si="101"/>
        <v>61.39816832228076</v>
      </c>
      <c r="FH104" s="20">
        <f t="shared" si="76"/>
        <v>548.96387316130563</v>
      </c>
      <c r="FI104" s="59">
        <f t="shared" si="77"/>
        <v>832.63321696573121</v>
      </c>
      <c r="FJ104" s="59">
        <f ca="1">AVERAGE(OFFSET($FI$3,0,0,'Données projet'!$E$16+1,1))-AVERAGE(OFFSET($H$3,0,0,'Données projet'!$E$16+1,1))</f>
        <v>368.12945163484585</v>
      </c>
      <c r="FK104" s="59">
        <f t="shared" si="102"/>
        <v>357.27183934545121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35.077955087094359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35.077955087094359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67.364366492116062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67.364366492116062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3.0869565217391299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11.318840579710143</v>
      </c>
      <c r="H105" s="66">
        <f t="shared" si="56"/>
        <v>211.39130434782609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67.410088841084075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5.2499999999990337</v>
      </c>
      <c r="O105" s="13">
        <f>N105*VLOOKUP('Données projet'!$B$9,Paramètres!$A$1:$I$89,3,0)*VLOOKUP('Données projet'!$B$9,Paramètres!$A$1:$I$89,5,0)</f>
        <v>2.4569999999995478</v>
      </c>
      <c r="P105" s="13">
        <f t="shared" si="87"/>
        <v>1.0197977774625564</v>
      </c>
      <c r="Q105" s="20">
        <f t="shared" si="107"/>
        <v>6.0554227957464972</v>
      </c>
      <c r="R105" s="59">
        <f t="shared" si="55"/>
        <v>289.89241521305479</v>
      </c>
      <c r="S105" s="59">
        <f ca="1">AVERAGE(OFFSET($R$3,0,0,'Données projet'!$E$9+1,1))-AVERAGE(OFFSET($H$3,0,0,'Données projet'!$E$9+1,1))</f>
        <v>320.30433416149219</v>
      </c>
      <c r="T105" s="59">
        <f t="shared" si="88"/>
        <v>201.33422682092797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279.00634141170269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279.00634141170269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67.410088841084075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763.00000000000057</v>
      </c>
      <c r="AJ105" s="13">
        <f>AI105*VLOOKUP('Données projet'!$B$10,Paramètres!$A$1:$I$89,3,0)*VLOOKUP('Données projet'!$B$10,Paramètres!$A$1:$I$89,5,0)</f>
        <v>456.2740000000004</v>
      </c>
      <c r="AK105" s="13">
        <f t="shared" si="89"/>
        <v>103.09649786611838</v>
      </c>
      <c r="AL105" s="20">
        <f t="shared" si="58"/>
        <v>974.23695045015677</v>
      </c>
      <c r="AM105" s="59">
        <f t="shared" si="59"/>
        <v>1258.0739428674651</v>
      </c>
      <c r="AN105" s="59">
        <f ca="1">AVERAGE(OFFSET($AM$3,0,0,'Données projet'!$E$10+1,1))-AVERAGE(OFFSET($H$3,0,0,'Données projet'!$E$10+1,1))</f>
        <v>569.80473816957431</v>
      </c>
      <c r="AO105" s="59">
        <f t="shared" si="90"/>
        <v>495.56567790763199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68.835325660918585</v>
      </c>
      <c r="AV105" s="21">
        <f>EXP(-LN(2)/25)*AV104+(1-EXP(-LN(2)/25))/(LN(2)/25)*Calculateur!AQ105*Calculateur!AS105*VLOOKUP('Données projet'!$B$10,Paramètres!$A$1:$I$89,3,0)*0.475*44/12</f>
        <v>8.8869608877073709</v>
      </c>
      <c r="AW105" s="21">
        <f>EXP(-LN(2)/2)*AW104+(1-EXP(-LN(2)/2))/(LN(2)/2)*AQ105*AT105*VLOOKUP('Données projet'!$B$10,Paramètres!$A$1:$I$89,3,0)*0.475*44/12</f>
        <v>1.143013096577649E-12</v>
      </c>
      <c r="AX105" s="21">
        <f t="shared" si="60"/>
        <v>77.722286548627096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67.410088841084075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-2.5006556825246661E-14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180.42749272334603</v>
      </c>
      <c r="BJ105" s="59">
        <f t="shared" si="92"/>
        <v>346.61476512497495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15.365310863097049</v>
      </c>
      <c r="BQ105" s="21">
        <f>EXP(-LN(2)/25)*BQ104+(1-EXP(-LN(2)/25))/(LN(2)/25)*Calculateur!BL105*Calculateur!BN105*VLOOKUP('Données projet'!$B$11,Paramètres!$A$1:$I$89,3,0)*0.475*44/12</f>
        <v>2.2501414688097752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17.615452331906823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67.410088841084075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9.7110000000000021</v>
      </c>
      <c r="BY105" s="12">
        <f>IF('Données projet'!$A$114&gt;35,BY104+BX105-CG104,IF(A105&lt;'Données projet'!$A$114,$BV$205^A105,IF(A105='Données projet'!$A$114,'Données projet'!$B$114,BY104+BX105-CG104)))</f>
        <v>430.99300000000022</v>
      </c>
      <c r="BZ105" s="13">
        <f>BY105*VLOOKUP('Données projet'!$B$12,Paramètres!$A$1:$I$89,3,0)*VLOOKUP('Données projet'!$B$12,Paramètres!$A$1:$I$89,5,0)</f>
        <v>389.96246640000021</v>
      </c>
      <c r="CA105" s="13">
        <f t="shared" si="93"/>
        <v>89.738709223725238</v>
      </c>
      <c r="CB105" s="20">
        <f t="shared" si="64"/>
        <v>835.47954754465525</v>
      </c>
      <c r="CC105" s="59">
        <f t="shared" si="65"/>
        <v>1119.3165399619636</v>
      </c>
      <c r="CD105" s="59">
        <f ca="1">AVERAGE(OFFSET($CC$3,0,0,'Données projet'!$E$12+1,1))-AVERAGE(OFFSET($H$3,0,0,'Données projet'!$E$12+1,1))</f>
        <v>553.16421218123958</v>
      </c>
      <c r="CE105" s="59">
        <f t="shared" si="94"/>
        <v>291.73668613844416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119.34547896494456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119.34547896494456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67.410088841084075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9.7110000000000021</v>
      </c>
      <c r="CT105" s="12">
        <f>IF('Données projet'!$A$140&gt;35,CT104+CS105-DB104,IF(A105&lt;'Données projet'!$A$140,$CQ$205^A105,IF(A105='Données projet'!$A$140,'Données projet'!$B$140,CT104+CS105-DB104)))</f>
        <v>430.99300000000022</v>
      </c>
      <c r="CU105" s="17">
        <f>CT105*VLOOKUP('Données projet'!$B$13,Paramètres!$A$1:$I$89,3,0)*VLOOKUP('Données projet'!$B$13,Paramètres!$A$1:$I$89,5,0)</f>
        <v>437.02690200000023</v>
      </c>
      <c r="CV105" s="13">
        <f t="shared" si="95"/>
        <v>99.244188579159399</v>
      </c>
      <c r="CW105" s="20">
        <f t="shared" si="67"/>
        <v>934.0054827587029</v>
      </c>
      <c r="CX105" s="59">
        <f t="shared" si="68"/>
        <v>1217.8424751760112</v>
      </c>
      <c r="CY105" s="59">
        <f ca="1">AVERAGE(OFFSET($CX$3,0,0,'Données projet'!$E$13+1,1))-AVERAGE(OFFSET($H$3,0,0,'Données projet'!$E$13+1,1))</f>
        <v>611.82989382187804</v>
      </c>
      <c r="CZ105" s="59">
        <f t="shared" si="96"/>
        <v>320.34124600136363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133.74924366761033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133.74924366761033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67.410088841084075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9.7110000000000021</v>
      </c>
      <c r="DO105" s="12">
        <f>IF('Données projet'!$A$166&gt;35,DO104+DN105-DW104,IF(A105&lt;'Données projet'!$A$166,$DL$205^A105,IF(A105='Données projet'!$A$166,'Données projet'!$B$166,DO104+DN105-DW104)))</f>
        <v>430.99300000000022</v>
      </c>
      <c r="DP105" s="17">
        <f>DO105*VLOOKUP('Données projet'!$B$14,Paramètres!$A$1:$I$89,3,0)*VLOOKUP('Données projet'!$B$14,Paramètres!$A$1:$I$89,5,0)</f>
        <v>463.92086520000021</v>
      </c>
      <c r="DQ105" s="13">
        <f t="shared" si="97"/>
        <v>104.62173067332679</v>
      </c>
      <c r="DR105" s="20">
        <f t="shared" si="70"/>
        <v>990.21168781271115</v>
      </c>
      <c r="DS105" s="59">
        <f t="shared" si="71"/>
        <v>1274.0486802300195</v>
      </c>
      <c r="DT105" s="59">
        <f ca="1">AVERAGE(OFFSET($DS$3,0,0,'Données projet'!$E$14+1,1))-AVERAGE(OFFSET($H$3,0,0,'Données projet'!$E$14+1,1))</f>
        <v>645.29541304800614</v>
      </c>
      <c r="DU105" s="59">
        <f t="shared" si="98"/>
        <v>336.65580771733323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141.97996635484776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141.97996635484776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67.410088841084075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319</v>
      </c>
      <c r="EK105" s="17">
        <f>EJ105*VLOOKUP('Données projet'!$B$15,Paramètres!$A$1:$I$89,3,0)*VLOOKUP('Données projet'!$B$15,Paramètres!$A$1:$I$89,5,0)</f>
        <v>233.89079999999998</v>
      </c>
      <c r="EL105" s="13">
        <f t="shared" si="99"/>
        <v>57.123140349023068</v>
      </c>
      <c r="EM105" s="20">
        <f t="shared" si="73"/>
        <v>506.84927944121517</v>
      </c>
      <c r="EN105" s="59">
        <f t="shared" si="74"/>
        <v>790.68627185852347</v>
      </c>
      <c r="EO105" s="59">
        <f ca="1">AVERAGE(OFFSET($EN$3,0,0,'Données projet'!$E$15+1,1))-AVERAGE(OFFSET($H$3,0,0,'Données projet'!$E$15+1,1))</f>
        <v>343.31122043016137</v>
      </c>
      <c r="EP105" s="59">
        <f t="shared" si="100"/>
        <v>333.61098411258877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25.713054983352432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25.713054983352432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67.410088841084075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319</v>
      </c>
      <c r="FF105" s="17">
        <f>FE105*VLOOKUP('Données projet'!$B$16,Paramètres!$A$1:$I$89,3,0)*VLOOKUP('Données projet'!$B$16,Paramètres!$A$1:$I$89,5,0)</f>
        <v>253.79640000000001</v>
      </c>
      <c r="FG105" s="13">
        <f t="shared" si="101"/>
        <v>61.39816832228076</v>
      </c>
      <c r="FH105" s="20">
        <f t="shared" si="76"/>
        <v>548.96387316130563</v>
      </c>
      <c r="FI105" s="59">
        <f t="shared" si="77"/>
        <v>832.80086557861387</v>
      </c>
      <c r="FJ105" s="59">
        <f ca="1">AVERAGE(OFFSET($FI$3,0,0,'Données projet'!$E$16+1,1))-AVERAGE(OFFSET($H$3,0,0,'Données projet'!$E$16+1,1))</f>
        <v>368.12945163484585</v>
      </c>
      <c r="FK105" s="59">
        <f t="shared" si="102"/>
        <v>357.27183934545121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34.390097783276417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34.390097783276417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67.410088841084075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67.410088841084075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3.0869565217391299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11.318840579710143</v>
      </c>
      <c r="H106" s="66">
        <f t="shared" si="56"/>
        <v>211.39130434782609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67.455018009517346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5.2499999999990337</v>
      </c>
      <c r="O106" s="13">
        <f>N106*VLOOKUP('Données projet'!$B$9,Paramètres!$A$1:$I$89,3,0)*VLOOKUP('Données projet'!$B$9,Paramètres!$A$1:$I$89,5,0)</f>
        <v>2.4569999999995478</v>
      </c>
      <c r="P106" s="13">
        <f t="shared" si="87"/>
        <v>1.0197977774625564</v>
      </c>
      <c r="Q106" s="20">
        <f t="shared" si="107"/>
        <v>6.0554227957464972</v>
      </c>
      <c r="R106" s="59">
        <f t="shared" si="55"/>
        <v>290.05715549731013</v>
      </c>
      <c r="S106" s="59">
        <f ca="1">AVERAGE(OFFSET($R$3,0,0,'Données projet'!$E$9+1,1))-AVERAGE(OFFSET($H$3,0,0,'Données projet'!$E$9+1,1))</f>
        <v>320.30433416149219</v>
      </c>
      <c r="T106" s="59">
        <f t="shared" si="88"/>
        <v>201.33422682092797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273.5351972336839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273.5351972336839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67.455018009517346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763.00000000000057</v>
      </c>
      <c r="AJ106" s="13">
        <f>AI106*VLOOKUP('Données projet'!$B$10,Paramètres!$A$1:$I$89,3,0)*VLOOKUP('Données projet'!$B$10,Paramètres!$A$1:$I$89,5,0)</f>
        <v>456.2740000000004</v>
      </c>
      <c r="AK106" s="13">
        <f t="shared" si="89"/>
        <v>103.09649786611838</v>
      </c>
      <c r="AL106" s="20">
        <f t="shared" si="58"/>
        <v>974.23695045015677</v>
      </c>
      <c r="AM106" s="59">
        <f t="shared" si="59"/>
        <v>1258.2386831517204</v>
      </c>
      <c r="AN106" s="59">
        <f ca="1">AVERAGE(OFFSET($AM$3,0,0,'Données projet'!$E$10+1,1))-AVERAGE(OFFSET($H$3,0,0,'Données projet'!$E$10+1,1))</f>
        <v>569.80473816957431</v>
      </c>
      <c r="AO106" s="59">
        <f t="shared" si="90"/>
        <v>495.56567790763199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67.485506910110914</v>
      </c>
      <c r="AV106" s="21">
        <f>EXP(-LN(2)/25)*AV105+(1-EXP(-LN(2)/25))/(LN(2)/25)*Calculateur!AQ106*Calculateur!AS106*VLOOKUP('Données projet'!$B$10,Paramètres!$A$1:$I$89,3,0)*0.475*44/12</f>
        <v>8.6439464748880503</v>
      </c>
      <c r="AW106" s="21">
        <f>EXP(-LN(2)/2)*AW105+(1-EXP(-LN(2)/2))/(LN(2)/2)*AQ106*AT106*VLOOKUP('Données projet'!$B$10,Paramètres!$A$1:$I$89,3,0)*0.475*44/12</f>
        <v>8.082323115750898E-13</v>
      </c>
      <c r="AX106" s="21">
        <f t="shared" si="60"/>
        <v>76.129453384999778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67.455018009517346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-2.5006556825246661E-14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180.42749272334603</v>
      </c>
      <c r="BJ106" s="59">
        <f t="shared" si="92"/>
        <v>346.61476512497495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15.064006488985942</v>
      </c>
      <c r="BQ106" s="21">
        <f>EXP(-LN(2)/25)*BQ105+(1-EXP(-LN(2)/25))/(LN(2)/25)*Calculateur!BL106*Calculateur!BN106*VLOOKUP('Données projet'!$B$11,Paramètres!$A$1:$I$89,3,0)*0.475*44/12</f>
        <v>2.1886112320153748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17.252617721001318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67.455018009517346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9.7110000000000021</v>
      </c>
      <c r="BY106" s="12">
        <f>IF('Données projet'!$A$114&gt;35,BY105+BX106-CG105,IF(A106&lt;'Données projet'!$A$114,$BV$205^A106,IF(A106='Données projet'!$A$114,'Données projet'!$B$114,BY105+BX106-CG105)))</f>
        <v>440.70400000000024</v>
      </c>
      <c r="BZ106" s="13">
        <f>BY106*VLOOKUP('Données projet'!$B$12,Paramètres!$A$1:$I$89,3,0)*VLOOKUP('Données projet'!$B$12,Paramètres!$A$1:$I$89,5,0)</f>
        <v>398.74897920000018</v>
      </c>
      <c r="CA106" s="13">
        <f t="shared" si="93"/>
        <v>91.522993733283613</v>
      </c>
      <c r="CB106" s="20">
        <f t="shared" si="64"/>
        <v>853.89035285880254</v>
      </c>
      <c r="CC106" s="59">
        <f t="shared" si="65"/>
        <v>1137.8920855603662</v>
      </c>
      <c r="CD106" s="59">
        <f ca="1">AVERAGE(OFFSET($CC$3,0,0,'Données projet'!$E$12+1,1))-AVERAGE(OFFSET($H$3,0,0,'Données projet'!$E$12+1,1))</f>
        <v>553.16421218123958</v>
      </c>
      <c r="CE106" s="59">
        <f t="shared" si="94"/>
        <v>291.73668613844416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117.0051869159964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117.0051869159964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67.455018009517346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9.7110000000000021</v>
      </c>
      <c r="CT106" s="12">
        <f>IF('Données projet'!$A$140&gt;35,CT105+CS106-DB105,IF(A106&lt;'Données projet'!$A$140,$CQ$205^A106,IF(A106='Données projet'!$A$140,'Données projet'!$B$140,CT105+CS106-DB105)))</f>
        <v>440.70400000000024</v>
      </c>
      <c r="CU106" s="17">
        <f>CT106*VLOOKUP('Données projet'!$B$13,Paramètres!$A$1:$I$89,3,0)*VLOOKUP('Données projet'!$B$13,Paramètres!$A$1:$I$89,5,0)</f>
        <v>446.87385600000033</v>
      </c>
      <c r="CV106" s="13">
        <f t="shared" si="95"/>
        <v>101.21747156793077</v>
      </c>
      <c r="CW106" s="20">
        <f t="shared" si="67"/>
        <v>954.59239551414669</v>
      </c>
      <c r="CX106" s="59">
        <f t="shared" si="68"/>
        <v>1238.5941282157103</v>
      </c>
      <c r="CY106" s="59">
        <f ca="1">AVERAGE(OFFSET($CX$3,0,0,'Données projet'!$E$13+1,1))-AVERAGE(OFFSET($H$3,0,0,'Données projet'!$E$13+1,1))</f>
        <v>611.82989382187804</v>
      </c>
      <c r="CZ106" s="59">
        <f t="shared" si="96"/>
        <v>320.34124600136363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131.12650257827187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131.12650257827187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67.455018009517346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9.7110000000000021</v>
      </c>
      <c r="DO106" s="12">
        <f>IF('Données projet'!$A$166&gt;35,DO105+DN106-DW105,IF(A106&lt;'Données projet'!$A$166,$DL$205^A106,IF(A106='Données projet'!$A$166,'Données projet'!$B$166,DO105+DN106-DW105)))</f>
        <v>440.70400000000024</v>
      </c>
      <c r="DP106" s="17">
        <f>DO106*VLOOKUP('Données projet'!$B$14,Paramètres!$A$1:$I$89,3,0)*VLOOKUP('Données projet'!$B$14,Paramètres!$A$1:$I$89,5,0)</f>
        <v>474.37378560000025</v>
      </c>
      <c r="DQ106" s="13">
        <f t="shared" si="97"/>
        <v>106.70193591606328</v>
      </c>
      <c r="DR106" s="20">
        <f t="shared" si="70"/>
        <v>1012.0402149738106</v>
      </c>
      <c r="DS106" s="59">
        <f t="shared" si="71"/>
        <v>1296.0419476753743</v>
      </c>
      <c r="DT106" s="59">
        <f ca="1">AVERAGE(OFFSET($DS$3,0,0,'Données projet'!$E$14+1,1))-AVERAGE(OFFSET($H$3,0,0,'Données projet'!$E$14+1,1))</f>
        <v>645.29541304800614</v>
      </c>
      <c r="DU106" s="59">
        <f t="shared" si="98"/>
        <v>336.65580771733323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139.19582581385771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139.19582581385771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67.455018009517346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319</v>
      </c>
      <c r="EK106" s="17">
        <f>EJ106*VLOOKUP('Données projet'!$B$15,Paramètres!$A$1:$I$89,3,0)*VLOOKUP('Données projet'!$B$15,Paramètres!$A$1:$I$89,5,0)</f>
        <v>233.89079999999998</v>
      </c>
      <c r="EL106" s="13">
        <f t="shared" si="99"/>
        <v>57.123140349023068</v>
      </c>
      <c r="EM106" s="20">
        <f t="shared" si="73"/>
        <v>506.84927944121517</v>
      </c>
      <c r="EN106" s="59">
        <f t="shared" si="74"/>
        <v>790.85101214277881</v>
      </c>
      <c r="EO106" s="59">
        <f ca="1">AVERAGE(OFFSET($EN$3,0,0,'Données projet'!$E$15+1,1))-AVERAGE(OFFSET($H$3,0,0,'Données projet'!$E$15+1,1))</f>
        <v>343.31122043016137</v>
      </c>
      <c r="EP106" s="59">
        <f t="shared" si="100"/>
        <v>333.61098411258877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25.208837658543821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25.208837658543821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67.455018009517346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319</v>
      </c>
      <c r="FF106" s="17">
        <f>FE106*VLOOKUP('Données projet'!$B$16,Paramètres!$A$1:$I$89,3,0)*VLOOKUP('Données projet'!$B$16,Paramètres!$A$1:$I$89,5,0)</f>
        <v>253.79640000000001</v>
      </c>
      <c r="FG106" s="13">
        <f t="shared" si="101"/>
        <v>61.39816832228076</v>
      </c>
      <c r="FH106" s="20">
        <f t="shared" si="76"/>
        <v>548.96387316130563</v>
      </c>
      <c r="FI106" s="59">
        <f t="shared" si="77"/>
        <v>832.96560586286932</v>
      </c>
      <c r="FJ106" s="59">
        <f ca="1">AVERAGE(OFFSET($FI$3,0,0,'Données projet'!$E$16+1,1))-AVERAGE(OFFSET($H$3,0,0,'Données projet'!$E$16+1,1))</f>
        <v>368.12945163484585</v>
      </c>
      <c r="FK106" s="59">
        <f t="shared" si="102"/>
        <v>357.27183934545121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33.715728941634815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33.715728941634815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67.455018009517346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67.455018009517346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3.0869565217391299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11.318840579710143</v>
      </c>
      <c r="H107" s="66">
        <f t="shared" si="56"/>
        <v>211.39130434782609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67.499167757324869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5.2499999999990337</v>
      </c>
      <c r="O107" s="13">
        <f>N107*VLOOKUP('Données projet'!$B$9,Paramètres!$A$1:$I$89,3,0)*VLOOKUP('Données projet'!$B$9,Paramètres!$A$1:$I$89,5,0)</f>
        <v>2.4569999999995478</v>
      </c>
      <c r="P107" s="13">
        <f t="shared" si="87"/>
        <v>1.0197977774625564</v>
      </c>
      <c r="Q107" s="20">
        <f t="shared" si="107"/>
        <v>6.0554227957464972</v>
      </c>
      <c r="R107" s="59">
        <f t="shared" si="55"/>
        <v>290.21903790593768</v>
      </c>
      <c r="S107" s="59">
        <f ca="1">AVERAGE(OFFSET($R$3,0,0,'Données projet'!$E$9+1,1))-AVERAGE(OFFSET($H$3,0,0,'Données projet'!$E$9+1,1))</f>
        <v>320.30433416149219</v>
      </c>
      <c r="T107" s="59">
        <f t="shared" si="88"/>
        <v>201.33422682092797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268.17133885592762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268.17133885592762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67.499167757324869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763.00000000000057</v>
      </c>
      <c r="AJ107" s="13">
        <f>AI107*VLOOKUP('Données projet'!$B$10,Paramètres!$A$1:$I$89,3,0)*VLOOKUP('Données projet'!$B$10,Paramètres!$A$1:$I$89,5,0)</f>
        <v>456.2740000000004</v>
      </c>
      <c r="AK107" s="13">
        <f t="shared" si="89"/>
        <v>103.09649786611838</v>
      </c>
      <c r="AL107" s="20">
        <f t="shared" si="58"/>
        <v>974.23695045015677</v>
      </c>
      <c r="AM107" s="59">
        <f t="shared" si="59"/>
        <v>1258.400565560348</v>
      </c>
      <c r="AN107" s="59">
        <f ca="1">AVERAGE(OFFSET($AM$3,0,0,'Données projet'!$E$10+1,1))-AVERAGE(OFFSET($H$3,0,0,'Données projet'!$E$10+1,1))</f>
        <v>569.80473816957431</v>
      </c>
      <c r="AO107" s="59">
        <f t="shared" si="90"/>
        <v>495.56567790763199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66.162157281698441</v>
      </c>
      <c r="AV107" s="21">
        <f>EXP(-LN(2)/25)*AV106+(1-EXP(-LN(2)/25))/(LN(2)/25)*Calculateur!AQ107*Calculateur!AS107*VLOOKUP('Données projet'!$B$10,Paramètres!$A$1:$I$89,3,0)*0.475*44/12</f>
        <v>8.407577303966848</v>
      </c>
      <c r="AW107" s="21">
        <f>EXP(-LN(2)/2)*AW106+(1-EXP(-LN(2)/2))/(LN(2)/2)*AQ107*AT107*VLOOKUP('Données projet'!$B$10,Paramètres!$A$1:$I$89,3,0)*0.475*44/12</f>
        <v>5.7150654828882452E-13</v>
      </c>
      <c r="AX107" s="21">
        <f t="shared" si="60"/>
        <v>74.569734585665856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67.499167757324869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-2.5006556825246661E-14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180.42749272334603</v>
      </c>
      <c r="BJ107" s="59">
        <f t="shared" si="92"/>
        <v>346.61476512497495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14.768610509873634</v>
      </c>
      <c r="BQ107" s="21">
        <f>EXP(-LN(2)/25)*BQ106+(1-EXP(-LN(2)/25))/(LN(2)/25)*Calculateur!BL107*Calculateur!BN107*VLOOKUP('Données projet'!$B$11,Paramètres!$A$1:$I$89,3,0)*0.475*44/12</f>
        <v>2.1287635427818516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16.897374052655486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67.499167757324869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9.7110000000000021</v>
      </c>
      <c r="BY107" s="12">
        <f>IF('Données projet'!$A$114&gt;35,BY106+BX107-CG106,IF(A107&lt;'Données projet'!$A$114,$BV$205^A107,IF(A107='Données projet'!$A$114,'Données projet'!$B$114,BY106+BX107-CG106)))</f>
        <v>450.41500000000025</v>
      </c>
      <c r="BZ107" s="13">
        <f>BY107*VLOOKUP('Données projet'!$B$12,Paramètres!$A$1:$I$89,3,0)*VLOOKUP('Données projet'!$B$12,Paramètres!$A$1:$I$89,5,0)</f>
        <v>407.5354920000002</v>
      </c>
      <c r="CA107" s="13">
        <f t="shared" si="93"/>
        <v>93.30270720985969</v>
      </c>
      <c r="CB107" s="20">
        <f t="shared" si="64"/>
        <v>872.29319695717265</v>
      </c>
      <c r="CC107" s="59">
        <f t="shared" si="65"/>
        <v>1156.4568120673639</v>
      </c>
      <c r="CD107" s="59">
        <f ca="1">AVERAGE(OFFSET($CC$3,0,0,'Données projet'!$E$12+1,1))-AVERAGE(OFFSET($H$3,0,0,'Données projet'!$E$12+1,1))</f>
        <v>553.16421218123958</v>
      </c>
      <c r="CE107" s="59">
        <f t="shared" si="94"/>
        <v>291.73668613844416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114.71078656669091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114.71078656669091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67.499167757324869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9.7110000000000021</v>
      </c>
      <c r="CT107" s="12">
        <f>IF('Données projet'!$A$140&gt;35,CT106+CS107-DB106,IF(A107&lt;'Données projet'!$A$140,$CQ$205^A107,IF(A107='Données projet'!$A$140,'Données projet'!$B$140,CT106+CS107-DB106)))</f>
        <v>450.41500000000025</v>
      </c>
      <c r="CU107" s="17">
        <f>CT107*VLOOKUP('Données projet'!$B$13,Paramètres!$A$1:$I$89,3,0)*VLOOKUP('Données projet'!$B$13,Paramètres!$A$1:$I$89,5,0)</f>
        <v>456.72081000000026</v>
      </c>
      <c r="CV107" s="13">
        <f t="shared" si="95"/>
        <v>103.18569934180985</v>
      </c>
      <c r="CW107" s="20">
        <f t="shared" si="67"/>
        <v>975.1705037703191</v>
      </c>
      <c r="CX107" s="59">
        <f t="shared" si="68"/>
        <v>1259.3341188805102</v>
      </c>
      <c r="CY107" s="59">
        <f ca="1">AVERAGE(OFFSET($CX$3,0,0,'Données projet'!$E$13+1,1))-AVERAGE(OFFSET($H$3,0,0,'Données projet'!$E$13+1,1))</f>
        <v>611.82989382187804</v>
      </c>
      <c r="CZ107" s="59">
        <f t="shared" si="96"/>
        <v>320.34124600136363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128.55519184198124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128.55519184198124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67.499167757324869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9.7110000000000021</v>
      </c>
      <c r="DO107" s="12">
        <f>IF('Données projet'!$A$166&gt;35,DO106+DN107-DW106,IF(A107&lt;'Données projet'!$A$166,$DL$205^A107,IF(A107='Données projet'!$A$166,'Données projet'!$B$166,DO106+DN107-DW106)))</f>
        <v>450.41500000000025</v>
      </c>
      <c r="DP107" s="17">
        <f>DO107*VLOOKUP('Données projet'!$B$14,Paramètres!$A$1:$I$89,3,0)*VLOOKUP('Données projet'!$B$14,Paramètres!$A$1:$I$89,5,0)</f>
        <v>484.82670600000023</v>
      </c>
      <c r="DQ107" s="13">
        <f t="shared" si="97"/>
        <v>108.77681202730572</v>
      </c>
      <c r="DR107" s="20">
        <f t="shared" si="70"/>
        <v>1033.8594605642245</v>
      </c>
      <c r="DS107" s="59">
        <f t="shared" si="71"/>
        <v>1318.0230756744156</v>
      </c>
      <c r="DT107" s="59">
        <f ca="1">AVERAGE(OFFSET($DS$3,0,0,'Données projet'!$E$14+1,1))-AVERAGE(OFFSET($H$3,0,0,'Données projet'!$E$14+1,1))</f>
        <v>645.29541304800614</v>
      </c>
      <c r="DU107" s="59">
        <f t="shared" si="98"/>
        <v>336.65580771733323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136.46628057071842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136.46628057071842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67.499167757324869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319</v>
      </c>
      <c r="EK107" s="17">
        <f>EJ107*VLOOKUP('Données projet'!$B$15,Paramètres!$A$1:$I$89,3,0)*VLOOKUP('Données projet'!$B$15,Paramètres!$A$1:$I$89,5,0)</f>
        <v>233.89079999999998</v>
      </c>
      <c r="EL107" s="13">
        <f t="shared" si="99"/>
        <v>57.123140349023068</v>
      </c>
      <c r="EM107" s="20">
        <f t="shared" si="73"/>
        <v>506.84927944121517</v>
      </c>
      <c r="EN107" s="59">
        <f t="shared" si="74"/>
        <v>791.01289455140636</v>
      </c>
      <c r="EO107" s="59">
        <f ca="1">AVERAGE(OFFSET($EN$3,0,0,'Données projet'!$E$15+1,1))-AVERAGE(OFFSET($H$3,0,0,'Données projet'!$E$15+1,1))</f>
        <v>343.31122043016137</v>
      </c>
      <c r="EP107" s="59">
        <f t="shared" si="100"/>
        <v>333.61098411258877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24.714507727932506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24.714507727932506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67.499167757324869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319</v>
      </c>
      <c r="FF107" s="17">
        <f>FE107*VLOOKUP('Données projet'!$B$16,Paramètres!$A$1:$I$89,3,0)*VLOOKUP('Données projet'!$B$16,Paramètres!$A$1:$I$89,5,0)</f>
        <v>253.79640000000001</v>
      </c>
      <c r="FG107" s="13">
        <f t="shared" si="101"/>
        <v>61.39816832228076</v>
      </c>
      <c r="FH107" s="20">
        <f t="shared" si="76"/>
        <v>548.96387316130563</v>
      </c>
      <c r="FI107" s="59">
        <f t="shared" si="77"/>
        <v>833.12748827149676</v>
      </c>
      <c r="FJ107" s="59">
        <f ca="1">AVERAGE(OFFSET($FI$3,0,0,'Données projet'!$E$16+1,1))-AVERAGE(OFFSET($H$3,0,0,'Données projet'!$E$16+1,1))</f>
        <v>368.12945163484585</v>
      </c>
      <c r="FK107" s="59">
        <f t="shared" si="102"/>
        <v>357.27183934545121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33.054584061653429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33.054584061653429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67.499167757324869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67.499167757324869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3.0869565217391299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11.318840579710143</v>
      </c>
      <c r="H108" s="66">
        <f t="shared" si="56"/>
        <v>211.39130434782609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67.542551605711992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5.2499999999990337</v>
      </c>
      <c r="O108" s="13">
        <f>N108*VLOOKUP('Données projet'!$B$9,Paramètres!$A$1:$I$89,3,0)*VLOOKUP('Données projet'!$B$9,Paramètres!$A$1:$I$89,5,0)</f>
        <v>2.4569999999995478</v>
      </c>
      <c r="P108" s="13">
        <f t="shared" si="87"/>
        <v>1.0197977774625564</v>
      </c>
      <c r="Q108" s="20">
        <f t="shared" si="107"/>
        <v>6.0554227957464972</v>
      </c>
      <c r="R108" s="59">
        <f t="shared" si="55"/>
        <v>290.37811201669047</v>
      </c>
      <c r="S108" s="59">
        <f ca="1">AVERAGE(OFFSET($R$3,0,0,'Données projet'!$E$9+1,1))-AVERAGE(OFFSET($H$3,0,0,'Données projet'!$E$9+1,1))</f>
        <v>320.30433416149219</v>
      </c>
      <c r="T108" s="59">
        <f t="shared" si="88"/>
        <v>201.33422682092797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262.91266246932855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262.91266246932855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67.542551605711992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763.00000000000057</v>
      </c>
      <c r="AJ108" s="13">
        <f>AI108*VLOOKUP('Données projet'!$B$10,Paramètres!$A$1:$I$89,3,0)*VLOOKUP('Données projet'!$B$10,Paramètres!$A$1:$I$89,5,0)</f>
        <v>456.2740000000004</v>
      </c>
      <c r="AK108" s="13">
        <f t="shared" si="89"/>
        <v>103.09649786611838</v>
      </c>
      <c r="AL108" s="20">
        <f t="shared" si="58"/>
        <v>974.23695045015677</v>
      </c>
      <c r="AM108" s="59">
        <f t="shared" si="59"/>
        <v>1258.5596396711007</v>
      </c>
      <c r="AN108" s="59">
        <f ca="1">AVERAGE(OFFSET($AM$3,0,0,'Données projet'!$E$10+1,1))-AVERAGE(OFFSET($H$3,0,0,'Données projet'!$E$10+1,1))</f>
        <v>569.80473816957431</v>
      </c>
      <c r="AO108" s="59">
        <f t="shared" si="90"/>
        <v>495.56567790763199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64.864757732335562</v>
      </c>
      <c r="AV108" s="21">
        <f>EXP(-LN(2)/25)*AV107+(1-EXP(-LN(2)/25))/(LN(2)/25)*Calculateur!AQ108*Calculateur!AS108*VLOOKUP('Données projet'!$B$10,Paramètres!$A$1:$I$89,3,0)*0.475*44/12</f>
        <v>8.1776716604545996</v>
      </c>
      <c r="AW108" s="21">
        <f>EXP(-LN(2)/2)*AW107+(1-EXP(-LN(2)/2))/(LN(2)/2)*AQ108*AT108*VLOOKUP('Données projet'!$B$10,Paramètres!$A$1:$I$89,3,0)*0.475*44/12</f>
        <v>4.041161557875449E-13</v>
      </c>
      <c r="AX108" s="21">
        <f t="shared" si="60"/>
        <v>73.042429392790552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67.542551605711992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-2.5006556825246661E-14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180.42749272334603</v>
      </c>
      <c r="BJ108" s="59">
        <f t="shared" si="92"/>
        <v>346.61476512497495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14.47900706573796</v>
      </c>
      <c r="BQ108" s="21">
        <f>EXP(-LN(2)/25)*BQ107+(1-EXP(-LN(2)/25))/(LN(2)/25)*Calculateur!BL108*Calculateur!BN108*VLOOKUP('Données projet'!$B$11,Paramètres!$A$1:$I$89,3,0)*0.475*44/12</f>
        <v>2.0705523917576727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16.549559457495633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67.542551605711992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9.7110000000000021</v>
      </c>
      <c r="BY108" s="12">
        <f>IF('Données projet'!$A$114&gt;35,BY107+BX108-CG107,IF(A108&lt;'Données projet'!$A$114,$BV$205^A108,IF(A108='Données projet'!$A$114,'Données projet'!$B$114,BY107+BX108-CG107)))</f>
        <v>460.12600000000026</v>
      </c>
      <c r="BZ108" s="13">
        <f>BY108*VLOOKUP('Données projet'!$B$12,Paramètres!$A$1:$I$89,3,0)*VLOOKUP('Données projet'!$B$12,Paramètres!$A$1:$I$89,5,0)</f>
        <v>416.32200480000023</v>
      </c>
      <c r="CA108" s="13">
        <f t="shared" si="93"/>
        <v>95.077959556166817</v>
      </c>
      <c r="CB108" s="20">
        <f t="shared" si="64"/>
        <v>890.6882712536576</v>
      </c>
      <c r="CC108" s="59">
        <f t="shared" si="65"/>
        <v>1175.0109604746017</v>
      </c>
      <c r="CD108" s="59">
        <f ca="1">AVERAGE(OFFSET($CC$3,0,0,'Données projet'!$E$12+1,1))-AVERAGE(OFFSET($H$3,0,0,'Données projet'!$E$12+1,1))</f>
        <v>553.16421218123958</v>
      </c>
      <c r="CE108" s="59">
        <f t="shared" si="94"/>
        <v>291.73668613844416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112.46137800878928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112.46137800878928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67.542551605711992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9.7110000000000021</v>
      </c>
      <c r="CT108" s="12">
        <f>IF('Données projet'!$A$140&gt;35,CT107+CS108-DB107,IF(A108&lt;'Données projet'!$A$140,$CQ$205^A108,IF(A108='Données projet'!$A$140,'Données projet'!$B$140,CT107+CS108-DB107)))</f>
        <v>460.12600000000026</v>
      </c>
      <c r="CU108" s="17">
        <f>CT108*VLOOKUP('Données projet'!$B$13,Paramètres!$A$1:$I$89,3,0)*VLOOKUP('Données projet'!$B$13,Paramètres!$A$1:$I$89,5,0)</f>
        <v>466.5677640000003</v>
      </c>
      <c r="CV108" s="13">
        <f t="shared" si="95"/>
        <v>105.14899344484016</v>
      </c>
      <c r="CW108" s="20">
        <f t="shared" si="67"/>
        <v>995.74001921643048</v>
      </c>
      <c r="CX108" s="59">
        <f t="shared" si="68"/>
        <v>1280.0627084373746</v>
      </c>
      <c r="CY108" s="59">
        <f ca="1">AVERAGE(OFFSET($CX$3,0,0,'Données projet'!$E$13+1,1))-AVERAGE(OFFSET($H$3,0,0,'Données projet'!$E$13+1,1))</f>
        <v>611.82989382187804</v>
      </c>
      <c r="CZ108" s="59">
        <f t="shared" si="96"/>
        <v>320.34124600136363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126.03430294088457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126.03430294088457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67.542551605711992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9.7110000000000021</v>
      </c>
      <c r="DO108" s="12">
        <f>IF('Données projet'!$A$166&gt;35,DO107+DN108-DW107,IF(A108&lt;'Données projet'!$A$166,$DL$205^A108,IF(A108='Données projet'!$A$166,'Données projet'!$B$166,DO107+DN108-DW107)))</f>
        <v>460.12600000000026</v>
      </c>
      <c r="DP108" s="17">
        <f>DO108*VLOOKUP('Données projet'!$B$14,Paramètres!$A$1:$I$89,3,0)*VLOOKUP('Données projet'!$B$14,Paramètres!$A$1:$I$89,5,0)</f>
        <v>495.27962640000027</v>
      </c>
      <c r="DQ108" s="13">
        <f t="shared" si="97"/>
        <v>110.84648713695644</v>
      </c>
      <c r="DR108" s="20">
        <f t="shared" si="70"/>
        <v>1055.669647743533</v>
      </c>
      <c r="DS108" s="59">
        <f t="shared" si="71"/>
        <v>1339.9923369644771</v>
      </c>
      <c r="DT108" s="59">
        <f ca="1">AVERAGE(OFFSET($DS$3,0,0,'Données projet'!$E$14+1,1))-AVERAGE(OFFSET($H$3,0,0,'Données projet'!$E$14+1,1))</f>
        <v>645.29541304800614</v>
      </c>
      <c r="DU108" s="59">
        <f t="shared" si="98"/>
        <v>336.65580771733323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133.79026004493889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133.79026004493889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67.542551605711992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319</v>
      </c>
      <c r="EK108" s="17">
        <f>EJ108*VLOOKUP('Données projet'!$B$15,Paramètres!$A$1:$I$89,3,0)*VLOOKUP('Données projet'!$B$15,Paramètres!$A$1:$I$89,5,0)</f>
        <v>233.89079999999998</v>
      </c>
      <c r="EL108" s="13">
        <f t="shared" si="99"/>
        <v>57.123140349023068</v>
      </c>
      <c r="EM108" s="20">
        <f t="shared" si="73"/>
        <v>506.84927944121517</v>
      </c>
      <c r="EN108" s="59">
        <f t="shared" si="74"/>
        <v>791.17196866215909</v>
      </c>
      <c r="EO108" s="59">
        <f ca="1">AVERAGE(OFFSET($EN$3,0,0,'Données projet'!$E$15+1,1))-AVERAGE(OFFSET($H$3,0,0,'Données projet'!$E$15+1,1))</f>
        <v>343.31122043016137</v>
      </c>
      <c r="EP108" s="59">
        <f t="shared" si="100"/>
        <v>333.61098411258877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24.229871305748993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24.229871305748993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67.542551605711992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319</v>
      </c>
      <c r="FF108" s="17">
        <f>FE108*VLOOKUP('Données projet'!$B$16,Paramètres!$A$1:$I$89,3,0)*VLOOKUP('Données projet'!$B$16,Paramètres!$A$1:$I$89,5,0)</f>
        <v>253.79640000000001</v>
      </c>
      <c r="FG108" s="13">
        <f t="shared" si="101"/>
        <v>61.39816832228076</v>
      </c>
      <c r="FH108" s="20">
        <f t="shared" si="76"/>
        <v>548.96387316130563</v>
      </c>
      <c r="FI108" s="59">
        <f t="shared" si="77"/>
        <v>833.2865623822496</v>
      </c>
      <c r="FJ108" s="59">
        <f ca="1">AVERAGE(OFFSET($FI$3,0,0,'Données projet'!$E$16+1,1))-AVERAGE(OFFSET($H$3,0,0,'Données projet'!$E$16+1,1))</f>
        <v>368.12945163484585</v>
      </c>
      <c r="FK108" s="59">
        <f t="shared" si="102"/>
        <v>357.27183934545121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32.406403829509919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32.406403829509919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67.542551605711992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67.542551605711992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3.0869565217391299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11.318840579710143</v>
      </c>
      <c r="H109" s="66">
        <f t="shared" si="56"/>
        <v>211.39130434782609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67.585182841321341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5.2499999999990337</v>
      </c>
      <c r="O109" s="13">
        <f>N109*VLOOKUP('Données projet'!$B$9,Paramètres!$A$1:$I$89,3,0)*VLOOKUP('Données projet'!$B$9,Paramètres!$A$1:$I$89,5,0)</f>
        <v>2.4569999999995478</v>
      </c>
      <c r="P109" s="13">
        <f t="shared" si="87"/>
        <v>1.0197977774625564</v>
      </c>
      <c r="Q109" s="20">
        <f t="shared" si="107"/>
        <v>6.0554227957464972</v>
      </c>
      <c r="R109" s="59">
        <f t="shared" si="55"/>
        <v>290.53442654725808</v>
      </c>
      <c r="S109" s="59">
        <f ca="1">AVERAGE(OFFSET($R$3,0,0,'Données projet'!$E$9+1,1))-AVERAGE(OFFSET($H$3,0,0,'Données projet'!$E$9+1,1))</f>
        <v>320.30433416149219</v>
      </c>
      <c r="T109" s="59">
        <f t="shared" si="88"/>
        <v>201.33422682092797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257.75710551919479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257.75710551919479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67.585182841321341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763.00000000000057</v>
      </c>
      <c r="AJ109" s="13">
        <f>AI109*VLOOKUP('Données projet'!$B$10,Paramètres!$A$1:$I$89,3,0)*VLOOKUP('Données projet'!$B$10,Paramètres!$A$1:$I$89,5,0)</f>
        <v>456.2740000000004</v>
      </c>
      <c r="AK109" s="13">
        <f t="shared" si="89"/>
        <v>103.09649786611838</v>
      </c>
      <c r="AL109" s="20">
        <f t="shared" si="58"/>
        <v>974.23695045015677</v>
      </c>
      <c r="AM109" s="59">
        <f t="shared" si="59"/>
        <v>1258.7159542016684</v>
      </c>
      <c r="AN109" s="59">
        <f ca="1">AVERAGE(OFFSET($AM$3,0,0,'Données projet'!$E$10+1,1))-AVERAGE(OFFSET($H$3,0,0,'Données projet'!$E$10+1,1))</f>
        <v>569.80473816957431</v>
      </c>
      <c r="AO109" s="59">
        <f t="shared" si="90"/>
        <v>495.56567790763199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63.592799396800096</v>
      </c>
      <c r="AV109" s="21">
        <f>EXP(-LN(2)/25)*AV108+(1-EXP(-LN(2)/25))/(LN(2)/25)*Calculateur!AQ109*Calculateur!AS109*VLOOKUP('Données projet'!$B$10,Paramètres!$A$1:$I$89,3,0)*0.475*44/12</f>
        <v>7.9540527988544065</v>
      </c>
      <c r="AW109" s="21">
        <f>EXP(-LN(2)/2)*AW108+(1-EXP(-LN(2)/2))/(LN(2)/2)*AQ109*AT109*VLOOKUP('Données projet'!$B$10,Paramètres!$A$1:$I$89,3,0)*0.475*44/12</f>
        <v>2.8575327414441226E-13</v>
      </c>
      <c r="AX109" s="21">
        <f t="shared" si="60"/>
        <v>71.546852195654793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67.585182841321341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-2.5006556825246661E-14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180.42749272334603</v>
      </c>
      <c r="BJ109" s="59">
        <f t="shared" si="92"/>
        <v>346.61476512497495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14.195082568501128</v>
      </c>
      <c r="BQ109" s="21">
        <f>EXP(-LN(2)/25)*BQ108+(1-EXP(-LN(2)/25))/(LN(2)/25)*Calculateur!BL109*Calculateur!BN109*VLOOKUP('Données projet'!$B$11,Paramètres!$A$1:$I$89,3,0)*0.475*44/12</f>
        <v>2.0139330277194412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16.209015596220571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67.585182841321341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9.7110000000000021</v>
      </c>
      <c r="BY109" s="12">
        <f>IF('Données projet'!$A$114&gt;35,BY108+BX109-CG108,IF(A109&lt;'Données projet'!$A$114,$BV$205^A109,IF(A109='Données projet'!$A$114,'Données projet'!$B$114,BY108+BX109-CG108)))</f>
        <v>469.83700000000027</v>
      </c>
      <c r="BZ109" s="13">
        <f>BY109*VLOOKUP('Données projet'!$B$12,Paramètres!$A$1:$I$89,3,0)*VLOOKUP('Données projet'!$B$12,Paramètres!$A$1:$I$89,5,0)</f>
        <v>425.10851760000025</v>
      </c>
      <c r="CA109" s="13">
        <f t="shared" si="93"/>
        <v>96.848855770846484</v>
      </c>
      <c r="CB109" s="20">
        <f t="shared" si="64"/>
        <v>909.07575862089141</v>
      </c>
      <c r="CC109" s="59">
        <f t="shared" si="65"/>
        <v>1193.554762372403</v>
      </c>
      <c r="CD109" s="59">
        <f ca="1">AVERAGE(OFFSET($CC$3,0,0,'Données projet'!$E$12+1,1))-AVERAGE(OFFSET($H$3,0,0,'Données projet'!$E$12+1,1))</f>
        <v>553.16421218123958</v>
      </c>
      <c r="CE109" s="59">
        <f t="shared" si="94"/>
        <v>291.73668613844416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110.25607898070434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110.25607898070434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67.585182841321341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9.7110000000000021</v>
      </c>
      <c r="CT109" s="12">
        <f>IF('Données projet'!$A$140&gt;35,CT108+CS109-DB108,IF(A109&lt;'Données projet'!$A$140,$CQ$205^A109,IF(A109='Données projet'!$A$140,'Données projet'!$B$140,CT108+CS109-DB108)))</f>
        <v>469.83700000000027</v>
      </c>
      <c r="CU109" s="17">
        <f>CT109*VLOOKUP('Données projet'!$B$13,Paramètres!$A$1:$I$89,3,0)*VLOOKUP('Données projet'!$B$13,Paramètres!$A$1:$I$89,5,0)</f>
        <v>476.41471800000028</v>
      </c>
      <c r="CV109" s="13">
        <f t="shared" si="95"/>
        <v>107.10746999753525</v>
      </c>
      <c r="CW109" s="20">
        <f t="shared" si="67"/>
        <v>1016.3011440957075</v>
      </c>
      <c r="CX109" s="59">
        <f t="shared" si="68"/>
        <v>1300.780147847219</v>
      </c>
      <c r="CY109" s="59">
        <f ca="1">AVERAGE(OFFSET($CX$3,0,0,'Données projet'!$E$13+1,1))-AVERAGE(OFFSET($H$3,0,0,'Données projet'!$E$13+1,1))</f>
        <v>611.82989382187804</v>
      </c>
      <c r="CZ109" s="59">
        <f t="shared" si="96"/>
        <v>320.34124600136363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123.562847133548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123.562847133548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67.585182841321341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9.7110000000000021</v>
      </c>
      <c r="DO109" s="12">
        <f>IF('Données projet'!$A$166&gt;35,DO108+DN109-DW108,IF(A109&lt;'Données projet'!$A$166,$DL$205^A109,IF(A109='Données projet'!$A$166,'Données projet'!$B$166,DO108+DN109-DW108)))</f>
        <v>469.83700000000027</v>
      </c>
      <c r="DP109" s="17">
        <f>DO109*VLOOKUP('Données projet'!$B$14,Paramètres!$A$1:$I$89,3,0)*VLOOKUP('Données projet'!$B$14,Paramètres!$A$1:$I$89,5,0)</f>
        <v>505.73254680000025</v>
      </c>
      <c r="DQ109" s="13">
        <f t="shared" si="97"/>
        <v>112.911083657514</v>
      </c>
      <c r="DR109" s="20">
        <f t="shared" si="70"/>
        <v>1077.470989713504</v>
      </c>
      <c r="DS109" s="59">
        <f t="shared" si="71"/>
        <v>1361.9499934650155</v>
      </c>
      <c r="DT109" s="59">
        <f ca="1">AVERAGE(OFFSET($DS$3,0,0,'Données projet'!$E$14+1,1))-AVERAGE(OFFSET($H$3,0,0,'Données projet'!$E$14+1,1))</f>
        <v>645.29541304800614</v>
      </c>
      <c r="DU109" s="59">
        <f t="shared" si="98"/>
        <v>336.65580771733323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131.16671464945853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131.16671464945853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67.585182841321341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319</v>
      </c>
      <c r="EK109" s="17">
        <f>EJ109*VLOOKUP('Données projet'!$B$15,Paramètres!$A$1:$I$89,3,0)*VLOOKUP('Données projet'!$B$15,Paramètres!$A$1:$I$89,5,0)</f>
        <v>233.89079999999998</v>
      </c>
      <c r="EL109" s="13">
        <f t="shared" si="99"/>
        <v>57.123140349023068</v>
      </c>
      <c r="EM109" s="20">
        <f t="shared" si="73"/>
        <v>506.84927944121517</v>
      </c>
      <c r="EN109" s="59">
        <f t="shared" si="74"/>
        <v>791.32828319272676</v>
      </c>
      <c r="EO109" s="59">
        <f ca="1">AVERAGE(OFFSET($EN$3,0,0,'Données projet'!$E$15+1,1))-AVERAGE(OFFSET($H$3,0,0,'Données projet'!$E$15+1,1))</f>
        <v>343.31122043016137</v>
      </c>
      <c r="EP109" s="59">
        <f t="shared" si="100"/>
        <v>333.61098411258877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23.754738308205471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23.754738308205471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67.585182841321341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319</v>
      </c>
      <c r="FF109" s="17">
        <f>FE109*VLOOKUP('Données projet'!$B$16,Paramètres!$A$1:$I$89,3,0)*VLOOKUP('Données projet'!$B$16,Paramètres!$A$1:$I$89,5,0)</f>
        <v>253.79640000000001</v>
      </c>
      <c r="FG109" s="13">
        <f t="shared" si="101"/>
        <v>61.39816832228076</v>
      </c>
      <c r="FH109" s="20">
        <f t="shared" si="76"/>
        <v>548.96387316130563</v>
      </c>
      <c r="FI109" s="59">
        <f t="shared" si="77"/>
        <v>833.44287691281716</v>
      </c>
      <c r="FJ109" s="59">
        <f ca="1">AVERAGE(OFFSET($FI$3,0,0,'Données projet'!$E$16+1,1))-AVERAGE(OFFSET($H$3,0,0,'Données projet'!$E$16+1,1))</f>
        <v>368.12945163484585</v>
      </c>
      <c r="FK109" s="59">
        <f t="shared" si="102"/>
        <v>357.27183934545121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31.770934016367839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31.770934016367839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67.585182841321341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67.585182841321341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3.0869565217391299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11.318840579710143</v>
      </c>
      <c r="H110" s="66">
        <f t="shared" si="56"/>
        <v>211.39130434782609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67.627074520302045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5.2499999999990337</v>
      </c>
      <c r="O110" s="13">
        <f>N110*VLOOKUP('Données projet'!$B$9,Paramètres!$A$1:$I$89,3,0)*VLOOKUP('Données projet'!$B$9,Paramètres!$A$1:$I$89,5,0)</f>
        <v>2.4569999999995478</v>
      </c>
      <c r="P110" s="13">
        <f t="shared" si="87"/>
        <v>1.0197977774625564</v>
      </c>
      <c r="Q110" s="20">
        <f t="shared" si="107"/>
        <v>6.0554227957464972</v>
      </c>
      <c r="R110" s="59">
        <f t="shared" si="55"/>
        <v>290.68802937018734</v>
      </c>
      <c r="S110" s="59">
        <f ca="1">AVERAGE(OFFSET($R$3,0,0,'Données projet'!$E$9+1,1))-AVERAGE(OFFSET($H$3,0,0,'Données projet'!$E$9+1,1))</f>
        <v>320.30433416149219</v>
      </c>
      <c r="T110" s="59">
        <f t="shared" si="88"/>
        <v>201.33422682092797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252.70264589627394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252.70264589627394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67.627074520302045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763.00000000000057</v>
      </c>
      <c r="AJ110" s="13">
        <f>AI110*VLOOKUP('Données projet'!$B$10,Paramètres!$A$1:$I$89,3,0)*VLOOKUP('Données projet'!$B$10,Paramètres!$A$1:$I$89,5,0)</f>
        <v>456.2740000000004</v>
      </c>
      <c r="AK110" s="13">
        <f t="shared" si="89"/>
        <v>103.09649786611838</v>
      </c>
      <c r="AL110" s="20">
        <f t="shared" si="58"/>
        <v>974.23695045015677</v>
      </c>
      <c r="AM110" s="59">
        <f t="shared" si="59"/>
        <v>1258.8695570245977</v>
      </c>
      <c r="AN110" s="59">
        <f ca="1">AVERAGE(OFFSET($AM$3,0,0,'Données projet'!$E$10+1,1))-AVERAGE(OFFSET($H$3,0,0,'Données projet'!$E$10+1,1))</f>
        <v>569.80473816957431</v>
      </c>
      <c r="AO110" s="59">
        <f t="shared" si="90"/>
        <v>495.56567790763199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62.345783388406502</v>
      </c>
      <c r="AV110" s="21">
        <f>EXP(-LN(2)/25)*AV109+(1-EXP(-LN(2)/25))/(LN(2)/25)*Calculateur!AQ110*Calculateur!AS110*VLOOKUP('Données projet'!$B$10,Paramètres!$A$1:$I$89,3,0)*0.475*44/12</f>
        <v>7.7365488067842749</v>
      </c>
      <c r="AW110" s="21">
        <f>EXP(-LN(2)/2)*AW109+(1-EXP(-LN(2)/2))/(LN(2)/2)*AQ110*AT110*VLOOKUP('Données projet'!$B$10,Paramètres!$A$1:$I$89,3,0)*0.475*44/12</f>
        <v>2.0205807789377245E-13</v>
      </c>
      <c r="AX110" s="21">
        <f t="shared" si="60"/>
        <v>70.082332195190972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67.627074520302045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-2.5006556825246661E-14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180.42749272334603</v>
      </c>
      <c r="BJ110" s="59">
        <f t="shared" si="92"/>
        <v>346.61476512497495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13.916725657478267</v>
      </c>
      <c r="BQ110" s="21">
        <f>EXP(-LN(2)/25)*BQ109+(1-EXP(-LN(2)/25))/(LN(2)/25)*Calculateur!BL110*Calculateur!BN110*VLOOKUP('Données projet'!$B$11,Paramètres!$A$1:$I$89,3,0)*0.475*44/12</f>
        <v>1.958861923168318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15.875587580646584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67.627074520302045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9.7110000000000021</v>
      </c>
      <c r="BY110" s="12">
        <f>IF('Données projet'!$A$114&gt;35,BY109+BX110-CG109,IF(A110&lt;'Données projet'!$A$114,$BV$205^A110,IF(A110='Données projet'!$A$114,'Données projet'!$B$114,BY109+BX110-CG109)))</f>
        <v>479.54800000000029</v>
      </c>
      <c r="BZ110" s="13">
        <f>BY110*VLOOKUP('Données projet'!$B$12,Paramètres!$A$1:$I$89,3,0)*VLOOKUP('Données projet'!$B$12,Paramètres!$A$1:$I$89,5,0)</f>
        <v>433.89503040000028</v>
      </c>
      <c r="CA110" s="13">
        <f t="shared" si="93"/>
        <v>98.615496264061846</v>
      </c>
      <c r="CB110" s="20">
        <f t="shared" si="64"/>
        <v>927.45583393990819</v>
      </c>
      <c r="CC110" s="59">
        <f t="shared" si="65"/>
        <v>1212.088440514349</v>
      </c>
      <c r="CD110" s="59">
        <f ca="1">AVERAGE(OFFSET($CC$3,0,0,'Données projet'!$E$12+1,1))-AVERAGE(OFFSET($H$3,0,0,'Données projet'!$E$12+1,1))</f>
        <v>553.16421218123958</v>
      </c>
      <c r="CE110" s="59">
        <f t="shared" si="94"/>
        <v>291.73668613844416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108.09402452146057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108.09402452146057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67.627074520302045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9.7110000000000021</v>
      </c>
      <c r="CT110" s="12">
        <f>IF('Données projet'!$A$140&gt;35,CT109+CS110-DB109,IF(A110&lt;'Données projet'!$A$140,$CQ$205^A110,IF(A110='Données projet'!$A$140,'Données projet'!$B$140,CT109+CS110-DB109)))</f>
        <v>479.54800000000029</v>
      </c>
      <c r="CU110" s="17">
        <f>CT110*VLOOKUP('Données projet'!$B$13,Paramètres!$A$1:$I$89,3,0)*VLOOKUP('Données projet'!$B$13,Paramètres!$A$1:$I$89,5,0)</f>
        <v>486.26167200000032</v>
      </c>
      <c r="CV110" s="13">
        <f t="shared" si="95"/>
        <v>109.06124004590019</v>
      </c>
      <c r="CW110" s="20">
        <f t="shared" si="67"/>
        <v>1036.8540718132765</v>
      </c>
      <c r="CX110" s="59">
        <f t="shared" si="68"/>
        <v>1321.4866783877173</v>
      </c>
      <c r="CY110" s="59">
        <f ca="1">AVERAGE(OFFSET($CX$3,0,0,'Données projet'!$E$13+1,1))-AVERAGE(OFFSET($H$3,0,0,'Données projet'!$E$13+1,1))</f>
        <v>611.82989382187804</v>
      </c>
      <c r="CZ110" s="59">
        <f t="shared" si="96"/>
        <v>320.34124600136363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121.13985506715412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121.13985506715412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67.627074520302045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9.7110000000000021</v>
      </c>
      <c r="DO110" s="12">
        <f>IF('Données projet'!$A$166&gt;35,DO109+DN110-DW109,IF(A110&lt;'Données projet'!$A$166,$DL$205^A110,IF(A110='Données projet'!$A$166,'Données projet'!$B$166,DO109+DN110-DW109)))</f>
        <v>479.54800000000029</v>
      </c>
      <c r="DP110" s="17">
        <f>DO110*VLOOKUP('Données projet'!$B$14,Paramètres!$A$1:$I$89,3,0)*VLOOKUP('Données projet'!$B$14,Paramètres!$A$1:$I$89,5,0)</f>
        <v>516.18546720000029</v>
      </c>
      <c r="DQ110" s="13">
        <f t="shared" si="97"/>
        <v>114.9707186520065</v>
      </c>
      <c r="DR110" s="20">
        <f t="shared" si="70"/>
        <v>1099.2636903589116</v>
      </c>
      <c r="DS110" s="59">
        <f t="shared" si="71"/>
        <v>1383.8962969333525</v>
      </c>
      <c r="DT110" s="59">
        <f ca="1">AVERAGE(OFFSET($DS$3,0,0,'Données projet'!$E$14+1,1))-AVERAGE(OFFSET($H$3,0,0,'Données projet'!$E$14+1,1))</f>
        <v>645.29541304800614</v>
      </c>
      <c r="DU110" s="59">
        <f t="shared" si="98"/>
        <v>336.65580771733323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128.59461537897886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128.59461537897886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67.627074520302045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319</v>
      </c>
      <c r="EK110" s="17">
        <f>EJ110*VLOOKUP('Données projet'!$B$15,Paramètres!$A$1:$I$89,3,0)*VLOOKUP('Données projet'!$B$15,Paramètres!$A$1:$I$89,5,0)</f>
        <v>233.89079999999998</v>
      </c>
      <c r="EL110" s="13">
        <f t="shared" si="99"/>
        <v>57.123140349023068</v>
      </c>
      <c r="EM110" s="20">
        <f t="shared" si="73"/>
        <v>506.84927944121517</v>
      </c>
      <c r="EN110" s="59">
        <f t="shared" si="74"/>
        <v>791.48188601565607</v>
      </c>
      <c r="EO110" s="59">
        <f ca="1">AVERAGE(OFFSET($EN$3,0,0,'Données projet'!$E$15+1,1))-AVERAGE(OFFSET($H$3,0,0,'Données projet'!$E$15+1,1))</f>
        <v>343.31122043016137</v>
      </c>
      <c r="EP110" s="59">
        <f t="shared" si="100"/>
        <v>333.61098411258877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23.288922378941265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23.288922378941265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67.627074520302045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319</v>
      </c>
      <c r="FF110" s="17">
        <f>FE110*VLOOKUP('Données projet'!$B$16,Paramètres!$A$1:$I$89,3,0)*VLOOKUP('Données projet'!$B$16,Paramètres!$A$1:$I$89,5,0)</f>
        <v>253.79640000000001</v>
      </c>
      <c r="FG110" s="13">
        <f t="shared" si="101"/>
        <v>61.39816832228076</v>
      </c>
      <c r="FH110" s="20">
        <f t="shared" si="76"/>
        <v>548.96387316130563</v>
      </c>
      <c r="FI110" s="59">
        <f t="shared" si="77"/>
        <v>833.59647973574647</v>
      </c>
      <c r="FJ110" s="59">
        <f ca="1">AVERAGE(OFFSET($FI$3,0,0,'Données projet'!$E$16+1,1))-AVERAGE(OFFSET($H$3,0,0,'Données projet'!$E$16+1,1))</f>
        <v>368.12945163484585</v>
      </c>
      <c r="FK110" s="59">
        <f t="shared" si="102"/>
        <v>357.27183934545121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31.14792537866316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31.14792537866316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67.627074520302045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67.627074520302045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3.0869565217391299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11.318840579710143</v>
      </c>
      <c r="H111" s="66">
        <f t="shared" si="56"/>
        <v>211.39130434782609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67.668239472308187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5.2499999999990337</v>
      </c>
      <c r="O111" s="13">
        <f>N111*VLOOKUP('Données projet'!$B$9,Paramètres!$A$1:$I$89,3,0)*VLOOKUP('Données projet'!$B$9,Paramètres!$A$1:$I$89,5,0)</f>
        <v>2.4569999999995478</v>
      </c>
      <c r="P111" s="13">
        <f t="shared" si="87"/>
        <v>1.0197977774625564</v>
      </c>
      <c r="Q111" s="20">
        <f t="shared" si="107"/>
        <v>6.0554227957464972</v>
      </c>
      <c r="R111" s="59">
        <f t="shared" si="55"/>
        <v>290.83896752754316</v>
      </c>
      <c r="S111" s="59">
        <f ca="1">AVERAGE(OFFSET($R$3,0,0,'Données projet'!$E$9+1,1))-AVERAGE(OFFSET($H$3,0,0,'Données projet'!$E$9+1,1))</f>
        <v>320.30433416149219</v>
      </c>
      <c r="T111" s="59">
        <f t="shared" si="88"/>
        <v>201.33422682092797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247.7473011436426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247.7473011436426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67.668239472308187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763.00000000000057</v>
      </c>
      <c r="AJ111" s="13">
        <f>AI111*VLOOKUP('Données projet'!$B$10,Paramètres!$A$1:$I$89,3,0)*VLOOKUP('Données projet'!$B$10,Paramètres!$A$1:$I$89,5,0)</f>
        <v>456.2740000000004</v>
      </c>
      <c r="AK111" s="13">
        <f t="shared" si="89"/>
        <v>103.09649786611838</v>
      </c>
      <c r="AL111" s="20">
        <f t="shared" si="58"/>
        <v>974.23695045015677</v>
      </c>
      <c r="AM111" s="59">
        <f t="shared" si="59"/>
        <v>1259.0204951819535</v>
      </c>
      <c r="AN111" s="59">
        <f ca="1">AVERAGE(OFFSET($AM$3,0,0,'Données projet'!$E$10+1,1))-AVERAGE(OFFSET($H$3,0,0,'Données projet'!$E$10+1,1))</f>
        <v>569.80473816957431</v>
      </c>
      <c r="AO111" s="59">
        <f t="shared" si="90"/>
        <v>495.56567790763199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61.123220603332847</v>
      </c>
      <c r="AV111" s="21">
        <f>EXP(-LN(2)/25)*AV110+(1-EXP(-LN(2)/25))/(LN(2)/25)*Calculateur!AQ111*Calculateur!AS111*VLOOKUP('Données projet'!$B$10,Paramètres!$A$1:$I$89,3,0)*0.475*44/12</f>
        <v>7.524992472815339</v>
      </c>
      <c r="AW111" s="21">
        <f>EXP(-LN(2)/2)*AW110+(1-EXP(-LN(2)/2))/(LN(2)/2)*AQ111*AT111*VLOOKUP('Données projet'!$B$10,Paramètres!$A$1:$I$89,3,0)*0.475*44/12</f>
        <v>1.4287663707220613E-13</v>
      </c>
      <c r="AX111" s="21">
        <f t="shared" si="60"/>
        <v>68.648213076148323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67.668239472308187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-2.5006556825246661E-14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180.42749272334603</v>
      </c>
      <c r="BJ111" s="59">
        <f t="shared" si="92"/>
        <v>346.61476512497495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13.643827155699613</v>
      </c>
      <c r="BQ111" s="21">
        <f>EXP(-LN(2)/25)*BQ110+(1-EXP(-LN(2)/25))/(LN(2)/25)*Calculateur!BL111*Calculateur!BN111*VLOOKUP('Données projet'!$B$11,Paramètres!$A$1:$I$89,3,0)*0.475*44/12</f>
        <v>1.9052967408672088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15.549123896566822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67.668239472308187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9.7110000000000021</v>
      </c>
      <c r="BY111" s="12">
        <f>IF('Données projet'!$A$114&gt;35,BY110+BX111-CG110,IF(A111&lt;'Données projet'!$A$114,$BV$205^A111,IF(A111='Données projet'!$A$114,'Données projet'!$B$114,BY110+BX111-CG110)))</f>
        <v>489.2590000000003</v>
      </c>
      <c r="BZ111" s="13">
        <f>BY111*VLOOKUP('Données projet'!$B$12,Paramètres!$A$1:$I$89,3,0)*VLOOKUP('Données projet'!$B$12,Paramètres!$A$1:$I$89,5,0)</f>
        <v>442.68154320000025</v>
      </c>
      <c r="CA111" s="13">
        <f t="shared" si="93"/>
        <v>100.37797714680627</v>
      </c>
      <c r="CB111" s="20">
        <f t="shared" si="64"/>
        <v>945.82866460402113</v>
      </c>
      <c r="CC111" s="59">
        <f t="shared" si="65"/>
        <v>1230.6122093358179</v>
      </c>
      <c r="CD111" s="59">
        <f ca="1">AVERAGE(OFFSET($CC$3,0,0,'Données projet'!$E$12+1,1))-AVERAGE(OFFSET($H$3,0,0,'Données projet'!$E$12+1,1))</f>
        <v>553.16421218123958</v>
      </c>
      <c r="CE111" s="59">
        <f t="shared" si="94"/>
        <v>291.73668613844416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105.97436663143955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105.97436663143955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67.668239472308187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9.7110000000000021</v>
      </c>
      <c r="CT111" s="12">
        <f>IF('Données projet'!$A$140&gt;35,CT110+CS111-DB110,IF(A111&lt;'Données projet'!$A$140,$CQ$205^A111,IF(A111='Données projet'!$A$140,'Données projet'!$B$140,CT110+CS111-DB110)))</f>
        <v>489.2590000000003</v>
      </c>
      <c r="CU111" s="17">
        <f>CT111*VLOOKUP('Données projet'!$B$13,Paramètres!$A$1:$I$89,3,0)*VLOOKUP('Données projet'!$B$13,Paramètres!$A$1:$I$89,5,0)</f>
        <v>496.10862600000036</v>
      </c>
      <c r="CV111" s="13">
        <f t="shared" si="95"/>
        <v>111.01040988138524</v>
      </c>
      <c r="CW111" s="20">
        <f t="shared" si="67"/>
        <v>1057.3989874934132</v>
      </c>
      <c r="CX111" s="59">
        <f t="shared" si="68"/>
        <v>1342.1825322252098</v>
      </c>
      <c r="CY111" s="59">
        <f ca="1">AVERAGE(OFFSET($CX$3,0,0,'Données projet'!$E$13+1,1))-AVERAGE(OFFSET($H$3,0,0,'Données projet'!$E$13+1,1))</f>
        <v>611.82989382187804</v>
      </c>
      <c r="CZ111" s="59">
        <f t="shared" si="96"/>
        <v>320.34124600136363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118.76437639730298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118.76437639730298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67.668239472308187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9.7110000000000021</v>
      </c>
      <c r="DO111" s="12">
        <f>IF('Données projet'!$A$166&gt;35,DO110+DN111-DW110,IF(A111&lt;'Données projet'!$A$166,$DL$205^A111,IF(A111='Données projet'!$A$166,'Données projet'!$B$166,DO110+DN111-DW110)))</f>
        <v>489.2590000000003</v>
      </c>
      <c r="DP111" s="17">
        <f>DO111*VLOOKUP('Données projet'!$B$14,Paramètres!$A$1:$I$89,3,0)*VLOOKUP('Données projet'!$B$14,Paramètres!$A$1:$I$89,5,0)</f>
        <v>526.63838760000021</v>
      </c>
      <c r="DQ111" s="13">
        <f t="shared" si="97"/>
        <v>117.02550417128187</v>
      </c>
      <c r="DR111" s="20">
        <f t="shared" si="70"/>
        <v>1121.0479448349831</v>
      </c>
      <c r="DS111" s="59">
        <f t="shared" si="71"/>
        <v>1405.8314895667797</v>
      </c>
      <c r="DT111" s="59">
        <f ca="1">AVERAGE(OFFSET($DS$3,0,0,'Données projet'!$E$14+1,1))-AVERAGE(OFFSET($H$3,0,0,'Données projet'!$E$14+1,1))</f>
        <v>645.29541304800614</v>
      </c>
      <c r="DU111" s="59">
        <f t="shared" si="98"/>
        <v>336.65580771733323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126.07295340636766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126.07295340636766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67.668239472308187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319</v>
      </c>
      <c r="EK111" s="17">
        <f>EJ111*VLOOKUP('Données projet'!$B$15,Paramètres!$A$1:$I$89,3,0)*VLOOKUP('Données projet'!$B$15,Paramètres!$A$1:$I$89,5,0)</f>
        <v>233.89079999999998</v>
      </c>
      <c r="EL111" s="13">
        <f t="shared" si="99"/>
        <v>57.123140349023068</v>
      </c>
      <c r="EM111" s="20">
        <f t="shared" si="73"/>
        <v>506.84927944121517</v>
      </c>
      <c r="EN111" s="59">
        <f t="shared" si="74"/>
        <v>791.63282417301184</v>
      </c>
      <c r="EO111" s="59">
        <f ca="1">AVERAGE(OFFSET($EN$3,0,0,'Données projet'!$E$15+1,1))-AVERAGE(OFFSET($H$3,0,0,'Données projet'!$E$15+1,1))</f>
        <v>343.31122043016137</v>
      </c>
      <c r="EP111" s="59">
        <f t="shared" si="100"/>
        <v>333.61098411258877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22.832240815930266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22.832240815930266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67.668239472308187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319</v>
      </c>
      <c r="FF111" s="17">
        <f>FE111*VLOOKUP('Données projet'!$B$16,Paramètres!$A$1:$I$89,3,0)*VLOOKUP('Données projet'!$B$16,Paramètres!$A$1:$I$89,5,0)</f>
        <v>253.79640000000001</v>
      </c>
      <c r="FG111" s="13">
        <f t="shared" si="101"/>
        <v>61.39816832228076</v>
      </c>
      <c r="FH111" s="20">
        <f t="shared" si="76"/>
        <v>548.96387316130563</v>
      </c>
      <c r="FI111" s="59">
        <f t="shared" si="77"/>
        <v>833.74741789310224</v>
      </c>
      <c r="FJ111" s="59">
        <f ca="1">AVERAGE(OFFSET($FI$3,0,0,'Données projet'!$E$16+1,1))-AVERAGE(OFFSET($H$3,0,0,'Données projet'!$E$16+1,1))</f>
        <v>368.12945163484585</v>
      </c>
      <c r="FK111" s="59">
        <f t="shared" si="102"/>
        <v>357.27183934545121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30.537133560346124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30.537133560346124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67.668239472308187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67.668239472308187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3.0869565217391299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11.318840579710143</v>
      </c>
      <c r="H112" s="66">
        <f t="shared" si="56"/>
        <v>211.39130434782609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67.708690304428075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5.2499999999990337</v>
      </c>
      <c r="O112" s="13">
        <f>N112*VLOOKUP('Données projet'!$B$9,Paramètres!$A$1:$I$89,3,0)*VLOOKUP('Données projet'!$B$9,Paramètres!$A$1:$I$89,5,0)</f>
        <v>2.4569999999995478</v>
      </c>
      <c r="P112" s="13">
        <f t="shared" si="87"/>
        <v>1.0197977774625564</v>
      </c>
      <c r="Q112" s="20">
        <f t="shared" si="107"/>
        <v>6.0554227957464972</v>
      </c>
      <c r="R112" s="59">
        <f t="shared" si="55"/>
        <v>290.98728724531611</v>
      </c>
      <c r="S112" s="59">
        <f ca="1">AVERAGE(OFFSET($R$3,0,0,'Données projet'!$E$9+1,1))-AVERAGE(OFFSET($H$3,0,0,'Données projet'!$E$9+1,1))</f>
        <v>320.30433416149219</v>
      </c>
      <c r="T112" s="59">
        <f t="shared" si="88"/>
        <v>201.33422682092797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242.88912767914852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242.88912767914852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67.708690304428075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763.00000000000057</v>
      </c>
      <c r="AJ112" s="13">
        <f>AI112*VLOOKUP('Données projet'!$B$10,Paramètres!$A$1:$I$89,3,0)*VLOOKUP('Données projet'!$B$10,Paramètres!$A$1:$I$89,5,0)</f>
        <v>456.2740000000004</v>
      </c>
      <c r="AK112" s="13">
        <f t="shared" si="89"/>
        <v>103.09649786611838</v>
      </c>
      <c r="AL112" s="20">
        <f t="shared" si="58"/>
        <v>974.23695045015677</v>
      </c>
      <c r="AM112" s="59">
        <f t="shared" si="59"/>
        <v>1259.1688148997264</v>
      </c>
      <c r="AN112" s="59">
        <f ca="1">AVERAGE(OFFSET($AM$3,0,0,'Données projet'!$E$10+1,1))-AVERAGE(OFFSET($H$3,0,0,'Données projet'!$E$10+1,1))</f>
        <v>569.80473816957431</v>
      </c>
      <c r="AO112" s="59">
        <f t="shared" si="90"/>
        <v>495.56567790763199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59.924631528784815</v>
      </c>
      <c r="AV112" s="21">
        <f>EXP(-LN(2)/25)*AV111+(1-EXP(-LN(2)/25))/(LN(2)/25)*Calculateur!AQ112*Calculateur!AS112*VLOOKUP('Données projet'!$B$10,Paramètres!$A$1:$I$89,3,0)*0.475*44/12</f>
        <v>7.3192211579240478</v>
      </c>
      <c r="AW112" s="21">
        <f>EXP(-LN(2)/2)*AW111+(1-EXP(-LN(2)/2))/(LN(2)/2)*AQ112*AT112*VLOOKUP('Données projet'!$B$10,Paramètres!$A$1:$I$89,3,0)*0.475*44/12</f>
        <v>1.0102903894688622E-13</v>
      </c>
      <c r="AX112" s="21">
        <f t="shared" si="60"/>
        <v>67.243852686708962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67.708690304428075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-2.5006556825246661E-14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180.42749272334603</v>
      </c>
      <c r="BJ112" s="59">
        <f t="shared" si="92"/>
        <v>346.61476512497495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13.376280027089187</v>
      </c>
      <c r="BQ112" s="21">
        <f>EXP(-LN(2)/25)*BQ111+(1-EXP(-LN(2)/25))/(LN(2)/25)*Calculateur!BL112*Calculateur!BN112*VLOOKUP('Données projet'!$B$11,Paramètres!$A$1:$I$89,3,0)*0.475*44/12</f>
        <v>1.853196301292994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15.229476328382182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67.708690304428075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498.97</v>
      </c>
      <c r="BW112" s="12">
        <f>VLOOKUP(A112,'Données projet'!$A$113:$I$133,9,0)</f>
        <v>9.7110000000000021</v>
      </c>
      <c r="BX112" s="12">
        <f t="array" ref="BX112">INDEX(BW:BW,MIN(IF(ISNUMBER(BW112:BW308),ROW(BW112:BW308),"")))</f>
        <v>9.7110000000000021</v>
      </c>
      <c r="BY112" s="12">
        <f>IF('Données projet'!$A$114&gt;35,BY111+BX112-CG111,IF(A112&lt;'Données projet'!$A$114,$BV$205^A112,IF(A112='Données projet'!$A$114,'Données projet'!$B$114,BY111+BX112-CG111)))</f>
        <v>498.97000000000031</v>
      </c>
      <c r="BZ112" s="13">
        <f>BY112*VLOOKUP('Données projet'!$B$12,Paramètres!$A$1:$I$89,3,0)*VLOOKUP('Données projet'!$B$12,Paramètres!$A$1:$I$89,5,0)</f>
        <v>451.46805600000027</v>
      </c>
      <c r="CA112" s="13">
        <f t="shared" si="93"/>
        <v>102.13639049659334</v>
      </c>
      <c r="CB112" s="20">
        <f t="shared" si="64"/>
        <v>964.1944109815671</v>
      </c>
      <c r="CC112" s="59">
        <f t="shared" si="65"/>
        <v>1249.1262754311367</v>
      </c>
      <c r="CD112" s="59">
        <f ca="1">AVERAGE(OFFSET($CC$3,0,0,'Données projet'!$E$12+1,1))-AVERAGE(OFFSET($H$3,0,0,'Données projet'!$E$12+1,1))</f>
        <v>553.16421218123958</v>
      </c>
      <c r="CE112" s="59">
        <f t="shared" si="94"/>
        <v>291.73668613844416</v>
      </c>
      <c r="CF112" s="15">
        <f>IF(ISNA(VLOOKUP(A112,'Données projet'!$A$113:$I$133,3,0)),0,VLOOKUP(A112,'Données projet'!$A$113:$I$133,3,0))</f>
        <v>10</v>
      </c>
      <c r="CG112" s="15">
        <f>IF(ISNA(VLOOKUP(A112,'Données projet'!$A$113:$I$133,4,0)),0,VLOOKUP(A112,'Données projet'!$A$113:$I$133,4,0))</f>
        <v>66.959999999999994</v>
      </c>
      <c r="CH112" s="16">
        <f>IF(ISNA(VLOOKUP(A112,'Données projet'!$A$113:$I$133,5,0)),0%,VLOOKUP(A112,'Données projet'!$A$113:$I$133,5,0)*VLOOKUP('Données projet'!$B$12,Paramètres!$A$1:$I$89,7,0))</f>
        <v>0.43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132.69568474942321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132.69568474942321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67.708690304428075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>
        <f>VLOOKUP(A112,'Données projet'!$A$139:$I$159,2,0)</f>
        <v>498.97</v>
      </c>
      <c r="CR112" s="12">
        <f>VLOOKUP(A112,'Données projet'!$A$139:$I$159,9,0)</f>
        <v>9.7110000000000021</v>
      </c>
      <c r="CS112" s="12">
        <f t="array" ref="CS112">INDEX(CR:CR,MIN(IF(ISNUMBER(CR112:CR308),ROW(CR112:CR308),"")))</f>
        <v>9.7110000000000021</v>
      </c>
      <c r="CT112" s="12">
        <f>IF('Données projet'!$A$140&gt;35,CT111+CS112-DB111,IF(A112&lt;'Données projet'!$A$140,$CQ$205^A112,IF(A112='Données projet'!$A$140,'Données projet'!$B$140,CT111+CS112-DB111)))</f>
        <v>498.97000000000031</v>
      </c>
      <c r="CU112" s="17">
        <f>CT112*VLOOKUP('Données projet'!$B$13,Paramètres!$A$1:$I$89,3,0)*VLOOKUP('Données projet'!$B$13,Paramètres!$A$1:$I$89,5,0)</f>
        <v>505.95558000000034</v>
      </c>
      <c r="CV112" s="13">
        <f t="shared" si="95"/>
        <v>112.9550813347188</v>
      </c>
      <c r="CW112" s="20">
        <f t="shared" si="67"/>
        <v>1077.9360684913026</v>
      </c>
      <c r="CX112" s="59">
        <f t="shared" si="68"/>
        <v>1362.8679329408724</v>
      </c>
      <c r="CY112" s="59">
        <f ca="1">AVERAGE(OFFSET($CX$3,0,0,'Données projet'!$E$13+1,1))-AVERAGE(OFFSET($H$3,0,0,'Données projet'!$E$13+1,1))</f>
        <v>611.82989382187804</v>
      </c>
      <c r="CZ112" s="59">
        <f t="shared" si="96"/>
        <v>320.34124600136363</v>
      </c>
      <c r="DA112" s="15">
        <f>IF(ISNA(VLOOKUP(A112,'Données projet'!$A$139:$I$159,3,0)),0,VLOOKUP(A112,'Données projet'!$A$139:$I$159,3,0))</f>
        <v>10</v>
      </c>
      <c r="DB112" s="15">
        <f>IF(ISNA(VLOOKUP(A112,'Données projet'!$A$139:$I$159,4,0)),0,VLOOKUP(A112,'Données projet'!$A$139:$I$159,4,0))</f>
        <v>66.959999999999994</v>
      </c>
      <c r="DC112" s="16">
        <f>IF(ISNA(VLOOKUP(A112,'Données projet'!$A$139:$I$159,5,0)),0%,VLOOKUP(A112,'Données projet'!$A$139:$I$159,5,0)*VLOOKUP('Données projet'!$B$13,Paramètres!$A$1:$I$89,7,0))</f>
        <v>0.43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148.71068118469847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148.71068118469847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67.708690304428075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>
        <f>VLOOKUP(A112,'Données projet'!$A$165:$I$185,2,0)</f>
        <v>498.97</v>
      </c>
      <c r="DM112" s="12">
        <f>VLOOKUP(A112,'Données projet'!$A$165:$I$185,9,0)</f>
        <v>9.7110000000000021</v>
      </c>
      <c r="DN112" s="12">
        <f t="array" ref="DN112">INDEX(DM:DM,MIN(IF(ISNUMBER(DM112:DM308),ROW(DM112:DM308),"")))</f>
        <v>9.7110000000000021</v>
      </c>
      <c r="DO112" s="12">
        <f>IF('Données projet'!$A$166&gt;35,DO111+DN112-DW111,IF(A112&lt;'Données projet'!$A$166,$DL$205^A112,IF(A112='Données projet'!$A$166,'Données projet'!$B$166,DO111+DN112-DW111)))</f>
        <v>498.97000000000031</v>
      </c>
      <c r="DP112" s="17">
        <f>DO112*VLOOKUP('Données projet'!$B$14,Paramètres!$A$1:$I$89,3,0)*VLOOKUP('Données projet'!$B$14,Paramètres!$A$1:$I$89,5,0)</f>
        <v>537.09130800000037</v>
      </c>
      <c r="DQ112" s="13">
        <f t="shared" si="97"/>
        <v>119.07554756376211</v>
      </c>
      <c r="DR112" s="20">
        <f t="shared" si="70"/>
        <v>1142.8239401068863</v>
      </c>
      <c r="DS112" s="59">
        <f t="shared" si="71"/>
        <v>1427.755804556456</v>
      </c>
      <c r="DT112" s="59">
        <f ca="1">AVERAGE(OFFSET($DS$3,0,0,'Données projet'!$E$14+1,1))-AVERAGE(OFFSET($H$3,0,0,'Données projet'!$E$14+1,1))</f>
        <v>645.29541304800614</v>
      </c>
      <c r="DU112" s="59">
        <f t="shared" si="98"/>
        <v>336.65580771733323</v>
      </c>
      <c r="DV112" s="15">
        <f>IF(ISNA(VLOOKUP(A112,'Données projet'!$A$165:$I$185,3,0)),0,VLOOKUP(A112,'Données projet'!$A$165:$I$185,3,0))</f>
        <v>10</v>
      </c>
      <c r="DW112" s="15">
        <f>IF(ISNA(VLOOKUP(A112,'Données projet'!$A$165:$I$185,4,0)),0,VLOOKUP(A112,'Données projet'!$A$165:$I$185,4,0))</f>
        <v>66.959999999999994</v>
      </c>
      <c r="DX112" s="16">
        <f>IF(ISNA(VLOOKUP(A112,'Données projet'!$A$165:$I$185,5,0)),0%,VLOOKUP(A112,'Données projet'!$A$165:$I$185,5,0)*VLOOKUP('Données projet'!$B$14,Paramètres!$A$1:$I$89,7,0))</f>
        <v>0.43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157.86210771914133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157.86210771914133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67.708690304428075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319</v>
      </c>
      <c r="EK112" s="17">
        <f>EJ112*VLOOKUP('Données projet'!$B$15,Paramètres!$A$1:$I$89,3,0)*VLOOKUP('Données projet'!$B$15,Paramètres!$A$1:$I$89,5,0)</f>
        <v>233.89079999999998</v>
      </c>
      <c r="EL112" s="13">
        <f t="shared" si="99"/>
        <v>57.123140349023068</v>
      </c>
      <c r="EM112" s="20">
        <f t="shared" si="73"/>
        <v>506.84927944121517</v>
      </c>
      <c r="EN112" s="59">
        <f t="shared" si="74"/>
        <v>791.78114389078473</v>
      </c>
      <c r="EO112" s="59">
        <f ca="1">AVERAGE(OFFSET($EN$3,0,0,'Données projet'!$E$15+1,1))-AVERAGE(OFFSET($H$3,0,0,'Données projet'!$E$15+1,1))</f>
        <v>343.31122043016137</v>
      </c>
      <c r="EP112" s="59">
        <f t="shared" si="100"/>
        <v>333.61098411258877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22.384514499821663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22.384514499821663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67.708690304428075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319</v>
      </c>
      <c r="FF112" s="17">
        <f>FE112*VLOOKUP('Données projet'!$B$16,Paramètres!$A$1:$I$89,3,0)*VLOOKUP('Données projet'!$B$16,Paramètres!$A$1:$I$89,5,0)</f>
        <v>253.79640000000001</v>
      </c>
      <c r="FG112" s="13">
        <f t="shared" si="101"/>
        <v>61.39816832228076</v>
      </c>
      <c r="FH112" s="20">
        <f t="shared" si="76"/>
        <v>548.96387316130563</v>
      </c>
      <c r="FI112" s="59">
        <f t="shared" si="77"/>
        <v>833.89573761087524</v>
      </c>
      <c r="FJ112" s="59">
        <f ca="1">AVERAGE(OFFSET($FI$3,0,0,'Données projet'!$E$16+1,1))-AVERAGE(OFFSET($H$3,0,0,'Données projet'!$E$16+1,1))</f>
        <v>368.12945163484585</v>
      </c>
      <c r="FK112" s="59">
        <f t="shared" si="102"/>
        <v>357.27183934545121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29.938318997040064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29.938318997040064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67.708690304428075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67.708690304428075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3.0869565217391299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11.318840579710143</v>
      </c>
      <c r="H113" s="66">
        <f t="shared" si="56"/>
        <v>211.39130434782609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67.74843940504519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5.2499999999990337</v>
      </c>
      <c r="O113" s="13">
        <f>N113*VLOOKUP('Données projet'!$B$9,Paramètres!$A$1:$I$89,3,0)*VLOOKUP('Données projet'!$B$9,Paramètres!$A$1:$I$89,5,0)</f>
        <v>2.4569999999995478</v>
      </c>
      <c r="P113" s="13">
        <f t="shared" si="87"/>
        <v>1.0197977774625564</v>
      </c>
      <c r="Q113" s="20">
        <f t="shared" si="107"/>
        <v>6.0554227957464972</v>
      </c>
      <c r="R113" s="59">
        <f t="shared" si="55"/>
        <v>291.13303394757884</v>
      </c>
      <c r="S113" s="59">
        <f ca="1">AVERAGE(OFFSET($R$3,0,0,'Données projet'!$E$9+1,1))-AVERAGE(OFFSET($H$3,0,0,'Données projet'!$E$9+1,1))</f>
        <v>320.30433416149219</v>
      </c>
      <c r="T113" s="59">
        <f t="shared" si="88"/>
        <v>201.33422682092797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238.12622003309991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238.12622003309991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67.74843940504519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763.00000000000057</v>
      </c>
      <c r="AJ113" s="13">
        <f>AI113*VLOOKUP('Données projet'!$B$10,Paramètres!$A$1:$I$89,3,0)*VLOOKUP('Données projet'!$B$10,Paramètres!$A$1:$I$89,5,0)</f>
        <v>456.2740000000004</v>
      </c>
      <c r="AK113" s="13">
        <f t="shared" si="89"/>
        <v>103.09649786611838</v>
      </c>
      <c r="AL113" s="20">
        <f t="shared" si="58"/>
        <v>974.23695045015677</v>
      </c>
      <c r="AM113" s="59">
        <f t="shared" si="59"/>
        <v>1259.3145616019892</v>
      </c>
      <c r="AN113" s="59">
        <f ca="1">AVERAGE(OFFSET($AM$3,0,0,'Données projet'!$E$10+1,1))-AVERAGE(OFFSET($H$3,0,0,'Données projet'!$E$10+1,1))</f>
        <v>569.80473816957431</v>
      </c>
      <c r="AO113" s="59">
        <f t="shared" si="90"/>
        <v>495.56567790763199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58.749546054921524</v>
      </c>
      <c r="AV113" s="21">
        <f>EXP(-LN(2)/25)*AV112+(1-EXP(-LN(2)/25))/(LN(2)/25)*Calculateur!AQ113*Calculateur!AS113*VLOOKUP('Données projet'!$B$10,Paramètres!$A$1:$I$89,3,0)*0.475*44/12</f>
        <v>7.1190766704595028</v>
      </c>
      <c r="AW113" s="21">
        <f>EXP(-LN(2)/2)*AW112+(1-EXP(-LN(2)/2))/(LN(2)/2)*AQ113*AT113*VLOOKUP('Données projet'!$B$10,Paramètres!$A$1:$I$89,3,0)*0.475*44/12</f>
        <v>7.1438318536103064E-14</v>
      </c>
      <c r="AX113" s="21">
        <f t="shared" si="60"/>
        <v>65.868622725381101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67.74843940504519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-2.5006556825246661E-14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180.42749272334603</v>
      </c>
      <c r="BJ113" s="59">
        <f t="shared" si="92"/>
        <v>346.61476512497495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13.113979334483178</v>
      </c>
      <c r="BQ113" s="21">
        <f>EXP(-LN(2)/25)*BQ112+(1-EXP(-LN(2)/25))/(LN(2)/25)*Calculateur!BL113*Calculateur!BN113*VLOOKUP('Données projet'!$B$11,Paramètres!$A$1:$I$89,3,0)*0.475*44/12</f>
        <v>1.8025205509787792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14.916499885461956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67.74843940504519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9.4029999999999916</v>
      </c>
      <c r="BY113" s="12">
        <f>IF('Données projet'!$A$114&gt;35,BY112+BX113-CG112,IF(A113&lt;'Données projet'!$A$114,$BV$205^A113,IF(A113='Données projet'!$A$114,'Données projet'!$B$114,BY112+BX113-CG112)))</f>
        <v>441.4130000000003</v>
      </c>
      <c r="BZ113" s="13">
        <f>BY113*VLOOKUP('Données projet'!$B$12,Paramètres!$A$1:$I$89,3,0)*VLOOKUP('Données projet'!$B$12,Paramètres!$A$1:$I$89,5,0)</f>
        <v>399.39048240000028</v>
      </c>
      <c r="CA113" s="13">
        <f t="shared" si="93"/>
        <v>91.653083916792113</v>
      </c>
      <c r="CB113" s="20">
        <f t="shared" si="64"/>
        <v>855.23421133508009</v>
      </c>
      <c r="CC113" s="59">
        <f t="shared" si="65"/>
        <v>1140.3118224869124</v>
      </c>
      <c r="CD113" s="59">
        <f ca="1">AVERAGE(OFFSET($CC$3,0,0,'Données projet'!$E$12+1,1))-AVERAGE(OFFSET($H$3,0,0,'Données projet'!$E$12+1,1))</f>
        <v>553.16421218123958</v>
      </c>
      <c r="CE113" s="59">
        <f t="shared" si="94"/>
        <v>291.73668613844416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130.09360330786291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130.09360330786291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67.74843940504519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9.4029999999999916</v>
      </c>
      <c r="CT113" s="12">
        <f>IF('Données projet'!$A$140&gt;35,CT112+CS113-DB112,IF(A113&lt;'Données projet'!$A$140,$CQ$205^A113,IF(A113='Données projet'!$A$140,'Données projet'!$B$140,CT112+CS113-DB112)))</f>
        <v>441.4130000000003</v>
      </c>
      <c r="CU113" s="17">
        <f>CT113*VLOOKUP('Données projet'!$B$13,Paramètres!$A$1:$I$89,3,0)*VLOOKUP('Données projet'!$B$13,Paramètres!$A$1:$I$89,5,0)</f>
        <v>447.59278200000028</v>
      </c>
      <c r="CV113" s="13">
        <f t="shared" si="95"/>
        <v>101.36134141870193</v>
      </c>
      <c r="CW113" s="20">
        <f t="shared" si="67"/>
        <v>956.09509828757302</v>
      </c>
      <c r="CX113" s="59">
        <f t="shared" si="68"/>
        <v>1241.1727094394055</v>
      </c>
      <c r="CY113" s="59">
        <f ca="1">AVERAGE(OFFSET($CX$3,0,0,'Données projet'!$E$13+1,1))-AVERAGE(OFFSET($H$3,0,0,'Données projet'!$E$13+1,1))</f>
        <v>611.82989382187804</v>
      </c>
      <c r="CZ113" s="59">
        <f t="shared" si="96"/>
        <v>320.34124600136363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145.79455543122572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145.79455543122572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67.74843940504519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9.4029999999999916</v>
      </c>
      <c r="DO113" s="12">
        <f>IF('Données projet'!$A$166&gt;35,DO112+DN113-DW112,IF(A113&lt;'Données projet'!$A$166,$DL$205^A113,IF(A113='Données projet'!$A$166,'Données projet'!$B$166,DO112+DN113-DW112)))</f>
        <v>441.4130000000003</v>
      </c>
      <c r="DP113" s="17">
        <f>DO113*VLOOKUP('Données projet'!$B$14,Paramètres!$A$1:$I$89,3,0)*VLOOKUP('Données projet'!$B$14,Paramètres!$A$1:$I$89,5,0)</f>
        <v>475.13695320000028</v>
      </c>
      <c r="DQ113" s="13">
        <f t="shared" si="97"/>
        <v>106.85360134851715</v>
      </c>
      <c r="DR113" s="20">
        <f t="shared" si="70"/>
        <v>1013.633549172001</v>
      </c>
      <c r="DS113" s="59">
        <f t="shared" si="71"/>
        <v>1298.7111603238334</v>
      </c>
      <c r="DT113" s="59">
        <f ca="1">AVERAGE(OFFSET($DS$3,0,0,'Données projet'!$E$14+1,1))-AVERAGE(OFFSET($H$3,0,0,'Données projet'!$E$14+1,1))</f>
        <v>645.29541304800614</v>
      </c>
      <c r="DU113" s="59">
        <f t="shared" si="98"/>
        <v>336.65580771733323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154.76652807314719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154.76652807314719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67.74843940504519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319</v>
      </c>
      <c r="EK113" s="17">
        <f>EJ113*VLOOKUP('Données projet'!$B$15,Paramètres!$A$1:$I$89,3,0)*VLOOKUP('Données projet'!$B$15,Paramètres!$A$1:$I$89,5,0)</f>
        <v>233.89079999999998</v>
      </c>
      <c r="EL113" s="13">
        <f t="shared" si="99"/>
        <v>57.123140349023068</v>
      </c>
      <c r="EM113" s="20">
        <f t="shared" si="73"/>
        <v>506.84927944121517</v>
      </c>
      <c r="EN113" s="59">
        <f t="shared" si="74"/>
        <v>791.92689059304757</v>
      </c>
      <c r="EO113" s="59">
        <f ca="1">AVERAGE(OFFSET($EN$3,0,0,'Données projet'!$E$15+1,1))-AVERAGE(OFFSET($H$3,0,0,'Données projet'!$E$15+1,1))</f>
        <v>343.31122043016137</v>
      </c>
      <c r="EP113" s="59">
        <f t="shared" si="100"/>
        <v>333.61098411258877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21.945567823685863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21.945567823685863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67.74843940504519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319</v>
      </c>
      <c r="FF113" s="17">
        <f>FE113*VLOOKUP('Données projet'!$B$16,Paramètres!$A$1:$I$89,3,0)*VLOOKUP('Données projet'!$B$16,Paramètres!$A$1:$I$89,5,0)</f>
        <v>253.79640000000001</v>
      </c>
      <c r="FG113" s="13">
        <f t="shared" si="101"/>
        <v>61.39816832228076</v>
      </c>
      <c r="FH113" s="20">
        <f t="shared" si="76"/>
        <v>548.96387316130563</v>
      </c>
      <c r="FI113" s="59">
        <f t="shared" si="77"/>
        <v>834.04148431313797</v>
      </c>
      <c r="FJ113" s="59">
        <f ca="1">AVERAGE(OFFSET($FI$3,0,0,'Données projet'!$E$16+1,1))-AVERAGE(OFFSET($H$3,0,0,'Données projet'!$E$16+1,1))</f>
        <v>368.12945163484585</v>
      </c>
      <c r="FK113" s="59">
        <f t="shared" si="102"/>
        <v>357.27183934545121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29.351246822079613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29.351246822079613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67.74843940504519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67.74843940504519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3.0869565217391299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11.318840579710143</v>
      </c>
      <c r="H114" s="66">
        <f t="shared" si="56"/>
        <v>211.39130434782609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67.787498947632258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5.2499999999990337</v>
      </c>
      <c r="O114" s="13">
        <f>N114*VLOOKUP('Données projet'!$B$9,Paramètres!$A$1:$I$89,3,0)*VLOOKUP('Données projet'!$B$9,Paramètres!$A$1:$I$89,5,0)</f>
        <v>2.4569999999995478</v>
      </c>
      <c r="P114" s="13">
        <f t="shared" si="87"/>
        <v>1.0197977774625564</v>
      </c>
      <c r="Q114" s="20">
        <f t="shared" si="107"/>
        <v>6.0554227957464972</v>
      </c>
      <c r="R114" s="59">
        <f t="shared" si="55"/>
        <v>291.27625227039812</v>
      </c>
      <c r="S114" s="59">
        <f ca="1">AVERAGE(OFFSET($R$3,0,0,'Données projet'!$E$9+1,1))-AVERAGE(OFFSET($H$3,0,0,'Données projet'!$E$9+1,1))</f>
        <v>320.30433416149219</v>
      </c>
      <c r="T114" s="59">
        <f t="shared" si="88"/>
        <v>201.33422682092797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233.45671010090354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233.45671010090354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67.787498947632258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763.00000000000057</v>
      </c>
      <c r="AJ114" s="13">
        <f>AI114*VLOOKUP('Données projet'!$B$10,Paramètres!$A$1:$I$89,3,0)*VLOOKUP('Données projet'!$B$10,Paramètres!$A$1:$I$89,5,0)</f>
        <v>456.2740000000004</v>
      </c>
      <c r="AK114" s="13">
        <f t="shared" si="89"/>
        <v>103.09649786611838</v>
      </c>
      <c r="AL114" s="20">
        <f t="shared" si="58"/>
        <v>974.23695045015677</v>
      </c>
      <c r="AM114" s="59">
        <f t="shared" si="59"/>
        <v>1259.4577799248084</v>
      </c>
      <c r="AN114" s="59">
        <f ca="1">AVERAGE(OFFSET($AM$3,0,0,'Données projet'!$E$10+1,1))-AVERAGE(OFFSET($H$3,0,0,'Données projet'!$E$10+1,1))</f>
        <v>569.80473816957431</v>
      </c>
      <c r="AO114" s="59">
        <f t="shared" si="90"/>
        <v>495.56567790763199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57.597503290469326</v>
      </c>
      <c r="AV114" s="21">
        <f>EXP(-LN(2)/25)*AV113+(1-EXP(-LN(2)/25))/(LN(2)/25)*Calculateur!AQ114*Calculateur!AS114*VLOOKUP('Données projet'!$B$10,Paramètres!$A$1:$I$89,3,0)*0.475*44/12</f>
        <v>6.9244051445298167</v>
      </c>
      <c r="AW114" s="21">
        <f>EXP(-LN(2)/2)*AW113+(1-EXP(-LN(2)/2))/(LN(2)/2)*AQ114*AT114*VLOOKUP('Données projet'!$B$10,Paramètres!$A$1:$I$89,3,0)*0.475*44/12</f>
        <v>5.0514519473443112E-14</v>
      </c>
      <c r="AX114" s="21">
        <f t="shared" si="60"/>
        <v>64.521908434999204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67.787498947632258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-2.5006556825246661E-14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180.42749272334603</v>
      </c>
      <c r="BJ114" s="59">
        <f t="shared" si="92"/>
        <v>346.61476512497495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12.856822198471546</v>
      </c>
      <c r="BQ114" s="21">
        <f>EXP(-LN(2)/25)*BQ113+(1-EXP(-LN(2)/25))/(LN(2)/25)*Calculateur!BL114*Calculateur!BN114*VLOOKUP('Données projet'!$B$11,Paramètres!$A$1:$I$89,3,0)*0.475*44/12</f>
        <v>1.7532305317218284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14.610052730193374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67.787498947632258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9.4029999999999916</v>
      </c>
      <c r="BY114" s="12">
        <f>IF('Données projet'!$A$114&gt;35,BY113+BX114-CG113,IF(A114&lt;'Données projet'!$A$114,$BV$205^A114,IF(A114='Données projet'!$A$114,'Données projet'!$B$114,BY113+BX114-CG113)))</f>
        <v>450.81600000000026</v>
      </c>
      <c r="BZ114" s="13">
        <f>BY114*VLOOKUP('Données projet'!$B$12,Paramètres!$A$1:$I$89,3,0)*VLOOKUP('Données projet'!$B$12,Paramètres!$A$1:$I$89,5,0)</f>
        <v>407.89831680000026</v>
      </c>
      <c r="CA114" s="13">
        <f t="shared" si="93"/>
        <v>93.376100943881056</v>
      </c>
      <c r="CB114" s="20">
        <f t="shared" si="64"/>
        <v>873.05294423725991</v>
      </c>
      <c r="CC114" s="59">
        <f t="shared" si="65"/>
        <v>1158.2737737119114</v>
      </c>
      <c r="CD114" s="59">
        <f ca="1">AVERAGE(OFFSET($CC$3,0,0,'Données projet'!$E$12+1,1))-AVERAGE(OFFSET($H$3,0,0,'Données projet'!$E$12+1,1))</f>
        <v>553.16421218123958</v>
      </c>
      <c r="CE114" s="59">
        <f t="shared" si="94"/>
        <v>291.73668613844416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127.54254709625864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127.54254709625864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67.787498947632258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9.4029999999999916</v>
      </c>
      <c r="CT114" s="12">
        <f>IF('Données projet'!$A$140&gt;35,CT113+CS114-DB113,IF(A114&lt;'Données projet'!$A$140,$CQ$205^A114,IF(A114='Données projet'!$A$140,'Données projet'!$B$140,CT113+CS114-DB113)))</f>
        <v>450.81600000000026</v>
      </c>
      <c r="CU114" s="17">
        <f>CT114*VLOOKUP('Données projet'!$B$13,Paramètres!$A$1:$I$89,3,0)*VLOOKUP('Données projet'!$B$13,Paramètres!$A$1:$I$89,5,0)</f>
        <v>457.12742400000025</v>
      </c>
      <c r="CV114" s="13">
        <f t="shared" si="95"/>
        <v>103.26686723070357</v>
      </c>
      <c r="CW114" s="20">
        <f t="shared" si="67"/>
        <v>976.02005722680917</v>
      </c>
      <c r="CX114" s="59">
        <f t="shared" si="68"/>
        <v>1261.2408867014608</v>
      </c>
      <c r="CY114" s="59">
        <f ca="1">AVERAGE(OFFSET($CX$3,0,0,'Données projet'!$E$13+1,1))-AVERAGE(OFFSET($H$3,0,0,'Données projet'!$E$13+1,1))</f>
        <v>611.82989382187804</v>
      </c>
      <c r="CZ114" s="59">
        <f t="shared" si="96"/>
        <v>320.34124600136363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142.9356131251175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142.9356131251175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67.787498947632258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9.4029999999999916</v>
      </c>
      <c r="DO114" s="12">
        <f>IF('Données projet'!$A$166&gt;35,DO113+DN114-DW113,IF(A114&lt;'Données projet'!$A$166,$DL$205^A114,IF(A114='Données projet'!$A$166,'Données projet'!$B$166,DO113+DN114-DW113)))</f>
        <v>450.81600000000026</v>
      </c>
      <c r="DP114" s="17">
        <f>DO114*VLOOKUP('Données projet'!$B$14,Paramètres!$A$1:$I$89,3,0)*VLOOKUP('Données projet'!$B$14,Paramètres!$A$1:$I$89,5,0)</f>
        <v>485.25834240000029</v>
      </c>
      <c r="DQ114" s="13">
        <f t="shared" si="97"/>
        <v>108.86237799477179</v>
      </c>
      <c r="DR114" s="20">
        <f t="shared" si="70"/>
        <v>1034.7602546875614</v>
      </c>
      <c r="DS114" s="59">
        <f t="shared" si="71"/>
        <v>1319.9810841622129</v>
      </c>
      <c r="DT114" s="59">
        <f ca="1">AVERAGE(OFFSET($DS$3,0,0,'Données projet'!$E$14+1,1))-AVERAGE(OFFSET($H$3,0,0,'Données projet'!$E$14+1,1))</f>
        <v>645.29541304800614</v>
      </c>
      <c r="DU114" s="59">
        <f t="shared" si="98"/>
        <v>336.65580771733323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151.73165085589383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151.73165085589383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67.787498947632258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319</v>
      </c>
      <c r="EK114" s="17">
        <f>EJ114*VLOOKUP('Données projet'!$B$15,Paramètres!$A$1:$I$89,3,0)*VLOOKUP('Données projet'!$B$15,Paramètres!$A$1:$I$89,5,0)</f>
        <v>233.89079999999998</v>
      </c>
      <c r="EL114" s="13">
        <f t="shared" si="99"/>
        <v>57.123140349023068</v>
      </c>
      <c r="EM114" s="20">
        <f t="shared" si="73"/>
        <v>506.84927944121517</v>
      </c>
      <c r="EN114" s="59">
        <f t="shared" si="74"/>
        <v>792.07010891586674</v>
      </c>
      <c r="EO114" s="59">
        <f ca="1">AVERAGE(OFFSET($EN$3,0,0,'Données projet'!$E$15+1,1))-AVERAGE(OFFSET($H$3,0,0,'Données projet'!$E$15+1,1))</f>
        <v>343.31122043016137</v>
      </c>
      <c r="EP114" s="59">
        <f t="shared" si="100"/>
        <v>333.61098411258877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21.51522862413805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21.51522862413805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67.787498947632258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319</v>
      </c>
      <c r="FF114" s="17">
        <f>FE114*VLOOKUP('Données projet'!$B$16,Paramètres!$A$1:$I$89,3,0)*VLOOKUP('Données projet'!$B$16,Paramètres!$A$1:$I$89,5,0)</f>
        <v>253.79640000000001</v>
      </c>
      <c r="FG114" s="13">
        <f t="shared" si="101"/>
        <v>61.39816832228076</v>
      </c>
      <c r="FH114" s="20">
        <f t="shared" si="76"/>
        <v>548.96387316130563</v>
      </c>
      <c r="FI114" s="59">
        <f t="shared" si="77"/>
        <v>834.18470263595725</v>
      </c>
      <c r="FJ114" s="59">
        <f ca="1">AVERAGE(OFFSET($FI$3,0,0,'Données projet'!$E$16+1,1))-AVERAGE(OFFSET($H$3,0,0,'Données projet'!$E$16+1,1))</f>
        <v>368.12945163484585</v>
      </c>
      <c r="FK114" s="59">
        <f t="shared" si="102"/>
        <v>357.27183934545121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28.77568677439147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28.77568677439147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67.787498947632258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67.787498947632258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3.0869565217391299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11.318840579710143</v>
      </c>
      <c r="H115" s="66">
        <f t="shared" si="56"/>
        <v>211.39130434782609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67.825880894479525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5.2499999999990337</v>
      </c>
      <c r="O115" s="13">
        <f>N115*VLOOKUP('Données projet'!$B$9,Paramètres!$A$1:$I$89,3,0)*VLOOKUP('Données projet'!$B$9,Paramètres!$A$1:$I$89,5,0)</f>
        <v>2.4569999999995478</v>
      </c>
      <c r="P115" s="13">
        <f t="shared" si="87"/>
        <v>1.0197977774625564</v>
      </c>
      <c r="Q115" s="20">
        <f t="shared" si="107"/>
        <v>6.0554227957464972</v>
      </c>
      <c r="R115" s="59">
        <f t="shared" si="55"/>
        <v>291.41698607550478</v>
      </c>
      <c r="S115" s="59">
        <f ca="1">AVERAGE(OFFSET($R$3,0,0,'Données projet'!$E$9+1,1))-AVERAGE(OFFSET($H$3,0,0,'Données projet'!$E$9+1,1))</f>
        <v>320.30433416149219</v>
      </c>
      <c r="T115" s="59">
        <f t="shared" si="88"/>
        <v>201.33422682092797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228.87876641035768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228.87876641035768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67.825880894479525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763.00000000000057</v>
      </c>
      <c r="AJ115" s="13">
        <f>AI115*VLOOKUP('Données projet'!$B$10,Paramètres!$A$1:$I$89,3,0)*VLOOKUP('Données projet'!$B$10,Paramètres!$A$1:$I$89,5,0)</f>
        <v>456.2740000000004</v>
      </c>
      <c r="AK115" s="13">
        <f t="shared" si="89"/>
        <v>103.09649786611838</v>
      </c>
      <c r="AL115" s="20">
        <f t="shared" si="58"/>
        <v>974.23695045015677</v>
      </c>
      <c r="AM115" s="59">
        <f t="shared" si="59"/>
        <v>1259.5985137299151</v>
      </c>
      <c r="AN115" s="59">
        <f ca="1">AVERAGE(OFFSET($AM$3,0,0,'Données projet'!$E$10+1,1))-AVERAGE(OFFSET($H$3,0,0,'Données projet'!$E$10+1,1))</f>
        <v>569.80473816957431</v>
      </c>
      <c r="AO115" s="59">
        <f t="shared" si="90"/>
        <v>495.56567790763199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56.468051381951334</v>
      </c>
      <c r="AV115" s="21">
        <f>EXP(-LN(2)/25)*AV114+(1-EXP(-LN(2)/25))/(LN(2)/25)*Calculateur!AQ115*Calculateur!AS115*VLOOKUP('Données projet'!$B$10,Paramètres!$A$1:$I$89,3,0)*0.475*44/12</f>
        <v>6.7350569217140084</v>
      </c>
      <c r="AW115" s="21">
        <f>EXP(-LN(2)/2)*AW114+(1-EXP(-LN(2)/2))/(LN(2)/2)*AQ115*AT115*VLOOKUP('Données projet'!$B$10,Paramètres!$A$1:$I$89,3,0)*0.475*44/12</f>
        <v>3.5719159268051532E-14</v>
      </c>
      <c r="AX115" s="21">
        <f t="shared" si="60"/>
        <v>63.203108303665381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67.825880894479525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-2.5006556825246661E-14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180.42749272334603</v>
      </c>
      <c r="BJ115" s="59">
        <f t="shared" si="92"/>
        <v>346.61476512497495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12.604707757046738</v>
      </c>
      <c r="BQ115" s="21">
        <f>EXP(-LN(2)/25)*BQ114+(1-EXP(-LN(2)/25))/(LN(2)/25)*Calculateur!BL115*Calculateur!BN115*VLOOKUP('Données projet'!$B$11,Paramètres!$A$1:$I$89,3,0)*0.475*44/12</f>
        <v>1.7052883506335084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14.309996107680245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67.825880894479525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9.4029999999999916</v>
      </c>
      <c r="BY115" s="12">
        <f>IF('Données projet'!$A$114&gt;35,BY114+BX115-CG114,IF(A115&lt;'Données projet'!$A$114,$BV$205^A115,IF(A115='Données projet'!$A$114,'Données projet'!$B$114,BY114+BX115-CG114)))</f>
        <v>460.21900000000028</v>
      </c>
      <c r="BZ115" s="13">
        <f>BY115*VLOOKUP('Données projet'!$B$12,Paramètres!$A$1:$I$89,3,0)*VLOOKUP('Données projet'!$B$12,Paramètres!$A$1:$I$89,5,0)</f>
        <v>416.40615120000024</v>
      </c>
      <c r="CA115" s="13">
        <f t="shared" si="93"/>
        <v>95.094939514723933</v>
      </c>
      <c r="CB115" s="20">
        <f t="shared" si="64"/>
        <v>890.86439966147793</v>
      </c>
      <c r="CC115" s="59">
        <f t="shared" si="65"/>
        <v>1176.2259629412363</v>
      </c>
      <c r="CD115" s="59">
        <f ca="1">AVERAGE(OFFSET($CC$3,0,0,'Données projet'!$E$12+1,1))-AVERAGE(OFFSET($H$3,0,0,'Données projet'!$E$12+1,1))</f>
        <v>553.16421218123958</v>
      </c>
      <c r="CE115" s="59">
        <f t="shared" si="94"/>
        <v>291.73668613844416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125.04151554097329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125.04151554097329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67.825880894479525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9.4029999999999916</v>
      </c>
      <c r="CT115" s="12">
        <f>IF('Données projet'!$A$140&gt;35,CT114+CS115-DB114,IF(A115&lt;'Données projet'!$A$140,$CQ$205^A115,IF(A115='Données projet'!$A$140,'Données projet'!$B$140,CT114+CS115-DB114)))</f>
        <v>460.21900000000028</v>
      </c>
      <c r="CU115" s="17">
        <f>CT115*VLOOKUP('Données projet'!$B$13,Paramètres!$A$1:$I$89,3,0)*VLOOKUP('Données projet'!$B$13,Paramètres!$A$1:$I$89,5,0)</f>
        <v>466.66206600000032</v>
      </c>
      <c r="CV115" s="13">
        <f t="shared" si="95"/>
        <v>105.1677719878311</v>
      </c>
      <c r="CW115" s="20">
        <f t="shared" si="67"/>
        <v>995.93696782880636</v>
      </c>
      <c r="CX115" s="59">
        <f t="shared" si="68"/>
        <v>1281.2985311085647</v>
      </c>
      <c r="CY115" s="59">
        <f ca="1">AVERAGE(OFFSET($CX$3,0,0,'Données projet'!$E$13+1,1))-AVERAGE(OFFSET($H$3,0,0,'Données projet'!$E$13+1,1))</f>
        <v>611.82989382187804</v>
      </c>
      <c r="CZ115" s="59">
        <f t="shared" si="96"/>
        <v>320.34124600136363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140.13273293384944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140.13273293384944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67.825880894479525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9.4029999999999916</v>
      </c>
      <c r="DO115" s="12">
        <f>IF('Données projet'!$A$166&gt;35,DO114+DN115-DW114,IF(A115&lt;'Données projet'!$A$166,$DL$205^A115,IF(A115='Données projet'!$A$166,'Données projet'!$B$166,DO114+DN115-DW114)))</f>
        <v>460.21900000000028</v>
      </c>
      <c r="DP115" s="17">
        <f>DO115*VLOOKUP('Données projet'!$B$14,Paramètres!$A$1:$I$89,3,0)*VLOOKUP('Données projet'!$B$14,Paramètres!$A$1:$I$89,5,0)</f>
        <v>495.3797316000003</v>
      </c>
      <c r="DQ115" s="13">
        <f t="shared" si="97"/>
        <v>110.86628319449252</v>
      </c>
      <c r="DR115" s="20">
        <f t="shared" si="70"/>
        <v>1055.8784757670749</v>
      </c>
      <c r="DS115" s="59">
        <f t="shared" si="71"/>
        <v>1341.2400390468331</v>
      </c>
      <c r="DT115" s="59">
        <f ca="1">AVERAGE(OFFSET($DS$3,0,0,'Données projet'!$E$14+1,1))-AVERAGE(OFFSET($H$3,0,0,'Données projet'!$E$14+1,1))</f>
        <v>645.29541304800614</v>
      </c>
      <c r="DU115" s="59">
        <f t="shared" si="98"/>
        <v>336.65580771733323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148.75628572977851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148.75628572977851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67.825880894479525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319</v>
      </c>
      <c r="EK115" s="17">
        <f>EJ115*VLOOKUP('Données projet'!$B$15,Paramètres!$A$1:$I$89,3,0)*VLOOKUP('Données projet'!$B$15,Paramètres!$A$1:$I$89,5,0)</f>
        <v>233.89079999999998</v>
      </c>
      <c r="EL115" s="13">
        <f t="shared" si="99"/>
        <v>57.123140349023068</v>
      </c>
      <c r="EM115" s="20">
        <f t="shared" si="73"/>
        <v>506.84927944121517</v>
      </c>
      <c r="EN115" s="59">
        <f t="shared" si="74"/>
        <v>792.21084272097346</v>
      </c>
      <c r="EO115" s="59">
        <f ca="1">AVERAGE(OFFSET($EN$3,0,0,'Données projet'!$E$15+1,1))-AVERAGE(OFFSET($H$3,0,0,'Données projet'!$E$15+1,1))</f>
        <v>343.31122043016137</v>
      </c>
      <c r="EP115" s="59">
        <f t="shared" si="100"/>
        <v>333.61098411258877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21.093328113812376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21.093328113812376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67.825880894479525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319</v>
      </c>
      <c r="FF115" s="17">
        <f>FE115*VLOOKUP('Données projet'!$B$16,Paramètres!$A$1:$I$89,3,0)*VLOOKUP('Données projet'!$B$16,Paramètres!$A$1:$I$89,5,0)</f>
        <v>253.79640000000001</v>
      </c>
      <c r="FG115" s="13">
        <f t="shared" si="101"/>
        <v>61.39816832228076</v>
      </c>
      <c r="FH115" s="20">
        <f t="shared" si="76"/>
        <v>548.96387316130563</v>
      </c>
      <c r="FI115" s="59">
        <f t="shared" si="77"/>
        <v>834.32543644106386</v>
      </c>
      <c r="FJ115" s="59">
        <f ca="1">AVERAGE(OFFSET($FI$3,0,0,'Données projet'!$E$16+1,1))-AVERAGE(OFFSET($H$3,0,0,'Données projet'!$E$16+1,1))</f>
        <v>368.12945163484585</v>
      </c>
      <c r="FK115" s="59">
        <f t="shared" si="102"/>
        <v>357.27183934545121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28.211413108181524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28.211413108181524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67.825880894479525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67.825880894479525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3.0869565217391299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11.318840579710143</v>
      </c>
      <c r="H116" s="66">
        <f t="shared" si="56"/>
        <v>211.39130434782609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67.863597000358141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5.2499999999990337</v>
      </c>
      <c r="O116" s="13">
        <f>N116*VLOOKUP('Données projet'!$B$9,Paramètres!$A$1:$I$89,3,0)*VLOOKUP('Données projet'!$B$9,Paramètres!$A$1:$I$89,5,0)</f>
        <v>2.4569999999995478</v>
      </c>
      <c r="P116" s="13">
        <f t="shared" si="87"/>
        <v>1.0197977774625564</v>
      </c>
      <c r="Q116" s="20">
        <f t="shared" si="107"/>
        <v>6.0554227957464972</v>
      </c>
      <c r="R116" s="59">
        <f t="shared" si="55"/>
        <v>291.55527846372632</v>
      </c>
      <c r="S116" s="59">
        <f ca="1">AVERAGE(OFFSET($R$3,0,0,'Données projet'!$E$9+1,1))-AVERAGE(OFFSET($H$3,0,0,'Données projet'!$E$9+1,1))</f>
        <v>320.30433416149219</v>
      </c>
      <c r="T116" s="59">
        <f t="shared" si="88"/>
        <v>201.33422682092797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224.39059340331349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224.39059340331349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67.863597000358141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763.00000000000057</v>
      </c>
      <c r="AJ116" s="13">
        <f>AI116*VLOOKUP('Données projet'!$B$10,Paramètres!$A$1:$I$89,3,0)*VLOOKUP('Données projet'!$B$10,Paramètres!$A$1:$I$89,5,0)</f>
        <v>456.2740000000004</v>
      </c>
      <c r="AK116" s="13">
        <f t="shared" si="89"/>
        <v>103.09649786611838</v>
      </c>
      <c r="AL116" s="20">
        <f t="shared" si="58"/>
        <v>974.23695045015677</v>
      </c>
      <c r="AM116" s="59">
        <f t="shared" si="59"/>
        <v>1259.7368061181367</v>
      </c>
      <c r="AN116" s="59">
        <f ca="1">AVERAGE(OFFSET($AM$3,0,0,'Données projet'!$E$10+1,1))-AVERAGE(OFFSET($H$3,0,0,'Données projet'!$E$10+1,1))</f>
        <v>569.80473816957431</v>
      </c>
      <c r="AO116" s="59">
        <f t="shared" si="90"/>
        <v>495.56567790763199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55.360747336461735</v>
      </c>
      <c r="AV116" s="21">
        <f>EXP(-LN(2)/25)*AV115+(1-EXP(-LN(2)/25))/(LN(2)/25)*Calculateur!AQ116*Calculateur!AS116*VLOOKUP('Données projet'!$B$10,Paramètres!$A$1:$I$89,3,0)*0.475*44/12</f>
        <v>6.5508864360084882</v>
      </c>
      <c r="AW116" s="21">
        <f>EXP(-LN(2)/2)*AW115+(1-EXP(-LN(2)/2))/(LN(2)/2)*AQ116*AT116*VLOOKUP('Données projet'!$B$10,Paramètres!$A$1:$I$89,3,0)*0.475*44/12</f>
        <v>2.5257259736721556E-14</v>
      </c>
      <c r="AX116" s="21">
        <f t="shared" si="60"/>
        <v>61.911633772470253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67.863597000358141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-2.5006556825246661E-14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180.42749272334603</v>
      </c>
      <c r="BJ116" s="59">
        <f t="shared" si="92"/>
        <v>346.61476512497495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12.357537126043646</v>
      </c>
      <c r="BQ116" s="21">
        <f>EXP(-LN(2)/25)*BQ115+(1-EXP(-LN(2)/25))/(LN(2)/25)*Calculateur!BL116*Calculateur!BN116*VLOOKUP('Données projet'!$B$11,Paramètres!$A$1:$I$89,3,0)*0.475*44/12</f>
        <v>1.6586571510082182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14.016194277051863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67.863597000358141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9.4029999999999916</v>
      </c>
      <c r="BY116" s="12">
        <f>IF('Données projet'!$A$114&gt;35,BY115+BX116-CG115,IF(A116&lt;'Données projet'!$A$114,$BV$205^A116,IF(A116='Données projet'!$A$114,'Données projet'!$B$114,BY115+BX116-CG115)))</f>
        <v>469.6220000000003</v>
      </c>
      <c r="BZ116" s="13">
        <f>BY116*VLOOKUP('Données projet'!$B$12,Paramètres!$A$1:$I$89,3,0)*VLOOKUP('Données projet'!$B$12,Paramètres!$A$1:$I$89,5,0)</f>
        <v>424.91398560000027</v>
      </c>
      <c r="CA116" s="13">
        <f t="shared" si="93"/>
        <v>96.809694839252401</v>
      </c>
      <c r="CB116" s="20">
        <f t="shared" si="64"/>
        <v>908.66874343169832</v>
      </c>
      <c r="CC116" s="59">
        <f t="shared" si="65"/>
        <v>1194.1685990996782</v>
      </c>
      <c r="CD116" s="59">
        <f ca="1">AVERAGE(OFFSET($CC$3,0,0,'Données projet'!$E$12+1,1))-AVERAGE(OFFSET($H$3,0,0,'Données projet'!$E$12+1,1))</f>
        <v>553.16421218123958</v>
      </c>
      <c r="CE116" s="59">
        <f t="shared" si="94"/>
        <v>291.73668613844416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122.58952768900846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122.58952768900846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67.863597000358141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9.4029999999999916</v>
      </c>
      <c r="CT116" s="12">
        <f>IF('Données projet'!$A$140&gt;35,CT115+CS116-DB115,IF(A116&lt;'Données projet'!$A$140,$CQ$205^A116,IF(A116='Données projet'!$A$140,'Données projet'!$B$140,CT115+CS116-DB115)))</f>
        <v>469.6220000000003</v>
      </c>
      <c r="CU116" s="17">
        <f>CT116*VLOOKUP('Données projet'!$B$13,Paramètres!$A$1:$I$89,3,0)*VLOOKUP('Données projet'!$B$13,Paramètres!$A$1:$I$89,5,0)</f>
        <v>476.1967080000004</v>
      </c>
      <c r="CV116" s="13">
        <f t="shared" si="95"/>
        <v>107.06416098502906</v>
      </c>
      <c r="CW116" s="20">
        <f t="shared" si="67"/>
        <v>1015.8460134822595</v>
      </c>
      <c r="CX116" s="59">
        <f t="shared" si="68"/>
        <v>1301.3458691502394</v>
      </c>
      <c r="CY116" s="59">
        <f ca="1">AVERAGE(OFFSET($CX$3,0,0,'Données projet'!$E$13+1,1))-AVERAGE(OFFSET($H$3,0,0,'Données projet'!$E$13+1,1))</f>
        <v>611.82989382187804</v>
      </c>
      <c r="CZ116" s="59">
        <f t="shared" si="96"/>
        <v>320.34124600136363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137.38481551354403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137.38481551354403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67.863597000358141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9.4029999999999916</v>
      </c>
      <c r="DO116" s="12">
        <f>IF('Données projet'!$A$166&gt;35,DO115+DN116-DW115,IF(A116&lt;'Données projet'!$A$166,$DL$205^A116,IF(A116='Données projet'!$A$166,'Données projet'!$B$166,DO115+DN116-DW115)))</f>
        <v>469.6220000000003</v>
      </c>
      <c r="DP116" s="17">
        <f>DO116*VLOOKUP('Données projet'!$B$14,Paramètres!$A$1:$I$89,3,0)*VLOOKUP('Données projet'!$B$14,Paramètres!$A$1:$I$89,5,0)</f>
        <v>505.50112080000025</v>
      </c>
      <c r="DQ116" s="13">
        <f t="shared" si="97"/>
        <v>112.86542794802592</v>
      </c>
      <c r="DR116" s="20">
        <f t="shared" si="70"/>
        <v>1076.9884057361455</v>
      </c>
      <c r="DS116" s="59">
        <f t="shared" si="71"/>
        <v>1362.4882614041253</v>
      </c>
      <c r="DT116" s="59">
        <f ca="1">AVERAGE(OFFSET($DS$3,0,0,'Données projet'!$E$14+1,1))-AVERAGE(OFFSET($H$3,0,0,'Données projet'!$E$14+1,1))</f>
        <v>645.29541304800614</v>
      </c>
      <c r="DU116" s="59">
        <f t="shared" si="98"/>
        <v>336.65580771733323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145.83926569899276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145.83926569899276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67.863597000358141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319</v>
      </c>
      <c r="EK116" s="17">
        <f>EJ116*VLOOKUP('Données projet'!$B$15,Paramètres!$A$1:$I$89,3,0)*VLOOKUP('Données projet'!$B$15,Paramètres!$A$1:$I$89,5,0)</f>
        <v>233.89079999999998</v>
      </c>
      <c r="EL116" s="13">
        <f t="shared" si="99"/>
        <v>57.123140349023068</v>
      </c>
      <c r="EM116" s="20">
        <f t="shared" si="73"/>
        <v>506.84927944121517</v>
      </c>
      <c r="EN116" s="59">
        <f t="shared" si="74"/>
        <v>792.349135109195</v>
      </c>
      <c r="EO116" s="59">
        <f ca="1">AVERAGE(OFFSET($EN$3,0,0,'Données projet'!$E$15+1,1))-AVERAGE(OFFSET($H$3,0,0,'Données projet'!$E$15+1,1))</f>
        <v>343.31122043016137</v>
      </c>
      <c r="EP116" s="59">
        <f t="shared" si="100"/>
        <v>333.61098411258877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20.679700815160288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20.679700815160288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67.863597000358141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319</v>
      </c>
      <c r="FF116" s="17">
        <f>FE116*VLOOKUP('Données projet'!$B$16,Paramètres!$A$1:$I$89,3,0)*VLOOKUP('Données projet'!$B$16,Paramètres!$A$1:$I$89,5,0)</f>
        <v>253.79640000000001</v>
      </c>
      <c r="FG116" s="13">
        <f t="shared" si="101"/>
        <v>61.39816832228076</v>
      </c>
      <c r="FH116" s="20">
        <f t="shared" si="76"/>
        <v>548.96387316130563</v>
      </c>
      <c r="FI116" s="59">
        <f t="shared" si="77"/>
        <v>834.4637288292854</v>
      </c>
      <c r="FJ116" s="59">
        <f ca="1">AVERAGE(OFFSET($FI$3,0,0,'Données projet'!$E$16+1,1))-AVERAGE(OFFSET($H$3,0,0,'Données projet'!$E$16+1,1))</f>
        <v>368.12945163484585</v>
      </c>
      <c r="FK116" s="59">
        <f t="shared" si="102"/>
        <v>357.27183934545121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27.658204504393005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27.658204504393005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67.863597000358141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67.863597000358141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3.0869565217391299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11.318840579710143</v>
      </c>
      <c r="H117" s="66">
        <f t="shared" si="56"/>
        <v>211.39130434782609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67.900658816120369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5.2499999999990337</v>
      </c>
      <c r="O117" s="13">
        <f>N117*VLOOKUP('Données projet'!$B$9,Paramètres!$A$1:$I$89,3,0)*VLOOKUP('Données projet'!$B$9,Paramètres!$A$1:$I$89,5,0)</f>
        <v>2.4569999999995478</v>
      </c>
      <c r="P117" s="13">
        <f t="shared" si="87"/>
        <v>1.0197977774625564</v>
      </c>
      <c r="Q117" s="20">
        <f t="shared" si="107"/>
        <v>6.0554227957464972</v>
      </c>
      <c r="R117" s="59">
        <f t="shared" si="55"/>
        <v>291.69117178818789</v>
      </c>
      <c r="S117" s="59">
        <f ca="1">AVERAGE(OFFSET($R$3,0,0,'Données projet'!$E$9+1,1))-AVERAGE(OFFSET($H$3,0,0,'Données projet'!$E$9+1,1))</f>
        <v>320.30433416149219</v>
      </c>
      <c r="T117" s="59">
        <f t="shared" si="88"/>
        <v>201.33422682092797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219.99043073142221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219.99043073142221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67.900658816120369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763.00000000000057</v>
      </c>
      <c r="AJ117" s="13">
        <f>AI117*VLOOKUP('Données projet'!$B$10,Paramètres!$A$1:$I$89,3,0)*VLOOKUP('Données projet'!$B$10,Paramètres!$A$1:$I$89,5,0)</f>
        <v>456.2740000000004</v>
      </c>
      <c r="AK117" s="13">
        <f t="shared" si="89"/>
        <v>103.09649786611838</v>
      </c>
      <c r="AL117" s="20">
        <f t="shared" si="58"/>
        <v>974.23695045015677</v>
      </c>
      <c r="AM117" s="59">
        <f t="shared" si="59"/>
        <v>1259.8726994425981</v>
      </c>
      <c r="AN117" s="59">
        <f ca="1">AVERAGE(OFFSET($AM$3,0,0,'Données projet'!$E$10+1,1))-AVERAGE(OFFSET($H$3,0,0,'Données projet'!$E$10+1,1))</f>
        <v>569.80473816957431</v>
      </c>
      <c r="AO117" s="59">
        <f t="shared" si="90"/>
        <v>495.56567790763199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54.275156847915412</v>
      </c>
      <c r="AV117" s="21">
        <f>EXP(-LN(2)/25)*AV116+(1-EXP(-LN(2)/25))/(LN(2)/25)*Calculateur!AQ117*Calculateur!AS117*VLOOKUP('Données projet'!$B$10,Paramètres!$A$1:$I$89,3,0)*0.475*44/12</f>
        <v>6.3717521019196903</v>
      </c>
      <c r="AW117" s="21">
        <f>EXP(-LN(2)/2)*AW116+(1-EXP(-LN(2)/2))/(LN(2)/2)*AQ117*AT117*VLOOKUP('Données projet'!$B$10,Paramètres!$A$1:$I$89,3,0)*0.475*44/12</f>
        <v>1.7859579634025766E-14</v>
      </c>
      <c r="AX117" s="21">
        <f t="shared" si="60"/>
        <v>60.646908949835122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67.900658816120369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-2.5006556825246661E-14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180.42749272334603</v>
      </c>
      <c r="BJ117" s="59">
        <f t="shared" si="92"/>
        <v>346.61476512497495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12.115213360355325</v>
      </c>
      <c r="BQ117" s="21">
        <f>EXP(-LN(2)/25)*BQ116+(1-EXP(-LN(2)/25))/(LN(2)/25)*Calculateur!BL117*Calculateur!BN117*VLOOKUP('Données projet'!$B$11,Paramètres!$A$1:$I$89,3,0)*0.475*44/12</f>
        <v>1.6133010839889099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13.728514444344235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67.900658816120369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9.4029999999999916</v>
      </c>
      <c r="BY117" s="12">
        <f>IF('Données projet'!$A$114&gt;35,BY116+BX117-CG116,IF(A117&lt;'Données projet'!$A$114,$BV$205^A117,IF(A117='Données projet'!$A$114,'Données projet'!$B$114,BY116+BX117-CG116)))</f>
        <v>479.02500000000032</v>
      </c>
      <c r="BZ117" s="13">
        <f>BY117*VLOOKUP('Données projet'!$B$12,Paramètres!$A$1:$I$89,3,0)*VLOOKUP('Données projet'!$B$12,Paramètres!$A$1:$I$89,5,0)</f>
        <v>433.42182000000025</v>
      </c>
      <c r="CA117" s="13">
        <f t="shared" si="93"/>
        <v>98.520458096711138</v>
      </c>
      <c r="CB117" s="20">
        <f t="shared" si="64"/>
        <v>926.46613435177221</v>
      </c>
      <c r="CC117" s="59">
        <f t="shared" si="65"/>
        <v>1212.1018833442135</v>
      </c>
      <c r="CD117" s="59">
        <f ca="1">AVERAGE(OFFSET($CC$3,0,0,'Données projet'!$E$12+1,1))-AVERAGE(OFFSET($H$3,0,0,'Données projet'!$E$12+1,1))</f>
        <v>553.16421218123958</v>
      </c>
      <c r="CE117" s="59">
        <f t="shared" si="94"/>
        <v>291.73668613844416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120.18562182325576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120.18562182325576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67.900658816120369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9.4029999999999916</v>
      </c>
      <c r="CT117" s="12">
        <f>IF('Données projet'!$A$140&gt;35,CT116+CS117-DB116,IF(A117&lt;'Données projet'!$A$140,$CQ$205^A117,IF(A117='Données projet'!$A$140,'Données projet'!$B$140,CT116+CS117-DB116)))</f>
        <v>479.02500000000032</v>
      </c>
      <c r="CU117" s="17">
        <f>CT117*VLOOKUP('Données projet'!$B$13,Paramètres!$A$1:$I$89,3,0)*VLOOKUP('Données projet'!$B$13,Paramètres!$A$1:$I$89,5,0)</f>
        <v>485.73135000000036</v>
      </c>
      <c r="CV117" s="13">
        <f t="shared" si="95"/>
        <v>108.95613505960884</v>
      </c>
      <c r="CW117" s="20">
        <f t="shared" si="67"/>
        <v>1035.7473698121528</v>
      </c>
      <c r="CX117" s="59">
        <f t="shared" si="68"/>
        <v>1321.3831188045942</v>
      </c>
      <c r="CY117" s="59">
        <f ca="1">AVERAGE(OFFSET($CX$3,0,0,'Données projet'!$E$13+1,1))-AVERAGE(OFFSET($H$3,0,0,'Données projet'!$E$13+1,1))</f>
        <v>611.82989382187804</v>
      </c>
      <c r="CZ117" s="59">
        <f t="shared" si="96"/>
        <v>320.34124600136363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134.69078307778668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134.69078307778668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67.900658816120369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9.4029999999999916</v>
      </c>
      <c r="DO117" s="12">
        <f>IF('Données projet'!$A$166&gt;35,DO116+DN117-DW116,IF(A117&lt;'Données projet'!$A$166,$DL$205^A117,IF(A117='Données projet'!$A$166,'Données projet'!$B$166,DO116+DN117-DW116)))</f>
        <v>479.02500000000032</v>
      </c>
      <c r="DP117" s="17">
        <f>DO117*VLOOKUP('Données projet'!$B$14,Paramètres!$A$1:$I$89,3,0)*VLOOKUP('Données projet'!$B$14,Paramètres!$A$1:$I$89,5,0)</f>
        <v>515.62251000000037</v>
      </c>
      <c r="DQ117" s="13">
        <f t="shared" si="97"/>
        <v>114.85991855654865</v>
      </c>
      <c r="DR117" s="20">
        <f t="shared" si="70"/>
        <v>1098.0902297359896</v>
      </c>
      <c r="DS117" s="59">
        <f t="shared" si="71"/>
        <v>1383.7259787284311</v>
      </c>
      <c r="DT117" s="59">
        <f ca="1">AVERAGE(OFFSET($DS$3,0,0,'Données projet'!$E$14+1,1))-AVERAGE(OFFSET($H$3,0,0,'Données projet'!$E$14+1,1))</f>
        <v>645.29541304800614</v>
      </c>
      <c r="DU117" s="59">
        <f t="shared" si="98"/>
        <v>336.65580771733323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142.97944665180418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142.97944665180418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67.900658816120369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319</v>
      </c>
      <c r="EK117" s="17">
        <f>EJ117*VLOOKUP('Données projet'!$B$15,Paramètres!$A$1:$I$89,3,0)*VLOOKUP('Données projet'!$B$15,Paramètres!$A$1:$I$89,5,0)</f>
        <v>233.89079999999998</v>
      </c>
      <c r="EL117" s="13">
        <f t="shared" si="99"/>
        <v>57.123140349023068</v>
      </c>
      <c r="EM117" s="20">
        <f t="shared" si="73"/>
        <v>506.84927944121517</v>
      </c>
      <c r="EN117" s="59">
        <f t="shared" si="74"/>
        <v>792.48502843365657</v>
      </c>
      <c r="EO117" s="59">
        <f ca="1">AVERAGE(OFFSET($EN$3,0,0,'Données projet'!$E$15+1,1))-AVERAGE(OFFSET($H$3,0,0,'Données projet'!$E$15+1,1))</f>
        <v>343.31122043016137</v>
      </c>
      <c r="EP117" s="59">
        <f t="shared" si="100"/>
        <v>333.61098411258877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20.274184495547026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20.274184495547026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67.900658816120369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319</v>
      </c>
      <c r="FF117" s="17">
        <f>FE117*VLOOKUP('Données projet'!$B$16,Paramètres!$A$1:$I$89,3,0)*VLOOKUP('Données projet'!$B$16,Paramètres!$A$1:$I$89,5,0)</f>
        <v>253.79640000000001</v>
      </c>
      <c r="FG117" s="13">
        <f t="shared" si="101"/>
        <v>61.39816832228076</v>
      </c>
      <c r="FH117" s="20">
        <f t="shared" si="76"/>
        <v>548.96387316130563</v>
      </c>
      <c r="FI117" s="59">
        <f t="shared" si="77"/>
        <v>834.59962215374708</v>
      </c>
      <c r="FJ117" s="59">
        <f ca="1">AVERAGE(OFFSET($FI$3,0,0,'Données projet'!$E$16+1,1))-AVERAGE(OFFSET($H$3,0,0,'Données projet'!$E$16+1,1))</f>
        <v>368.12945163484585</v>
      </c>
      <c r="FK117" s="59">
        <f t="shared" si="102"/>
        <v>357.27183934545121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27.115843983900849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27.115843983900849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67.900658816120369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67.900658816120369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3.0869565217391299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11.318840579710143</v>
      </c>
      <c r="H118" s="66">
        <f t="shared" si="56"/>
        <v>211.39130434782609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67.937077692236912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5.2499999999990337</v>
      </c>
      <c r="O118" s="13">
        <f>N118*VLOOKUP('Données projet'!$B$9,Paramètres!$A$1:$I$89,3,0)*VLOOKUP('Données projet'!$B$9,Paramètres!$A$1:$I$89,5,0)</f>
        <v>2.4569999999995478</v>
      </c>
      <c r="P118" s="13">
        <f t="shared" si="87"/>
        <v>1.0197977774625564</v>
      </c>
      <c r="Q118" s="20">
        <f t="shared" si="107"/>
        <v>6.0554227957464972</v>
      </c>
      <c r="R118" s="59">
        <f t="shared" si="55"/>
        <v>291.82470766728187</v>
      </c>
      <c r="S118" s="59">
        <f ca="1">AVERAGE(OFFSET($R$3,0,0,'Données projet'!$E$9+1,1))-AVERAGE(OFFSET($H$3,0,0,'Données projet'!$E$9+1,1))</f>
        <v>320.30433416149219</v>
      </c>
      <c r="T118" s="59">
        <f t="shared" si="88"/>
        <v>201.33422682092797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215.6765525656925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215.6765525656925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67.937077692236912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763.00000000000057</v>
      </c>
      <c r="AJ118" s="13">
        <f>AI118*VLOOKUP('Données projet'!$B$10,Paramètres!$A$1:$I$89,3,0)*VLOOKUP('Données projet'!$B$10,Paramètres!$A$1:$I$89,5,0)</f>
        <v>456.2740000000004</v>
      </c>
      <c r="AK118" s="13">
        <f t="shared" si="89"/>
        <v>103.09649786611838</v>
      </c>
      <c r="AL118" s="20">
        <f t="shared" si="58"/>
        <v>974.23695045015677</v>
      </c>
      <c r="AM118" s="59">
        <f t="shared" si="59"/>
        <v>1260.0062353216922</v>
      </c>
      <c r="AN118" s="59">
        <f ca="1">AVERAGE(OFFSET($AM$3,0,0,'Données projet'!$E$10+1,1))-AVERAGE(OFFSET($H$3,0,0,'Données projet'!$E$10+1,1))</f>
        <v>569.80473816957431</v>
      </c>
      <c r="AO118" s="59">
        <f t="shared" si="90"/>
        <v>495.56567790763199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53.21085412670466</v>
      </c>
      <c r="AV118" s="21">
        <f>EXP(-LN(2)/25)*AV117+(1-EXP(-LN(2)/25))/(LN(2)/25)*Calculateur!AQ118*Calculateur!AS118*VLOOKUP('Données projet'!$B$10,Paramètres!$A$1:$I$89,3,0)*0.475*44/12</f>
        <v>6.1975162056168163</v>
      </c>
      <c r="AW118" s="21">
        <f>EXP(-LN(2)/2)*AW117+(1-EXP(-LN(2)/2))/(LN(2)/2)*AQ118*AT118*VLOOKUP('Données projet'!$B$10,Paramètres!$A$1:$I$89,3,0)*0.475*44/12</f>
        <v>1.2628629868360778E-14</v>
      </c>
      <c r="AX118" s="21">
        <f t="shared" si="60"/>
        <v>59.408370332321489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67.937077692236912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-2.5006556825246661E-14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180.42749272334603</v>
      </c>
      <c r="BJ118" s="59">
        <f t="shared" si="92"/>
        <v>346.61476512497495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11.877641415909249</v>
      </c>
      <c r="BQ118" s="21">
        <f>EXP(-LN(2)/25)*BQ117+(1-EXP(-LN(2)/25))/(LN(2)/25)*Calculateur!BL118*Calculateur!BN118*VLOOKUP('Données projet'!$B$11,Paramètres!$A$1:$I$89,3,0)*0.475*44/12</f>
        <v>1.5691852810074165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13.446826696916666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67.937077692236912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9.4029999999999916</v>
      </c>
      <c r="BY118" s="12">
        <f>IF('Données projet'!$A$114&gt;35,BY117+BX118-CG117,IF(A118&lt;'Données projet'!$A$114,$BV$205^A118,IF(A118='Données projet'!$A$114,'Données projet'!$B$114,BY117+BX118-CG117)))</f>
        <v>488.42800000000034</v>
      </c>
      <c r="BZ118" s="13">
        <f>BY118*VLOOKUP('Données projet'!$B$12,Paramètres!$A$1:$I$89,3,0)*VLOOKUP('Données projet'!$B$12,Paramètres!$A$1:$I$89,5,0)</f>
        <v>441.92965440000035</v>
      </c>
      <c r="CA118" s="13">
        <f t="shared" si="93"/>
        <v>100.22731668201004</v>
      </c>
      <c r="CB118" s="20">
        <f t="shared" si="64"/>
        <v>944.25672463450144</v>
      </c>
      <c r="CC118" s="59">
        <f t="shared" si="65"/>
        <v>1230.0260095060369</v>
      </c>
      <c r="CD118" s="59">
        <f ca="1">AVERAGE(OFFSET($CC$3,0,0,'Données projet'!$E$12+1,1))-AVERAGE(OFFSET($H$3,0,0,'Données projet'!$E$12+1,1))</f>
        <v>553.16421218123958</v>
      </c>
      <c r="CE118" s="59">
        <f t="shared" si="94"/>
        <v>291.73668613844416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117.82885508529266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117.82885508529266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67.937077692236912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9.4029999999999916</v>
      </c>
      <c r="CT118" s="12">
        <f>IF('Données projet'!$A$140&gt;35,CT117+CS118-DB117,IF(A118&lt;'Données projet'!$A$140,$CQ$205^A118,IF(A118='Données projet'!$A$140,'Données projet'!$B$140,CT117+CS118-DB117)))</f>
        <v>488.42800000000034</v>
      </c>
      <c r="CU118" s="17">
        <f>CT118*VLOOKUP('Données projet'!$B$13,Paramètres!$A$1:$I$89,3,0)*VLOOKUP('Données projet'!$B$13,Paramètres!$A$1:$I$89,5,0)</f>
        <v>495.26599200000038</v>
      </c>
      <c r="CV118" s="13">
        <f t="shared" si="95"/>
        <v>110.84379086369486</v>
      </c>
      <c r="CW118" s="20">
        <f t="shared" si="67"/>
        <v>1055.6412051542693</v>
      </c>
      <c r="CX118" s="59">
        <f t="shared" si="68"/>
        <v>1341.4104900258046</v>
      </c>
      <c r="CY118" s="59">
        <f ca="1">AVERAGE(OFFSET($CX$3,0,0,'Données projet'!$E$13+1,1))-AVERAGE(OFFSET($H$3,0,0,'Données projet'!$E$13+1,1))</f>
        <v>611.82989382187804</v>
      </c>
      <c r="CZ118" s="59">
        <f t="shared" si="96"/>
        <v>320.34124600136363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132.049578974897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132.049578974897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67.937077692236912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9.4029999999999916</v>
      </c>
      <c r="DO118" s="12">
        <f>IF('Données projet'!$A$166&gt;35,DO117+DN118-DW117,IF(A118&lt;'Données projet'!$A$166,$DL$205^A118,IF(A118='Données projet'!$A$166,'Données projet'!$B$166,DO117+DN118-DW117)))</f>
        <v>488.42800000000034</v>
      </c>
      <c r="DP118" s="17">
        <f>DO118*VLOOKUP('Données projet'!$B$14,Paramètres!$A$1:$I$89,3,0)*VLOOKUP('Données projet'!$B$14,Paramètres!$A$1:$I$89,5,0)</f>
        <v>525.74389920000033</v>
      </c>
      <c r="DQ118" s="13">
        <f t="shared" si="97"/>
        <v>116.84985690927665</v>
      </c>
      <c r="DR118" s="20">
        <f t="shared" si="70"/>
        <v>1119.1841252236575</v>
      </c>
      <c r="DS118" s="59">
        <f t="shared" si="71"/>
        <v>1404.9534100951928</v>
      </c>
      <c r="DT118" s="59">
        <f ca="1">AVERAGE(OFFSET($DS$3,0,0,'Données projet'!$E$14+1,1))-AVERAGE(OFFSET($H$3,0,0,'Données projet'!$E$14+1,1))</f>
        <v>645.29541304800614</v>
      </c>
      <c r="DU118" s="59">
        <f t="shared" si="98"/>
        <v>336.65580771733323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140.17570691181359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140.17570691181359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67.937077692236912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319</v>
      </c>
      <c r="EK118" s="17">
        <f>EJ118*VLOOKUP('Données projet'!$B$15,Paramètres!$A$1:$I$89,3,0)*VLOOKUP('Données projet'!$B$15,Paramètres!$A$1:$I$89,5,0)</f>
        <v>233.89079999999998</v>
      </c>
      <c r="EL118" s="13">
        <f t="shared" si="99"/>
        <v>57.123140349023068</v>
      </c>
      <c r="EM118" s="20">
        <f t="shared" si="73"/>
        <v>506.84927944121517</v>
      </c>
      <c r="EN118" s="59">
        <f t="shared" si="74"/>
        <v>792.61856431275055</v>
      </c>
      <c r="EO118" s="59">
        <f ca="1">AVERAGE(OFFSET($EN$3,0,0,'Données projet'!$E$15+1,1))-AVERAGE(OFFSET($H$3,0,0,'Données projet'!$E$15+1,1))</f>
        <v>343.31122043016137</v>
      </c>
      <c r="EP118" s="59">
        <f t="shared" si="100"/>
        <v>333.61098411258877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19.876620103620848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19.876620103620848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67.937077692236912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319</v>
      </c>
      <c r="FF118" s="17">
        <f>FE118*VLOOKUP('Données projet'!$B$16,Paramètres!$A$1:$I$89,3,0)*VLOOKUP('Données projet'!$B$16,Paramètres!$A$1:$I$89,5,0)</f>
        <v>253.79640000000001</v>
      </c>
      <c r="FG118" s="13">
        <f t="shared" si="101"/>
        <v>61.39816832228076</v>
      </c>
      <c r="FH118" s="20">
        <f t="shared" si="76"/>
        <v>548.96387316130563</v>
      </c>
      <c r="FI118" s="59">
        <f t="shared" si="77"/>
        <v>834.73315803284095</v>
      </c>
      <c r="FJ118" s="59">
        <f ca="1">AVERAGE(OFFSET($FI$3,0,0,'Données projet'!$E$16+1,1))-AVERAGE(OFFSET($H$3,0,0,'Données projet'!$E$16+1,1))</f>
        <v>368.12945163484585</v>
      </c>
      <c r="FK118" s="59">
        <f t="shared" si="102"/>
        <v>357.27183934545121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26.584118822408289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26.584118822408289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67.937077692236912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67.937077692236912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3.0869565217391299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11.318840579710143</v>
      </c>
      <c r="H119" s="66">
        <f t="shared" si="56"/>
        <v>211.39130434782609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67.972864782273248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5.2499999999990337</v>
      </c>
      <c r="O119" s="13">
        <f>N119*VLOOKUP('Données projet'!$B$9,Paramètres!$A$1:$I$89,3,0)*VLOOKUP('Données projet'!$B$9,Paramètres!$A$1:$I$89,5,0)</f>
        <v>2.4569999999995478</v>
      </c>
      <c r="P119" s="13">
        <f t="shared" si="87"/>
        <v>1.0197977774625564</v>
      </c>
      <c r="Q119" s="20">
        <f t="shared" si="107"/>
        <v>6.0554227957464972</v>
      </c>
      <c r="R119" s="59">
        <f t="shared" si="55"/>
        <v>291.95592699741508</v>
      </c>
      <c r="S119" s="59">
        <f ca="1">AVERAGE(OFFSET($R$3,0,0,'Données projet'!$E$9+1,1))-AVERAGE(OFFSET($H$3,0,0,'Données projet'!$E$9+1,1))</f>
        <v>320.30433416149219</v>
      </c>
      <c r="T119" s="59">
        <f t="shared" si="88"/>
        <v>201.33422682092797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211.44726691958689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211.44726691958689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67.972864782273248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763.00000000000057</v>
      </c>
      <c r="AJ119" s="13">
        <f>AI119*VLOOKUP('Données projet'!$B$10,Paramètres!$A$1:$I$89,3,0)*VLOOKUP('Données projet'!$B$10,Paramètres!$A$1:$I$89,5,0)</f>
        <v>456.2740000000004</v>
      </c>
      <c r="AK119" s="13">
        <f t="shared" si="89"/>
        <v>103.09649786611838</v>
      </c>
      <c r="AL119" s="20">
        <f t="shared" si="58"/>
        <v>974.23695045015677</v>
      </c>
      <c r="AM119" s="59">
        <f t="shared" si="59"/>
        <v>1260.1374546518255</v>
      </c>
      <c r="AN119" s="59">
        <f ca="1">AVERAGE(OFFSET($AM$3,0,0,'Données projet'!$E$10+1,1))-AVERAGE(OFFSET($H$3,0,0,'Données projet'!$E$10+1,1))</f>
        <v>569.80473816957431</v>
      </c>
      <c r="AO119" s="59">
        <f t="shared" si="90"/>
        <v>495.56567790763199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52.16742173269629</v>
      </c>
      <c r="AV119" s="21">
        <f>EXP(-LN(2)/25)*AV118+(1-EXP(-LN(2)/25))/(LN(2)/25)*Calculateur!AQ119*Calculateur!AS119*VLOOKUP('Données projet'!$B$10,Paramètres!$A$1:$I$89,3,0)*0.475*44/12</f>
        <v>6.0280447990610115</v>
      </c>
      <c r="AW119" s="21">
        <f>EXP(-LN(2)/2)*AW118+(1-EXP(-LN(2)/2))/(LN(2)/2)*AQ119*AT119*VLOOKUP('Données projet'!$B$10,Paramètres!$A$1:$I$89,3,0)*0.475*44/12</f>
        <v>8.9297898170128831E-15</v>
      </c>
      <c r="AX119" s="21">
        <f t="shared" si="60"/>
        <v>58.195466531757312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67.972864782273248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-2.5006556825246661E-14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180.42749272334603</v>
      </c>
      <c r="BJ119" s="59">
        <f t="shared" si="92"/>
        <v>346.61476512497495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11.644728112389183</v>
      </c>
      <c r="BQ119" s="21">
        <f>EXP(-LN(2)/25)*BQ118+(1-EXP(-LN(2)/25))/(LN(2)/25)*Calculateur!BL119*Calculateur!BN119*VLOOKUP('Données projet'!$B$11,Paramètres!$A$1:$I$89,3,0)*0.475*44/12</f>
        <v>1.5262758269784011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13.171003939367584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67.972864782273248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9.4029999999999916</v>
      </c>
      <c r="BY119" s="12">
        <f>IF('Données projet'!$A$114&gt;35,BY118+BX119-CG118,IF(A119&lt;'Données projet'!$A$114,$BV$205^A119,IF(A119='Données projet'!$A$114,'Données projet'!$B$114,BY118+BX119-CG118)))</f>
        <v>497.83100000000036</v>
      </c>
      <c r="BZ119" s="13">
        <f>BY119*VLOOKUP('Données projet'!$B$12,Paramètres!$A$1:$I$89,3,0)*VLOOKUP('Données projet'!$B$12,Paramètres!$A$1:$I$89,5,0)</f>
        <v>450.43748880000032</v>
      </c>
      <c r="CA119" s="13">
        <f t="shared" si="93"/>
        <v>101.93035443256859</v>
      </c>
      <c r="CB119" s="20">
        <f t="shared" si="64"/>
        <v>962.04066029672424</v>
      </c>
      <c r="CC119" s="59">
        <f t="shared" si="65"/>
        <v>1247.9411644983929</v>
      </c>
      <c r="CD119" s="59">
        <f ca="1">AVERAGE(OFFSET($CC$3,0,0,'Données projet'!$E$12+1,1))-AVERAGE(OFFSET($H$3,0,0,'Données projet'!$E$12+1,1))</f>
        <v>553.16421218123958</v>
      </c>
      <c r="CE119" s="59">
        <f t="shared" si="94"/>
        <v>291.73668613844416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115.51830310557524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115.51830310557524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67.972864782273248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9.4029999999999916</v>
      </c>
      <c r="CT119" s="12">
        <f>IF('Données projet'!$A$140&gt;35,CT118+CS119-DB118,IF(A119&lt;'Données projet'!$A$140,$CQ$205^A119,IF(A119='Données projet'!$A$140,'Données projet'!$B$140,CT118+CS119-DB118)))</f>
        <v>497.83100000000036</v>
      </c>
      <c r="CU119" s="17">
        <f>CT119*VLOOKUP('Données projet'!$B$13,Paramètres!$A$1:$I$89,3,0)*VLOOKUP('Données projet'!$B$13,Paramètres!$A$1:$I$89,5,0)</f>
        <v>504.80063400000034</v>
      </c>
      <c r="CV119" s="13">
        <f t="shared" si="95"/>
        <v>112.72722111509829</v>
      </c>
      <c r="CW119" s="20">
        <f t="shared" si="67"/>
        <v>1075.5276809921299</v>
      </c>
      <c r="CX119" s="59">
        <f t="shared" si="68"/>
        <v>1361.4281851937985</v>
      </c>
      <c r="CY119" s="59">
        <f ca="1">AVERAGE(OFFSET($CX$3,0,0,'Données projet'!$E$13+1,1))-AVERAGE(OFFSET($H$3,0,0,'Données projet'!$E$13+1,1))</f>
        <v>611.82989382187804</v>
      </c>
      <c r="CZ119" s="59">
        <f t="shared" si="96"/>
        <v>320.34124600136363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129.46016727348956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129.46016727348956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67.972864782273248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9.4029999999999916</v>
      </c>
      <c r="DO119" s="12">
        <f>IF('Données projet'!$A$166&gt;35,DO118+DN119-DW118,IF(A119&lt;'Données projet'!$A$166,$DL$205^A119,IF(A119='Données projet'!$A$166,'Données projet'!$B$166,DO118+DN119-DW118)))</f>
        <v>497.83100000000036</v>
      </c>
      <c r="DP119" s="17">
        <f>DO119*VLOOKUP('Données projet'!$B$14,Paramètres!$A$1:$I$89,3,0)*VLOOKUP('Données projet'!$B$14,Paramètres!$A$1:$I$89,5,0)</f>
        <v>535.86528840000028</v>
      </c>
      <c r="DQ119" s="13">
        <f t="shared" si="97"/>
        <v>118.83534074793141</v>
      </c>
      <c r="DR119" s="20">
        <f t="shared" si="70"/>
        <v>1140.2702624326478</v>
      </c>
      <c r="DS119" s="59">
        <f t="shared" si="71"/>
        <v>1426.1707666343164</v>
      </c>
      <c r="DT119" s="59">
        <f ca="1">AVERAGE(OFFSET($DS$3,0,0,'Données projet'!$E$14+1,1))-AVERAGE(OFFSET($H$3,0,0,'Données projet'!$E$14+1,1))</f>
        <v>645.29541304800614</v>
      </c>
      <c r="DU119" s="59">
        <f t="shared" si="98"/>
        <v>336.65580771733323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137.42694679801184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137.42694679801184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67.972864782273248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319</v>
      </c>
      <c r="EK119" s="17">
        <f>EJ119*VLOOKUP('Données projet'!$B$15,Paramètres!$A$1:$I$89,3,0)*VLOOKUP('Données projet'!$B$15,Paramètres!$A$1:$I$89,5,0)</f>
        <v>233.89079999999998</v>
      </c>
      <c r="EL119" s="13">
        <f t="shared" si="99"/>
        <v>57.123140349023068</v>
      </c>
      <c r="EM119" s="20">
        <f t="shared" si="73"/>
        <v>506.84927944121517</v>
      </c>
      <c r="EN119" s="59">
        <f t="shared" si="74"/>
        <v>792.74978364288381</v>
      </c>
      <c r="EO119" s="59">
        <f ca="1">AVERAGE(OFFSET($EN$3,0,0,'Données projet'!$E$15+1,1))-AVERAGE(OFFSET($H$3,0,0,'Données projet'!$E$15+1,1))</f>
        <v>343.31122043016137</v>
      </c>
      <c r="EP119" s="59">
        <f t="shared" si="100"/>
        <v>333.61098411258877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19.486851706930008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19.486851706930008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67.972864782273248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319</v>
      </c>
      <c r="FF119" s="17">
        <f>FE119*VLOOKUP('Données projet'!$B$16,Paramètres!$A$1:$I$89,3,0)*VLOOKUP('Données projet'!$B$16,Paramètres!$A$1:$I$89,5,0)</f>
        <v>253.79640000000001</v>
      </c>
      <c r="FG119" s="13">
        <f t="shared" si="101"/>
        <v>61.39816832228076</v>
      </c>
      <c r="FH119" s="20">
        <f t="shared" si="76"/>
        <v>548.96387316130563</v>
      </c>
      <c r="FI119" s="59">
        <f t="shared" si="77"/>
        <v>834.86437736297421</v>
      </c>
      <c r="FJ119" s="59">
        <f ca="1">AVERAGE(OFFSET($FI$3,0,0,'Données projet'!$E$16+1,1))-AVERAGE(OFFSET($H$3,0,0,'Données projet'!$E$16+1,1))</f>
        <v>368.12945163484585</v>
      </c>
      <c r="FK119" s="59">
        <f t="shared" si="102"/>
        <v>357.27183934545121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26.062820467012276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26.062820467012276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67.972864782273248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67.972864782273248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3.0869565217391299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11.318840579710143</v>
      </c>
      <c r="H120" s="66">
        <f t="shared" si="56"/>
        <v>211.39130434782609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68.008031046305405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5.2499999999990337</v>
      </c>
      <c r="O120" s="13">
        <f>N120*VLOOKUP('Données projet'!$B$9,Paramètres!$A$1:$I$89,3,0)*VLOOKUP('Données projet'!$B$9,Paramètres!$A$1:$I$89,5,0)</f>
        <v>2.4569999999995478</v>
      </c>
      <c r="P120" s="13">
        <f t="shared" si="87"/>
        <v>1.0197977774625564</v>
      </c>
      <c r="Q120" s="20">
        <f t="shared" si="107"/>
        <v>6.0554227957464972</v>
      </c>
      <c r="R120" s="59">
        <f t="shared" si="55"/>
        <v>292.08486996553296</v>
      </c>
      <c r="S120" s="59">
        <f ca="1">AVERAGE(OFFSET($R$3,0,0,'Données projet'!$E$9+1,1))-AVERAGE(OFFSET($H$3,0,0,'Données projet'!$E$9+1,1))</f>
        <v>320.30433416149219</v>
      </c>
      <c r="T120" s="59">
        <f t="shared" si="88"/>
        <v>201.33422682092797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207.30091498539187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207.30091498539187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68.008031046305405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763.00000000000057</v>
      </c>
      <c r="AJ120" s="13">
        <f>AI120*VLOOKUP('Données projet'!$B$10,Paramètres!$A$1:$I$89,3,0)*VLOOKUP('Données projet'!$B$10,Paramètres!$A$1:$I$89,5,0)</f>
        <v>456.2740000000004</v>
      </c>
      <c r="AK120" s="13">
        <f t="shared" si="89"/>
        <v>103.09649786611838</v>
      </c>
      <c r="AL120" s="20">
        <f t="shared" si="58"/>
        <v>974.23695045015677</v>
      </c>
      <c r="AM120" s="59">
        <f t="shared" si="59"/>
        <v>1260.2663976199433</v>
      </c>
      <c r="AN120" s="59">
        <f ca="1">AVERAGE(OFFSET($AM$3,0,0,'Données projet'!$E$10+1,1))-AVERAGE(OFFSET($H$3,0,0,'Données projet'!$E$10+1,1))</f>
        <v>569.80473816957431</v>
      </c>
      <c r="AO120" s="59">
        <f t="shared" si="90"/>
        <v>495.56567790763199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51.144450411503506</v>
      </c>
      <c r="AV120" s="21">
        <f>EXP(-LN(2)/25)*AV119+(1-EXP(-LN(2)/25))/(LN(2)/25)*Calculateur!AQ120*Calculateur!AS120*VLOOKUP('Données projet'!$B$10,Paramètres!$A$1:$I$89,3,0)*0.475*44/12</f>
        <v>5.8632075970295894</v>
      </c>
      <c r="AW120" s="21">
        <f>EXP(-LN(2)/2)*AW119+(1-EXP(-LN(2)/2))/(LN(2)/2)*AQ120*AT120*VLOOKUP('Données projet'!$B$10,Paramètres!$A$1:$I$89,3,0)*0.475*44/12</f>
        <v>6.314314934180389E-15</v>
      </c>
      <c r="AX120" s="21">
        <f t="shared" si="60"/>
        <v>57.007658008533106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68.008031046305405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-2.5006556825246661E-14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180.42749272334603</v>
      </c>
      <c r="BJ120" s="59">
        <f t="shared" si="92"/>
        <v>346.61476512497495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11.416382096688057</v>
      </c>
      <c r="BQ120" s="21">
        <f>EXP(-LN(2)/25)*BQ119+(1-EXP(-LN(2)/25))/(LN(2)/25)*Calculateur!BL120*Calculateur!BN120*VLOOKUP('Données projet'!$B$11,Paramètres!$A$1:$I$89,3,0)*0.475*44/12</f>
        <v>1.4845397342263194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12.900921830914376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68.008031046305405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9.4029999999999916</v>
      </c>
      <c r="BY120" s="12">
        <f>IF('Données projet'!$A$114&gt;35,BY119+BX120-CG119,IF(A120&lt;'Données projet'!$A$114,$BV$205^A120,IF(A120='Données projet'!$A$114,'Données projet'!$B$114,BY119+BX120-CG119)))</f>
        <v>507.23400000000038</v>
      </c>
      <c r="BZ120" s="13">
        <f>BY120*VLOOKUP('Données projet'!$B$12,Paramètres!$A$1:$I$89,3,0)*VLOOKUP('Données projet'!$B$12,Paramètres!$A$1:$I$89,5,0)</f>
        <v>458.94532320000036</v>
      </c>
      <c r="CA120" s="13">
        <f t="shared" si="93"/>
        <v>103.62965183753882</v>
      </c>
      <c r="CB120" s="20">
        <f t="shared" si="64"/>
        <v>979.81808152371411</v>
      </c>
      <c r="CC120" s="59">
        <f t="shared" si="65"/>
        <v>1265.8475286935006</v>
      </c>
      <c r="CD120" s="59">
        <f ca="1">AVERAGE(OFFSET($CC$3,0,0,'Données projet'!$E$12+1,1))-AVERAGE(OFFSET($H$3,0,0,'Données projet'!$E$12+1,1))</f>
        <v>553.16421218123958</v>
      </c>
      <c r="CE120" s="59">
        <f t="shared" si="94"/>
        <v>291.73668613844416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113.25305964088254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113.25305964088254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68.008031046305405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9.4029999999999916</v>
      </c>
      <c r="CT120" s="12">
        <f>IF('Données projet'!$A$140&gt;35,CT119+CS120-DB119,IF(A120&lt;'Données projet'!$A$140,$CQ$205^A120,IF(A120='Données projet'!$A$140,'Données projet'!$B$140,CT119+CS120-DB119)))</f>
        <v>507.23400000000038</v>
      </c>
      <c r="CU120" s="17">
        <f>CT120*VLOOKUP('Données projet'!$B$13,Paramètres!$A$1:$I$89,3,0)*VLOOKUP('Données projet'!$B$13,Paramètres!$A$1:$I$89,5,0)</f>
        <v>514.33527600000036</v>
      </c>
      <c r="CV120" s="13">
        <f t="shared" si="95"/>
        <v>114.6065148287007</v>
      </c>
      <c r="CW120" s="20">
        <f t="shared" si="67"/>
        <v>1095.4069523599876</v>
      </c>
      <c r="CX120" s="59">
        <f t="shared" si="68"/>
        <v>1381.436399529774</v>
      </c>
      <c r="CY120" s="59">
        <f ca="1">AVERAGE(OFFSET($CX$3,0,0,'Données projet'!$E$13+1,1))-AVERAGE(OFFSET($H$3,0,0,'Données projet'!$E$13+1,1))</f>
        <v>611.82989382187804</v>
      </c>
      <c r="CZ120" s="59">
        <f t="shared" si="96"/>
        <v>320.34124600136363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126.92153235616152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126.92153235616152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68.008031046305405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9.4029999999999916</v>
      </c>
      <c r="DO120" s="12">
        <f>IF('Données projet'!$A$166&gt;35,DO119+DN120-DW119,IF(A120&lt;'Données projet'!$A$166,$DL$205^A120,IF(A120='Données projet'!$A$166,'Données projet'!$B$166,DO119+DN120-DW119)))</f>
        <v>507.23400000000038</v>
      </c>
      <c r="DP120" s="17">
        <f>DO120*VLOOKUP('Données projet'!$B$14,Paramètres!$A$1:$I$89,3,0)*VLOOKUP('Données projet'!$B$14,Paramètres!$A$1:$I$89,5,0)</f>
        <v>545.98667760000035</v>
      </c>
      <c r="DQ120" s="13">
        <f t="shared" si="97"/>
        <v>120.81646391066211</v>
      </c>
      <c r="DR120" s="20">
        <f t="shared" si="70"/>
        <v>1161.3488047977371</v>
      </c>
      <c r="DS120" s="59">
        <f t="shared" si="71"/>
        <v>1447.3782519675235</v>
      </c>
      <c r="DT120" s="59">
        <f ca="1">AVERAGE(OFFSET($DS$3,0,0,'Données projet'!$E$14+1,1))-AVERAGE(OFFSET($H$3,0,0,'Données projet'!$E$14+1,1))</f>
        <v>645.29541304800614</v>
      </c>
      <c r="DU120" s="59">
        <f t="shared" si="98"/>
        <v>336.65580771733323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134.73208819346362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134.73208819346362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68.008031046305405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319</v>
      </c>
      <c r="EK120" s="17">
        <f>EJ120*VLOOKUP('Données projet'!$B$15,Paramètres!$A$1:$I$89,3,0)*VLOOKUP('Données projet'!$B$15,Paramètres!$A$1:$I$89,5,0)</f>
        <v>233.89079999999998</v>
      </c>
      <c r="EL120" s="13">
        <f t="shared" si="99"/>
        <v>57.123140349023068</v>
      </c>
      <c r="EM120" s="20">
        <f t="shared" si="73"/>
        <v>506.84927944121517</v>
      </c>
      <c r="EN120" s="59">
        <f t="shared" si="74"/>
        <v>792.87872661100164</v>
      </c>
      <c r="EO120" s="59">
        <f ca="1">AVERAGE(OFFSET($EN$3,0,0,'Données projet'!$E$15+1,1))-AVERAGE(OFFSET($H$3,0,0,'Données projet'!$E$15+1,1))</f>
        <v>343.31122043016137</v>
      </c>
      <c r="EP120" s="59">
        <f t="shared" si="100"/>
        <v>333.61098411258877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19.104726430763026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19.104726430763026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68.008031046305405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319</v>
      </c>
      <c r="FF120" s="17">
        <f>FE120*VLOOKUP('Données projet'!$B$16,Paramètres!$A$1:$I$89,3,0)*VLOOKUP('Données projet'!$B$16,Paramètres!$A$1:$I$89,5,0)</f>
        <v>253.79640000000001</v>
      </c>
      <c r="FG120" s="13">
        <f t="shared" si="101"/>
        <v>61.39816832228076</v>
      </c>
      <c r="FH120" s="20">
        <f t="shared" si="76"/>
        <v>548.96387316130563</v>
      </c>
      <c r="FI120" s="59">
        <f t="shared" si="77"/>
        <v>834.99332033109204</v>
      </c>
      <c r="FJ120" s="59">
        <f ca="1">AVERAGE(OFFSET($FI$3,0,0,'Données projet'!$E$16+1,1))-AVERAGE(OFFSET($H$3,0,0,'Données projet'!$E$16+1,1))</f>
        <v>368.12945163484585</v>
      </c>
      <c r="FK120" s="59">
        <f t="shared" si="102"/>
        <v>357.27183934545121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25.551744454404975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25.551744454404975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68.008031046305405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68.008031046305405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3.0869565217391299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11.318840579710143</v>
      </c>
      <c r="H121" s="66">
        <f t="shared" si="56"/>
        <v>211.39130434782609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68.042587254276583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5.2499999999990337</v>
      </c>
      <c r="O121" s="13">
        <f>N121*VLOOKUP('Données projet'!$B$9,Paramètres!$A$1:$I$89,3,0)*VLOOKUP('Données projet'!$B$9,Paramètres!$A$1:$I$89,5,0)</f>
        <v>2.4569999999995478</v>
      </c>
      <c r="P121" s="13">
        <f t="shared" si="87"/>
        <v>1.0197977774625564</v>
      </c>
      <c r="Q121" s="20">
        <f t="shared" si="107"/>
        <v>6.0554227957464972</v>
      </c>
      <c r="R121" s="59">
        <f t="shared" si="55"/>
        <v>292.21157606142731</v>
      </c>
      <c r="S121" s="59">
        <f ca="1">AVERAGE(OFFSET($R$3,0,0,'Données projet'!$E$9+1,1))-AVERAGE(OFFSET($H$3,0,0,'Données projet'!$E$9+1,1))</f>
        <v>320.30433416149219</v>
      </c>
      <c r="T121" s="59">
        <f t="shared" si="88"/>
        <v>201.33422682092797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203.23587048360145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203.23587048360145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68.042587254276583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763.00000000000057</v>
      </c>
      <c r="AJ121" s="13">
        <f>AI121*VLOOKUP('Données projet'!$B$10,Paramètres!$A$1:$I$89,3,0)*VLOOKUP('Données projet'!$B$10,Paramètres!$A$1:$I$89,5,0)</f>
        <v>456.2740000000004</v>
      </c>
      <c r="AK121" s="13">
        <f t="shared" si="89"/>
        <v>103.09649786611838</v>
      </c>
      <c r="AL121" s="20">
        <f t="shared" si="58"/>
        <v>974.23695045015677</v>
      </c>
      <c r="AM121" s="59">
        <f t="shared" si="59"/>
        <v>1260.3931037158377</v>
      </c>
      <c r="AN121" s="59">
        <f ca="1">AVERAGE(OFFSET($AM$3,0,0,'Données projet'!$E$10+1,1))-AVERAGE(OFFSET($H$3,0,0,'Données projet'!$E$10+1,1))</f>
        <v>569.80473816957431</v>
      </c>
      <c r="AO121" s="59">
        <f t="shared" si="90"/>
        <v>495.56567790763199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50.14153893396842</v>
      </c>
      <c r="AV121" s="21">
        <f>EXP(-LN(2)/25)*AV120+(1-EXP(-LN(2)/25))/(LN(2)/25)*Calculateur!AQ121*Calculateur!AS121*VLOOKUP('Données projet'!$B$10,Paramètres!$A$1:$I$89,3,0)*0.475*44/12</f>
        <v>5.7028778769561281</v>
      </c>
      <c r="AW121" s="21">
        <f>EXP(-LN(2)/2)*AW120+(1-EXP(-LN(2)/2))/(LN(2)/2)*AQ121*AT121*VLOOKUP('Données projet'!$B$10,Paramètres!$A$1:$I$89,3,0)*0.475*44/12</f>
        <v>4.4648949085064415E-15</v>
      </c>
      <c r="AX121" s="21">
        <f t="shared" si="60"/>
        <v>55.844416810924557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68.042587254276583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-2.5006556825246661E-14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180.42749272334603</v>
      </c>
      <c r="BJ121" s="59">
        <f t="shared" si="92"/>
        <v>346.61476512497495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11.192513807077514</v>
      </c>
      <c r="BQ121" s="21">
        <f>EXP(-LN(2)/25)*BQ120+(1-EXP(-LN(2)/25))/(LN(2)/25)*Calculateur!BL121*Calculateur!BN121*VLOOKUP('Données projet'!$B$11,Paramètres!$A$1:$I$89,3,0)*0.475*44/12</f>
        <v>1.4439449171253489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12.636458724202862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68.042587254276583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9.4029999999999916</v>
      </c>
      <c r="BY121" s="12">
        <f>IF('Données projet'!$A$114&gt;35,BY120+BX121-CG120,IF(A121&lt;'Données projet'!$A$114,$BV$205^A121,IF(A121='Données projet'!$A$114,'Données projet'!$B$114,BY120+BX121-CG120)))</f>
        <v>516.6370000000004</v>
      </c>
      <c r="BZ121" s="13">
        <f>BY121*VLOOKUP('Données projet'!$B$12,Paramètres!$A$1:$I$89,3,0)*VLOOKUP('Données projet'!$B$12,Paramètres!$A$1:$I$89,5,0)</f>
        <v>467.45315760000034</v>
      </c>
      <c r="CA121" s="13">
        <f t="shared" si="93"/>
        <v>105.3252862310737</v>
      </c>
      <c r="CB121" s="20">
        <f t="shared" si="64"/>
        <v>997.5891230057872</v>
      </c>
      <c r="CC121" s="59">
        <f t="shared" si="65"/>
        <v>1283.7452762714679</v>
      </c>
      <c r="CD121" s="59">
        <f ca="1">AVERAGE(OFFSET($CC$3,0,0,'Données projet'!$E$12+1,1))-AVERAGE(OFFSET($H$3,0,0,'Données projet'!$E$12+1,1))</f>
        <v>553.16421218123958</v>
      </c>
      <c r="CE121" s="59">
        <f t="shared" si="94"/>
        <v>291.73668613844416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111.03223621887037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111.03223621887037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68.042587254276583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9.4029999999999916</v>
      </c>
      <c r="CT121" s="12">
        <f>IF('Données projet'!$A$140&gt;35,CT120+CS121-DB120,IF(A121&lt;'Données projet'!$A$140,$CQ$205^A121,IF(A121='Données projet'!$A$140,'Données projet'!$B$140,CT120+CS121-DB120)))</f>
        <v>516.6370000000004</v>
      </c>
      <c r="CU121" s="17">
        <f>CT121*VLOOKUP('Données projet'!$B$13,Paramètres!$A$1:$I$89,3,0)*VLOOKUP('Données projet'!$B$13,Paramètres!$A$1:$I$89,5,0)</f>
        <v>523.86991800000044</v>
      </c>
      <c r="CV121" s="13">
        <f t="shared" si="95"/>
        <v>116.48175753019471</v>
      </c>
      <c r="CW121" s="20">
        <f t="shared" si="67"/>
        <v>1115.2791682150898</v>
      </c>
      <c r="CX121" s="59">
        <f t="shared" si="68"/>
        <v>1401.4353214807707</v>
      </c>
      <c r="CY121" s="59">
        <f ca="1">AVERAGE(OFFSET($CX$3,0,0,'Données projet'!$E$13+1,1))-AVERAGE(OFFSET($H$3,0,0,'Données projet'!$E$13+1,1))</f>
        <v>611.82989382187804</v>
      </c>
      <c r="CZ121" s="59">
        <f t="shared" si="96"/>
        <v>320.34124600136363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124.43267852114788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124.43267852114788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68.042587254276583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9.4029999999999916</v>
      </c>
      <c r="DO121" s="12">
        <f>IF('Données projet'!$A$166&gt;35,DO120+DN121-DW120,IF(A121&lt;'Données projet'!$A$166,$DL$205^A121,IF(A121='Données projet'!$A$166,'Données projet'!$B$166,DO120+DN121-DW120)))</f>
        <v>516.6370000000004</v>
      </c>
      <c r="DP121" s="17">
        <f>DO121*VLOOKUP('Données projet'!$B$14,Paramètres!$A$1:$I$89,3,0)*VLOOKUP('Données projet'!$B$14,Paramètres!$A$1:$I$89,5,0)</f>
        <v>556.10806680000042</v>
      </c>
      <c r="DQ121" s="13">
        <f t="shared" si="97"/>
        <v>122.79331655736739</v>
      </c>
      <c r="DR121" s="20">
        <f t="shared" si="70"/>
        <v>1182.4199093474156</v>
      </c>
      <c r="DS121" s="59">
        <f t="shared" si="71"/>
        <v>1468.5760626130964</v>
      </c>
      <c r="DT121" s="59">
        <f ca="1">AVERAGE(OFFSET($DS$3,0,0,'Données projet'!$E$14+1,1))-AVERAGE(OFFSET($H$3,0,0,'Données projet'!$E$14+1,1))</f>
        <v>645.29541304800614</v>
      </c>
      <c r="DU121" s="59">
        <f t="shared" si="98"/>
        <v>336.65580771733323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132.09007412244915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132.09007412244915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68.042587254276583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319</v>
      </c>
      <c r="EK121" s="17">
        <f>EJ121*VLOOKUP('Données projet'!$B$15,Paramètres!$A$1:$I$89,3,0)*VLOOKUP('Données projet'!$B$15,Paramètres!$A$1:$I$89,5,0)</f>
        <v>233.89079999999998</v>
      </c>
      <c r="EL121" s="13">
        <f t="shared" si="99"/>
        <v>57.123140349023068</v>
      </c>
      <c r="EM121" s="20">
        <f t="shared" si="73"/>
        <v>506.84927944121517</v>
      </c>
      <c r="EN121" s="59">
        <f t="shared" si="74"/>
        <v>793.00543270689604</v>
      </c>
      <c r="EO121" s="59">
        <f ca="1">AVERAGE(OFFSET($EN$3,0,0,'Données projet'!$E$15+1,1))-AVERAGE(OFFSET($H$3,0,0,'Données projet'!$E$15+1,1))</f>
        <v>343.31122043016137</v>
      </c>
      <c r="EP121" s="59">
        <f t="shared" si="100"/>
        <v>333.61098411258877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18.730094398188275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18.730094398188275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68.042587254276583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319</v>
      </c>
      <c r="FF121" s="17">
        <f>FE121*VLOOKUP('Données projet'!$B$16,Paramètres!$A$1:$I$89,3,0)*VLOOKUP('Données projet'!$B$16,Paramètres!$A$1:$I$89,5,0)</f>
        <v>253.79640000000001</v>
      </c>
      <c r="FG121" s="13">
        <f t="shared" si="101"/>
        <v>61.39816832228076</v>
      </c>
      <c r="FH121" s="20">
        <f t="shared" si="76"/>
        <v>548.96387316130563</v>
      </c>
      <c r="FI121" s="59">
        <f t="shared" si="77"/>
        <v>835.12002642698644</v>
      </c>
      <c r="FJ121" s="59">
        <f ca="1">AVERAGE(OFFSET($FI$3,0,0,'Données projet'!$E$16+1,1))-AVERAGE(OFFSET($H$3,0,0,'Données projet'!$E$16+1,1))</f>
        <v>368.12945163484585</v>
      </c>
      <c r="FK121" s="59">
        <f t="shared" si="102"/>
        <v>357.27183934545121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25.050690330679316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25.050690330679316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68.042587254276583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68.042587254276583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3.0869565217391299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11.318840579710143</v>
      </c>
      <c r="H122" s="66">
        <f t="shared" si="56"/>
        <v>211.39130434782609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68.076543989295573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5.2499999999990337</v>
      </c>
      <c r="O122" s="13">
        <f>N122*VLOOKUP('Données projet'!$B$9,Paramètres!$A$1:$I$89,3,0)*VLOOKUP('Données projet'!$B$9,Paramètres!$A$1:$I$89,5,0)</f>
        <v>2.4569999999995478</v>
      </c>
      <c r="P122" s="13">
        <f t="shared" si="87"/>
        <v>1.0197977774625564</v>
      </c>
      <c r="Q122" s="20">
        <f t="shared" si="107"/>
        <v>6.0554227957464972</v>
      </c>
      <c r="R122" s="59">
        <f t="shared" si="55"/>
        <v>292.33608408983025</v>
      </c>
      <c r="S122" s="59">
        <f ca="1">AVERAGE(OFFSET($R$3,0,0,'Données projet'!$E$9+1,1))-AVERAGE(OFFSET($H$3,0,0,'Données projet'!$E$9+1,1))</f>
        <v>320.30433416149219</v>
      </c>
      <c r="T122" s="59">
        <f t="shared" si="88"/>
        <v>201.33422682092797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199.25053902505883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199.25053902505883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68.076543989295573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763.00000000000057</v>
      </c>
      <c r="AJ122" s="13">
        <f>AI122*VLOOKUP('Données projet'!$B$10,Paramètres!$A$1:$I$89,3,0)*VLOOKUP('Données projet'!$B$10,Paramètres!$A$1:$I$89,5,0)</f>
        <v>456.2740000000004</v>
      </c>
      <c r="AK122" s="13">
        <f t="shared" si="89"/>
        <v>103.09649786611838</v>
      </c>
      <c r="AL122" s="20">
        <f t="shared" si="58"/>
        <v>974.23695045015677</v>
      </c>
      <c r="AM122" s="59">
        <f t="shared" si="59"/>
        <v>1260.5176117442406</v>
      </c>
      <c r="AN122" s="59">
        <f ca="1">AVERAGE(OFFSET($AM$3,0,0,'Données projet'!$E$10+1,1))-AVERAGE(OFFSET($H$3,0,0,'Données projet'!$E$10+1,1))</f>
        <v>569.80473816957431</v>
      </c>
      <c r="AO122" s="59">
        <f t="shared" si="90"/>
        <v>495.56567790763199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49.158293938792198</v>
      </c>
      <c r="AV122" s="21">
        <f>EXP(-LN(2)/25)*AV121+(1-EXP(-LN(2)/25))/(LN(2)/25)*Calculateur!AQ122*Calculateur!AS122*VLOOKUP('Données projet'!$B$10,Paramètres!$A$1:$I$89,3,0)*0.475*44/12</f>
        <v>5.5469323815094498</v>
      </c>
      <c r="AW122" s="21">
        <f>EXP(-LN(2)/2)*AW121+(1-EXP(-LN(2)/2))/(LN(2)/2)*AQ122*AT122*VLOOKUP('Données projet'!$B$10,Paramètres!$A$1:$I$89,3,0)*0.475*44/12</f>
        <v>3.1571574670901945E-15</v>
      </c>
      <c r="AX122" s="21">
        <f t="shared" si="60"/>
        <v>54.705226320301648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68.076543989295573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-2.5006556825246661E-14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180.42749272334603</v>
      </c>
      <c r="BJ122" s="59">
        <f t="shared" si="92"/>
        <v>346.61476512497495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10.973035438080061</v>
      </c>
      <c r="BQ122" s="21">
        <f>EXP(-LN(2)/25)*BQ121+(1-EXP(-LN(2)/25))/(LN(2)/25)*Calculateur!BL122*Calculateur!BN122*VLOOKUP('Données projet'!$B$11,Paramètres!$A$1:$I$89,3,0)*0.475*44/12</f>
        <v>1.4044601674327932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12.377495605512854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68.076543989295573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>
        <f>VLOOKUP(A122,'Données projet'!$A$113:$I$133,2,0)</f>
        <v>526.04</v>
      </c>
      <c r="BW122" s="12">
        <f>VLOOKUP(A122,'Données projet'!$A$113:$I$133,9,0)</f>
        <v>9.4029999999999916</v>
      </c>
      <c r="BX122" s="12">
        <f t="array" ref="BX122">INDEX(BW:BW,MIN(IF(ISNUMBER(BW122:BW318),ROW(BW122:BW318),"")))</f>
        <v>9.4029999999999916</v>
      </c>
      <c r="BY122" s="12">
        <f>IF('Données projet'!$A$114&gt;35,BY121+BX122-CG121,IF(A122&lt;'Données projet'!$A$114,$BV$205^A122,IF(A122='Données projet'!$A$114,'Données projet'!$B$114,BY121+BX122-CG121)))</f>
        <v>526.04000000000042</v>
      </c>
      <c r="BZ122" s="13">
        <f>BY122*VLOOKUP('Données projet'!$B$12,Paramètres!$A$1:$I$89,3,0)*VLOOKUP('Données projet'!$B$12,Paramètres!$A$1:$I$89,5,0)</f>
        <v>475.96099200000037</v>
      </c>
      <c r="CA122" s="13">
        <f t="shared" si="93"/>
        <v>107.01733197112763</v>
      </c>
      <c r="CB122" s="20">
        <f t="shared" si="64"/>
        <v>1015.3539142497146</v>
      </c>
      <c r="CC122" s="59">
        <f t="shared" si="65"/>
        <v>1301.6345755437983</v>
      </c>
      <c r="CD122" s="59">
        <f ca="1">AVERAGE(OFFSET($CC$3,0,0,'Données projet'!$E$12+1,1))-AVERAGE(OFFSET($H$3,0,0,'Données projet'!$E$12+1,1))</f>
        <v>553.16421218123958</v>
      </c>
      <c r="CE122" s="59">
        <f t="shared" si="94"/>
        <v>291.73668613844416</v>
      </c>
      <c r="CF122" s="15">
        <f>IF(ISNA(VLOOKUP(A122,'Données projet'!$A$113:$I$133,3,0)),0,VLOOKUP(A122,'Données projet'!$A$113:$I$133,3,0))</f>
        <v>11</v>
      </c>
      <c r="CG122" s="15">
        <f>IF(ISNA(VLOOKUP(A122,'Données projet'!$A$113:$I$133,4,0)),0,VLOOKUP(A122,'Données projet'!$A$113:$I$133,4,0))</f>
        <v>196.46</v>
      </c>
      <c r="CH122" s="16">
        <f>IF(ISNA(VLOOKUP(A122,'Données projet'!$A$113:$I$133,5,0)),0%,VLOOKUP(A122,'Données projet'!$A$113:$I$133,5,0)*VLOOKUP('Données projet'!$B$12,Paramètres!$A$1:$I$89,7,0))</f>
        <v>0.43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193.35215784190802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193.35215784190802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68.076543989295573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>
        <f>VLOOKUP(A122,'Données projet'!$A$139:$I$159,2,0)</f>
        <v>526.04</v>
      </c>
      <c r="CR122" s="12">
        <f>VLOOKUP(A122,'Données projet'!$A$139:$I$159,9,0)</f>
        <v>9.4029999999999916</v>
      </c>
      <c r="CS122" s="12">
        <f t="array" ref="CS122">INDEX(CR:CR,MIN(IF(ISNUMBER(CR122:CR318),ROW(CR122:CR318),"")))</f>
        <v>9.4029999999999916</v>
      </c>
      <c r="CT122" s="12">
        <f>IF('Données projet'!$A$140&gt;35,CT121+CS122-DB121,IF(A122&lt;'Données projet'!$A$140,$CQ$205^A122,IF(A122='Données projet'!$A$140,'Données projet'!$B$140,CT121+CS122-DB121)))</f>
        <v>526.04000000000042</v>
      </c>
      <c r="CU122" s="17">
        <f>CT122*VLOOKUP('Données projet'!$B$13,Paramètres!$A$1:$I$89,3,0)*VLOOKUP('Données projet'!$B$13,Paramètres!$A$1:$I$89,5,0)</f>
        <v>533.4045600000004</v>
      </c>
      <c r="CV122" s="13">
        <f t="shared" si="95"/>
        <v>118.35303145382375</v>
      </c>
      <c r="CW122" s="20">
        <f t="shared" si="67"/>
        <v>1135.1444717820771</v>
      </c>
      <c r="CX122" s="59">
        <f t="shared" si="68"/>
        <v>1421.4251330761608</v>
      </c>
      <c r="CY122" s="59">
        <f ca="1">AVERAGE(OFFSET($CX$3,0,0,'Données projet'!$E$13+1,1))-AVERAGE(OFFSET($H$3,0,0,'Données projet'!$E$13+1,1))</f>
        <v>611.82989382187804</v>
      </c>
      <c r="CZ122" s="59">
        <f t="shared" si="96"/>
        <v>320.34124600136363</v>
      </c>
      <c r="DA122" s="15">
        <f>IF(ISNA(VLOOKUP(A122,'Données projet'!$A$139:$I$159,3,0)),0,VLOOKUP(A122,'Données projet'!$A$139:$I$159,3,0))</f>
        <v>11</v>
      </c>
      <c r="DB122" s="15">
        <f>IF(ISNA(VLOOKUP(A122,'Données projet'!$A$139:$I$159,4,0)),0,VLOOKUP(A122,'Données projet'!$A$139:$I$159,4,0))</f>
        <v>196.46</v>
      </c>
      <c r="DC122" s="16">
        <f>IF(ISNA(VLOOKUP(A122,'Données projet'!$A$139:$I$159,5,0)),0%,VLOOKUP(A122,'Données projet'!$A$139:$I$159,5,0)*VLOOKUP('Données projet'!$B$13,Paramètres!$A$1:$I$89,7,0))</f>
        <v>0.43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216.68776309869008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216.68776309869008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68.076543989295573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>
        <f>VLOOKUP(A122,'Données projet'!$A$165:$I$185,2,0)</f>
        <v>526.04</v>
      </c>
      <c r="DM122" s="12">
        <f>VLOOKUP(A122,'Données projet'!$A$165:$I$185,9,0)</f>
        <v>9.4029999999999916</v>
      </c>
      <c r="DN122" s="12">
        <f t="array" ref="DN122">INDEX(DM:DM,MIN(IF(ISNUMBER(DM122:DM318),ROW(DM122:DM318),"")))</f>
        <v>9.4029999999999916</v>
      </c>
      <c r="DO122" s="12">
        <f>IF('Données projet'!$A$166&gt;35,DO121+DN122-DW121,IF(A122&lt;'Données projet'!$A$166,$DL$205^A122,IF(A122='Données projet'!$A$166,'Données projet'!$B$166,DO121+DN122-DW121)))</f>
        <v>526.04000000000042</v>
      </c>
      <c r="DP122" s="17">
        <f>DO122*VLOOKUP('Données projet'!$B$14,Paramètres!$A$1:$I$89,3,0)*VLOOKUP('Données projet'!$B$14,Paramètres!$A$1:$I$89,5,0)</f>
        <v>566.22945600000048</v>
      </c>
      <c r="DQ122" s="13">
        <f t="shared" si="97"/>
        <v>124.76598537814958</v>
      </c>
      <c r="DR122" s="20">
        <f t="shared" si="70"/>
        <v>1203.4837270669448</v>
      </c>
      <c r="DS122" s="59">
        <f t="shared" si="71"/>
        <v>1489.7643883610285</v>
      </c>
      <c r="DT122" s="59">
        <f ca="1">AVERAGE(OFFSET($DS$3,0,0,'Données projet'!$E$14+1,1))-AVERAGE(OFFSET($H$3,0,0,'Données projet'!$E$14+1,1))</f>
        <v>645.29541304800614</v>
      </c>
      <c r="DU122" s="59">
        <f t="shared" si="98"/>
        <v>336.65580771733323</v>
      </c>
      <c r="DV122" s="15">
        <f>IF(ISNA(VLOOKUP(A122,'Données projet'!$A$165:$I$185,3,0)),0,VLOOKUP(A122,'Données projet'!$A$165:$I$185,3,0))</f>
        <v>11</v>
      </c>
      <c r="DW122" s="15">
        <f>IF(ISNA(VLOOKUP(A122,'Données projet'!$A$165:$I$185,4,0)),0,VLOOKUP(A122,'Données projet'!$A$165:$I$185,4,0))</f>
        <v>196.46</v>
      </c>
      <c r="DX122" s="16">
        <f>IF(ISNA(VLOOKUP(A122,'Données projet'!$A$165:$I$185,5,0)),0%,VLOOKUP(A122,'Données projet'!$A$165:$I$185,5,0)*VLOOKUP('Données projet'!$B$14,Paramètres!$A$1:$I$89,7,0))</f>
        <v>0.43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230.02239467399397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230.02239467399397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68.076543989295573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319</v>
      </c>
      <c r="EK122" s="17">
        <f>EJ122*VLOOKUP('Données projet'!$B$15,Paramètres!$A$1:$I$89,3,0)*VLOOKUP('Données projet'!$B$15,Paramètres!$A$1:$I$89,5,0)</f>
        <v>233.89079999999998</v>
      </c>
      <c r="EL122" s="13">
        <f t="shared" si="99"/>
        <v>57.123140349023068</v>
      </c>
      <c r="EM122" s="20">
        <f t="shared" si="73"/>
        <v>506.84927944121517</v>
      </c>
      <c r="EN122" s="59">
        <f t="shared" si="74"/>
        <v>793.12994073529899</v>
      </c>
      <c r="EO122" s="59">
        <f ca="1">AVERAGE(OFFSET($EN$3,0,0,'Données projet'!$E$15+1,1))-AVERAGE(OFFSET($H$3,0,0,'Données projet'!$E$15+1,1))</f>
        <v>343.31122043016137</v>
      </c>
      <c r="EP122" s="59">
        <f t="shared" si="100"/>
        <v>333.61098411258877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18.362808671269338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18.362808671269338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68.076543989295573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319</v>
      </c>
      <c r="FF122" s="17">
        <f>FE122*VLOOKUP('Données projet'!$B$16,Paramètres!$A$1:$I$89,3,0)*VLOOKUP('Données projet'!$B$16,Paramètres!$A$1:$I$89,5,0)</f>
        <v>253.79640000000001</v>
      </c>
      <c r="FG122" s="13">
        <f t="shared" si="101"/>
        <v>61.39816832228076</v>
      </c>
      <c r="FH122" s="20">
        <f t="shared" si="76"/>
        <v>548.96387316130563</v>
      </c>
      <c r="FI122" s="59">
        <f t="shared" si="77"/>
        <v>835.24453445538938</v>
      </c>
      <c r="FJ122" s="59">
        <f ca="1">AVERAGE(OFFSET($FI$3,0,0,'Données projet'!$E$16+1,1))-AVERAGE(OFFSET($H$3,0,0,'Données projet'!$E$16+1,1))</f>
        <v>368.12945163484585</v>
      </c>
      <c r="FK122" s="59">
        <f t="shared" si="102"/>
        <v>357.27183934545121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24.559461572707079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24.559461572707079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68.076543989295573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68.076543989295573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3.0869565217391299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11.318840579710143</v>
      </c>
      <c r="H123" s="66">
        <f t="shared" si="56"/>
        <v>211.39130434782609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68.109911650877876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5.2499999999990337</v>
      </c>
      <c r="O123" s="13">
        <f>N123*VLOOKUP('Données projet'!$B$9,Paramètres!$A$1:$I$89,3,0)*VLOOKUP('Données projet'!$B$9,Paramètres!$A$1:$I$89,5,0)</f>
        <v>2.4569999999995478</v>
      </c>
      <c r="P123" s="13">
        <f t="shared" si="87"/>
        <v>1.0197977774625564</v>
      </c>
      <c r="Q123" s="20">
        <f t="shared" si="107"/>
        <v>6.0554227957464972</v>
      </c>
      <c r="R123" s="59">
        <f t="shared" si="55"/>
        <v>292.45843218229874</v>
      </c>
      <c r="S123" s="59">
        <f ca="1">AVERAGE(OFFSET($R$3,0,0,'Données projet'!$E$9+1,1))-AVERAGE(OFFSET($H$3,0,0,'Données projet'!$E$9+1,1))</f>
        <v>320.30433416149219</v>
      </c>
      <c r="T123" s="59">
        <f t="shared" si="88"/>
        <v>201.33422682092797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195.34335748560605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195.34335748560605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68.109911650877876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763.00000000000057</v>
      </c>
      <c r="AJ123" s="13">
        <f>AI123*VLOOKUP('Données projet'!$B$10,Paramètres!$A$1:$I$89,3,0)*VLOOKUP('Données projet'!$B$10,Paramètres!$A$1:$I$89,5,0)</f>
        <v>456.2740000000004</v>
      </c>
      <c r="AK123" s="13">
        <f t="shared" si="89"/>
        <v>103.09649786611838</v>
      </c>
      <c r="AL123" s="20">
        <f t="shared" si="58"/>
        <v>974.23695045015677</v>
      </c>
      <c r="AM123" s="59">
        <f t="shared" si="59"/>
        <v>1260.6399598367091</v>
      </c>
      <c r="AN123" s="59">
        <f ca="1">AVERAGE(OFFSET($AM$3,0,0,'Données projet'!$E$10+1,1))-AVERAGE(OFFSET($H$3,0,0,'Données projet'!$E$10+1,1))</f>
        <v>569.80473816957431</v>
      </c>
      <c r="AO123" s="59">
        <f t="shared" si="90"/>
        <v>495.56567790763199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48.194329778251152</v>
      </c>
      <c r="AV123" s="21">
        <f>EXP(-LN(2)/25)*AV122+(1-EXP(-LN(2)/25))/(LN(2)/25)*Calculateur!AQ123*Calculateur!AS123*VLOOKUP('Données projet'!$B$10,Paramètres!$A$1:$I$89,3,0)*0.475*44/12</f>
        <v>5.3952512238365777</v>
      </c>
      <c r="AW123" s="21">
        <f>EXP(-LN(2)/2)*AW122+(1-EXP(-LN(2)/2))/(LN(2)/2)*AQ123*AT123*VLOOKUP('Données projet'!$B$10,Paramètres!$A$1:$I$89,3,0)*0.475*44/12</f>
        <v>2.2324474542532208E-15</v>
      </c>
      <c r="AX123" s="21">
        <f t="shared" si="60"/>
        <v>53.589581002087726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68.109911650877876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-2.5006556825246661E-14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180.42749272334603</v>
      </c>
      <c r="BJ123" s="59">
        <f t="shared" si="92"/>
        <v>346.61476512497495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10.757860906030059</v>
      </c>
      <c r="BQ123" s="21">
        <f>EXP(-LN(2)/25)*BQ122+(1-EXP(-LN(2)/25))/(LN(2)/25)*Calculateur!BL123*Calculateur!BN123*VLOOKUP('Données projet'!$B$11,Paramètres!$A$1:$I$89,3,0)*0.475*44/12</f>
        <v>1.3660551302969932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12.123916036327053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68.109911650877876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-0.37249999999998806</v>
      </c>
      <c r="BY123" s="12">
        <f>IF('Données projet'!$A$114&gt;35,BY122+BX123-CG122,IF(A123&lt;'Données projet'!$A$114,$BV$205^A123,IF(A123='Données projet'!$A$114,'Données projet'!$B$114,BY122+BX123-CG122)))</f>
        <v>329.20750000000044</v>
      </c>
      <c r="BZ123" s="13">
        <f>BY123*VLOOKUP('Données projet'!$B$12,Paramètres!$A$1:$I$89,3,0)*VLOOKUP('Données projet'!$B$12,Paramètres!$A$1:$I$89,5,0)</f>
        <v>297.86694600000038</v>
      </c>
      <c r="CA123" s="13">
        <f t="shared" si="93"/>
        <v>70.729107889768898</v>
      </c>
      <c r="CB123" s="20">
        <f t="shared" si="64"/>
        <v>641.97146052468145</v>
      </c>
      <c r="CC123" s="59">
        <f t="shared" si="65"/>
        <v>928.37446991123375</v>
      </c>
      <c r="CD123" s="59">
        <f ca="1">AVERAGE(OFFSET($CC$3,0,0,'Données projet'!$E$12+1,1))-AVERAGE(OFFSET($H$3,0,0,'Données projet'!$E$12+1,1))</f>
        <v>553.16421218123958</v>
      </c>
      <c r="CE123" s="59">
        <f t="shared" si="94"/>
        <v>291.73668613844416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189.56063995979954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189.56063995979954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68.109911650877876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-0.37249999999998806</v>
      </c>
      <c r="CT123" s="12">
        <f>IF('Données projet'!$A$140&gt;35,CT122+CS123-DB122,IF(A123&lt;'Données projet'!$A$140,$CQ$205^A123,IF(A123='Données projet'!$A$140,'Données projet'!$B$140,CT122+CS123-DB122)))</f>
        <v>329.20750000000044</v>
      </c>
      <c r="CU123" s="17">
        <f>CT123*VLOOKUP('Données projet'!$B$13,Paramètres!$A$1:$I$89,3,0)*VLOOKUP('Données projet'!$B$13,Paramètres!$A$1:$I$89,5,0)</f>
        <v>333.81640500000049</v>
      </c>
      <c r="CV123" s="13">
        <f t="shared" si="95"/>
        <v>78.221015013130113</v>
      </c>
      <c r="CW123" s="20">
        <f t="shared" si="67"/>
        <v>717.63183985620242</v>
      </c>
      <c r="CX123" s="59">
        <f t="shared" si="68"/>
        <v>1004.0348492427547</v>
      </c>
      <c r="CY123" s="59">
        <f ca="1">AVERAGE(OFFSET($CX$3,0,0,'Données projet'!$E$13+1,1))-AVERAGE(OFFSET($H$3,0,0,'Données projet'!$E$13+1,1))</f>
        <v>611.82989382187804</v>
      </c>
      <c r="CZ123" s="59">
        <f t="shared" si="96"/>
        <v>320.34124600136363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212.43864823080992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212.43864823080992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68.109911650877876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-0.37249999999998806</v>
      </c>
      <c r="DO123" s="12">
        <f>IF('Données projet'!$A$166&gt;35,DO122+DN123-DW122,IF(A123&lt;'Données projet'!$A$166,$DL$205^A123,IF(A123='Données projet'!$A$166,'Données projet'!$B$166,DO122+DN123-DW122)))</f>
        <v>329.20750000000044</v>
      </c>
      <c r="DP123" s="17">
        <f>DO123*VLOOKUP('Données projet'!$B$14,Paramètres!$A$1:$I$89,3,0)*VLOOKUP('Données projet'!$B$14,Paramètres!$A$1:$I$89,5,0)</f>
        <v>354.35895300000044</v>
      </c>
      <c r="DQ123" s="13">
        <f t="shared" si="97"/>
        <v>82.459417350876038</v>
      </c>
      <c r="DR123" s="20">
        <f t="shared" si="70"/>
        <v>760.79199502777647</v>
      </c>
      <c r="DS123" s="59">
        <f t="shared" si="71"/>
        <v>1047.1950044143287</v>
      </c>
      <c r="DT123" s="59">
        <f ca="1">AVERAGE(OFFSET($DS$3,0,0,'Données projet'!$E$14+1,1))-AVERAGE(OFFSET($H$3,0,0,'Données projet'!$E$14+1,1))</f>
        <v>645.29541304800614</v>
      </c>
      <c r="DU123" s="59">
        <f t="shared" si="98"/>
        <v>336.65580771733323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225.51179581424424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225.51179581424424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68.109911650877876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319</v>
      </c>
      <c r="EK123" s="17">
        <f>EJ123*VLOOKUP('Données projet'!$B$15,Paramètres!$A$1:$I$89,3,0)*VLOOKUP('Données projet'!$B$15,Paramètres!$A$1:$I$89,5,0)</f>
        <v>233.89079999999998</v>
      </c>
      <c r="EL123" s="13">
        <f t="shared" si="99"/>
        <v>57.123140349023068</v>
      </c>
      <c r="EM123" s="20">
        <f t="shared" si="73"/>
        <v>506.84927944121517</v>
      </c>
      <c r="EN123" s="59">
        <f t="shared" si="74"/>
        <v>793.25228882776742</v>
      </c>
      <c r="EO123" s="59">
        <f ca="1">AVERAGE(OFFSET($EN$3,0,0,'Données projet'!$E$15+1,1))-AVERAGE(OFFSET($H$3,0,0,'Données projet'!$E$15+1,1))</f>
        <v>343.31122043016137</v>
      </c>
      <c r="EP123" s="59">
        <f t="shared" si="100"/>
        <v>333.61098411258877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18.002725193433108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18.002725193433108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68.109911650877876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319</v>
      </c>
      <c r="FF123" s="17">
        <f>FE123*VLOOKUP('Données projet'!$B$16,Paramètres!$A$1:$I$89,3,0)*VLOOKUP('Données projet'!$B$16,Paramètres!$A$1:$I$89,5,0)</f>
        <v>253.79640000000001</v>
      </c>
      <c r="FG123" s="13">
        <f t="shared" si="101"/>
        <v>61.39816832228076</v>
      </c>
      <c r="FH123" s="20">
        <f t="shared" si="76"/>
        <v>548.96387316130563</v>
      </c>
      <c r="FI123" s="59">
        <f t="shared" si="77"/>
        <v>835.36688254785781</v>
      </c>
      <c r="FJ123" s="59">
        <f ca="1">AVERAGE(OFFSET($FI$3,0,0,'Données projet'!$E$16+1,1))-AVERAGE(OFFSET($H$3,0,0,'Données projet'!$E$16+1,1))</f>
        <v>368.12945163484585</v>
      </c>
      <c r="FK123" s="59">
        <f t="shared" si="102"/>
        <v>357.27183934545121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24.077865511058722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24.077865511058722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68.109911650877876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68.109911650877876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3.0869565217391299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11.318840579710143</v>
      </c>
      <c r="H124" s="66">
        <f t="shared" si="56"/>
        <v>211.39130434782609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68.142700458130633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5.2499999999990337</v>
      </c>
      <c r="O124" s="13">
        <f>N124*VLOOKUP('Données projet'!$B$9,Paramètres!$A$1:$I$89,3,0)*VLOOKUP('Données projet'!$B$9,Paramètres!$A$1:$I$89,5,0)</f>
        <v>2.4569999999995478</v>
      </c>
      <c r="P124" s="13">
        <f t="shared" si="87"/>
        <v>1.0197977774625564</v>
      </c>
      <c r="Q124" s="20">
        <f t="shared" si="107"/>
        <v>6.0554227957464972</v>
      </c>
      <c r="R124" s="59">
        <f t="shared" si="55"/>
        <v>292.57865780889216</v>
      </c>
      <c r="S124" s="59">
        <f ca="1">AVERAGE(OFFSET($R$3,0,0,'Données projet'!$E$9+1,1))-AVERAGE(OFFSET($H$3,0,0,'Données projet'!$E$9+1,1))</f>
        <v>320.30433416149219</v>
      </c>
      <c r="T124" s="59">
        <f t="shared" si="88"/>
        <v>201.33422682092797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191.51279339299651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191.51279339299651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68.142700458130633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763.00000000000057</v>
      </c>
      <c r="AJ124" s="13">
        <f>AI124*VLOOKUP('Données projet'!$B$10,Paramètres!$A$1:$I$89,3,0)*VLOOKUP('Données projet'!$B$10,Paramètres!$A$1:$I$89,5,0)</f>
        <v>456.2740000000004</v>
      </c>
      <c r="AK124" s="13">
        <f t="shared" si="89"/>
        <v>103.09649786611838</v>
      </c>
      <c r="AL124" s="20">
        <f t="shared" si="58"/>
        <v>974.23695045015677</v>
      </c>
      <c r="AM124" s="59">
        <f t="shared" si="59"/>
        <v>1260.7601854633024</v>
      </c>
      <c r="AN124" s="59">
        <f ca="1">AVERAGE(OFFSET($AM$3,0,0,'Données projet'!$E$10+1,1))-AVERAGE(OFFSET($H$3,0,0,'Données projet'!$E$10+1,1))</f>
        <v>569.80473816957431</v>
      </c>
      <c r="AO124" s="59">
        <f t="shared" si="90"/>
        <v>495.56567790763199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47.249268366938232</v>
      </c>
      <c r="AV124" s="21">
        <f>EXP(-LN(2)/25)*AV123+(1-EXP(-LN(2)/25))/(LN(2)/25)*Calculateur!AQ124*Calculateur!AS124*VLOOKUP('Données projet'!$B$10,Paramètres!$A$1:$I$89,3,0)*0.475*44/12</f>
        <v>5.2477177953968352</v>
      </c>
      <c r="AW124" s="21">
        <f>EXP(-LN(2)/2)*AW123+(1-EXP(-LN(2)/2))/(LN(2)/2)*AQ124*AT124*VLOOKUP('Données projet'!$B$10,Paramètres!$A$1:$I$89,3,0)*0.475*44/12</f>
        <v>1.5785787335450973E-15</v>
      </c>
      <c r="AX124" s="21">
        <f t="shared" si="60"/>
        <v>52.49698616233507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68.142700458130633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-2.5006556825246661E-14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180.42749272334603</v>
      </c>
      <c r="BJ124" s="59">
        <f t="shared" si="92"/>
        <v>346.61476512497495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10.546905815310053</v>
      </c>
      <c r="BQ124" s="21">
        <f>EXP(-LN(2)/25)*BQ123+(1-EXP(-LN(2)/25))/(LN(2)/25)*Calculateur!BL124*Calculateur!BN124*VLOOKUP('Données projet'!$B$11,Paramètres!$A$1:$I$89,3,0)*0.475*44/12</f>
        <v>1.3287002809213049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11.875606096231358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68.142700458130633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-0.37249999999998806</v>
      </c>
      <c r="BY124" s="12">
        <f>IF('Données projet'!$A$114&gt;35,BY123+BX124-CG123,IF(A124&lt;'Données projet'!$A$114,$BV$205^A124,IF(A124='Données projet'!$A$114,'Données projet'!$B$114,BY123+BX124-CG123)))</f>
        <v>328.83500000000043</v>
      </c>
      <c r="BZ124" s="13">
        <f>BY124*VLOOKUP('Données projet'!$B$12,Paramètres!$A$1:$I$89,3,0)*VLOOKUP('Données projet'!$B$12,Paramètres!$A$1:$I$89,5,0)</f>
        <v>297.52990800000038</v>
      </c>
      <c r="CA124" s="13">
        <f t="shared" si="93"/>
        <v>70.658388410389392</v>
      </c>
      <c r="CB124" s="20">
        <f t="shared" si="64"/>
        <v>641.26128291476209</v>
      </c>
      <c r="CC124" s="59">
        <f t="shared" si="65"/>
        <v>927.7845179279077</v>
      </c>
      <c r="CD124" s="59">
        <f ca="1">AVERAGE(OFFSET($CC$3,0,0,'Données projet'!$E$12+1,1))-AVERAGE(OFFSET($H$3,0,0,'Données projet'!$E$12+1,1))</f>
        <v>553.16421218123958</v>
      </c>
      <c r="CE124" s="59">
        <f t="shared" si="94"/>
        <v>291.73668613844416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185.84347143076167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185.84347143076167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68.142700458130633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-0.37249999999998806</v>
      </c>
      <c r="CT124" s="12">
        <f>IF('Données projet'!$A$140&gt;35,CT123+CS124-DB123,IF(A124&lt;'Données projet'!$A$140,$CQ$205^A124,IF(A124='Données projet'!$A$140,'Données projet'!$B$140,CT123+CS124-DB123)))</f>
        <v>328.83500000000043</v>
      </c>
      <c r="CU124" s="17">
        <f>CT124*VLOOKUP('Données projet'!$B$13,Paramètres!$A$1:$I$89,3,0)*VLOOKUP('Données projet'!$B$13,Paramètres!$A$1:$I$89,5,0)</f>
        <v>333.43869000000046</v>
      </c>
      <c r="CV124" s="13">
        <f t="shared" si="95"/>
        <v>78.142804646517234</v>
      </c>
      <c r="CW124" s="20">
        <f t="shared" si="67"/>
        <v>716.83776984268491</v>
      </c>
      <c r="CX124" s="59">
        <f t="shared" si="68"/>
        <v>1003.3610048558305</v>
      </c>
      <c r="CY124" s="59">
        <f ca="1">AVERAGE(OFFSET($CX$3,0,0,'Données projet'!$E$13+1,1))-AVERAGE(OFFSET($H$3,0,0,'Données projet'!$E$13+1,1))</f>
        <v>611.82989382187804</v>
      </c>
      <c r="CZ124" s="59">
        <f t="shared" si="96"/>
        <v>320.34124600136363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208.2728559137847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208.2728559137847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68.142700458130633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-0.37249999999998806</v>
      </c>
      <c r="DO124" s="12">
        <f>IF('Données projet'!$A$166&gt;35,DO123+DN124-DW123,IF(A124&lt;'Données projet'!$A$166,$DL$205^A124,IF(A124='Données projet'!$A$166,'Données projet'!$B$166,DO123+DN124-DW123)))</f>
        <v>328.83500000000043</v>
      </c>
      <c r="DP124" s="17">
        <f>DO124*VLOOKUP('Données projet'!$B$14,Paramètres!$A$1:$I$89,3,0)*VLOOKUP('Données projet'!$B$14,Paramètres!$A$1:$I$89,5,0)</f>
        <v>353.95799400000044</v>
      </c>
      <c r="DQ124" s="13">
        <f t="shared" si="97"/>
        <v>82.376969158908537</v>
      </c>
      <c r="DR124" s="20">
        <f t="shared" si="70"/>
        <v>759.95006083509963</v>
      </c>
      <c r="DS124" s="59">
        <f t="shared" si="71"/>
        <v>1046.4732958482452</v>
      </c>
      <c r="DT124" s="59">
        <f ca="1">AVERAGE(OFFSET($DS$3,0,0,'Données projet'!$E$14+1,1))-AVERAGE(OFFSET($H$3,0,0,'Données projet'!$E$14+1,1))</f>
        <v>645.29541304800614</v>
      </c>
      <c r="DU124" s="59">
        <f t="shared" si="98"/>
        <v>336.65580771733323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221.08964704694057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221.08964704694057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68.142700458130633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319</v>
      </c>
      <c r="EK124" s="17">
        <f>EJ124*VLOOKUP('Données projet'!$B$15,Paramètres!$A$1:$I$89,3,0)*VLOOKUP('Données projet'!$B$15,Paramètres!$A$1:$I$89,5,0)</f>
        <v>233.89079999999998</v>
      </c>
      <c r="EL124" s="13">
        <f t="shared" si="99"/>
        <v>57.123140349023068</v>
      </c>
      <c r="EM124" s="20">
        <f t="shared" si="73"/>
        <v>506.84927944121517</v>
      </c>
      <c r="EN124" s="59">
        <f t="shared" si="74"/>
        <v>793.37251445436084</v>
      </c>
      <c r="EO124" s="59">
        <f ca="1">AVERAGE(OFFSET($EN$3,0,0,'Données projet'!$E$15+1,1))-AVERAGE(OFFSET($H$3,0,0,'Données projet'!$E$15+1,1))</f>
        <v>343.31122043016137</v>
      </c>
      <c r="EP124" s="59">
        <f t="shared" si="100"/>
        <v>333.61098411258877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17.649702732968009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17.649702732968009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68.142700458130633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319</v>
      </c>
      <c r="FF124" s="17">
        <f>FE124*VLOOKUP('Données projet'!$B$16,Paramètres!$A$1:$I$89,3,0)*VLOOKUP('Données projet'!$B$16,Paramètres!$A$1:$I$89,5,0)</f>
        <v>253.79640000000001</v>
      </c>
      <c r="FG124" s="13">
        <f t="shared" si="101"/>
        <v>61.39816832228076</v>
      </c>
      <c r="FH124" s="20">
        <f t="shared" si="76"/>
        <v>548.96387316130563</v>
      </c>
      <c r="FI124" s="59">
        <f t="shared" si="77"/>
        <v>835.48710817445135</v>
      </c>
      <c r="FJ124" s="59">
        <f ca="1">AVERAGE(OFFSET($FI$3,0,0,'Données projet'!$E$16+1,1))-AVERAGE(OFFSET($H$3,0,0,'Données projet'!$E$16+1,1))</f>
        <v>368.12945163484585</v>
      </c>
      <c r="FK124" s="59">
        <f t="shared" si="102"/>
        <v>357.27183934545121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23.605713254434693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23.605713254434693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68.142700458130633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68.142700458130633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3.0869565217391299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11.318840579710143</v>
      </c>
      <c r="H125" s="66">
        <f t="shared" si="56"/>
        <v>211.39130434782609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68.174920452882361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5.2499999999990337</v>
      </c>
      <c r="O125" s="13">
        <f>N125*VLOOKUP('Données projet'!$B$9,Paramètres!$A$1:$I$89,3,0)*VLOOKUP('Données projet'!$B$9,Paramètres!$A$1:$I$89,5,0)</f>
        <v>2.4569999999995478</v>
      </c>
      <c r="P125" s="13">
        <f t="shared" si="87"/>
        <v>1.0197977774625564</v>
      </c>
      <c r="Q125" s="20">
        <f t="shared" si="107"/>
        <v>6.0554227957464972</v>
      </c>
      <c r="R125" s="59">
        <f t="shared" si="55"/>
        <v>292.69679778964849</v>
      </c>
      <c r="S125" s="59">
        <f ca="1">AVERAGE(OFFSET($R$3,0,0,'Données projet'!$E$9+1,1))-AVERAGE(OFFSET($H$3,0,0,'Données projet'!$E$9+1,1))</f>
        <v>320.30433416149219</v>
      </c>
      <c r="T125" s="59">
        <f t="shared" si="88"/>
        <v>201.33422682092797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187.75734432582968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187.75734432582968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68.174920452882361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763.00000000000057</v>
      </c>
      <c r="AJ125" s="13">
        <f>AI125*VLOOKUP('Données projet'!$B$10,Paramètres!$A$1:$I$89,3,0)*VLOOKUP('Données projet'!$B$10,Paramètres!$A$1:$I$89,5,0)</f>
        <v>456.2740000000004</v>
      </c>
      <c r="AK125" s="13">
        <f t="shared" si="89"/>
        <v>103.09649786611838</v>
      </c>
      <c r="AL125" s="20">
        <f t="shared" si="58"/>
        <v>974.23695045015677</v>
      </c>
      <c r="AM125" s="59">
        <f t="shared" si="59"/>
        <v>1260.8783254440586</v>
      </c>
      <c r="AN125" s="59">
        <f ca="1">AVERAGE(OFFSET($AM$3,0,0,'Données projet'!$E$10+1,1))-AVERAGE(OFFSET($H$3,0,0,'Données projet'!$E$10+1,1))</f>
        <v>569.80473816957431</v>
      </c>
      <c r="AO125" s="59">
        <f t="shared" si="90"/>
        <v>495.56567790763199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46.322739033470619</v>
      </c>
      <c r="AV125" s="21">
        <f>EXP(-LN(2)/25)*AV124+(1-EXP(-LN(2)/25))/(LN(2)/25)*Calculateur!AQ125*Calculateur!AS125*VLOOKUP('Données projet'!$B$10,Paramètres!$A$1:$I$89,3,0)*0.475*44/12</f>
        <v>5.1042186763162238</v>
      </c>
      <c r="AW125" s="21">
        <f>EXP(-LN(2)/2)*AW124+(1-EXP(-LN(2)/2))/(LN(2)/2)*AQ125*AT125*VLOOKUP('Données projet'!$B$10,Paramètres!$A$1:$I$89,3,0)*0.475*44/12</f>
        <v>1.1162237271266104E-15</v>
      </c>
      <c r="AX125" s="21">
        <f t="shared" si="60"/>
        <v>51.426957709786841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68.174920452882361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-2.5006556825246661E-14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180.42749272334603</v>
      </c>
      <c r="BJ125" s="59">
        <f t="shared" si="92"/>
        <v>346.61476512497495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10.340087425249166</v>
      </c>
      <c r="BQ125" s="21">
        <f>EXP(-LN(2)/25)*BQ124+(1-EXP(-LN(2)/25))/(LN(2)/25)*Calculateur!BL125*Calculateur!BN125*VLOOKUP('Données projet'!$B$11,Paramètres!$A$1:$I$89,3,0)*0.475*44/12</f>
        <v>1.2923669018662007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11.632454327115367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68.174920452882361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-0.37249999999998806</v>
      </c>
      <c r="BY125" s="12">
        <f>IF('Données projet'!$A$114&gt;35,BY124+BX125-CG124,IF(A125&lt;'Données projet'!$A$114,$BV$205^A125,IF(A125='Données projet'!$A$114,'Données projet'!$B$114,BY124+BX125-CG124)))</f>
        <v>328.46250000000043</v>
      </c>
      <c r="BZ125" s="13">
        <f>BY125*VLOOKUP('Données projet'!$B$12,Paramètres!$A$1:$I$89,3,0)*VLOOKUP('Données projet'!$B$12,Paramètres!$A$1:$I$89,5,0)</f>
        <v>297.19287000000037</v>
      </c>
      <c r="CA125" s="13">
        <f t="shared" si="93"/>
        <v>70.587659605576917</v>
      </c>
      <c r="CB125" s="20">
        <f t="shared" si="64"/>
        <v>640.55108906304713</v>
      </c>
      <c r="CC125" s="59">
        <f t="shared" si="65"/>
        <v>927.19246405694912</v>
      </c>
      <c r="CD125" s="59">
        <f ca="1">AVERAGE(OFFSET($CC$3,0,0,'Données projet'!$E$12+1,1))-AVERAGE(OFFSET($H$3,0,0,'Données projet'!$E$12+1,1))</f>
        <v>553.16421218123958</v>
      </c>
      <c r="CE125" s="59">
        <f t="shared" si="94"/>
        <v>291.73668613844416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182.1991943093293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182.1991943093293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68.174920452882361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-0.37249999999998806</v>
      </c>
      <c r="CT125" s="12">
        <f>IF('Données projet'!$A$140&gt;35,CT124+CS125-DB124,IF(A125&lt;'Données projet'!$A$140,$CQ$205^A125,IF(A125='Données projet'!$A$140,'Données projet'!$B$140,CT124+CS125-DB124)))</f>
        <v>328.46250000000043</v>
      </c>
      <c r="CU125" s="17">
        <f>CT125*VLOOKUP('Données projet'!$B$13,Paramètres!$A$1:$I$89,3,0)*VLOOKUP('Données projet'!$B$13,Paramètres!$A$1:$I$89,5,0)</f>
        <v>333.0609750000005</v>
      </c>
      <c r="CV125" s="13">
        <f t="shared" si="95"/>
        <v>78.064583966684552</v>
      </c>
      <c r="CW125" s="20">
        <f t="shared" si="67"/>
        <v>716.04368186697639</v>
      </c>
      <c r="CX125" s="59">
        <f t="shared" si="68"/>
        <v>1002.6850568608784</v>
      </c>
      <c r="CY125" s="59">
        <f ca="1">AVERAGE(OFFSET($CX$3,0,0,'Données projet'!$E$13+1,1))-AVERAGE(OFFSET($H$3,0,0,'Données projet'!$E$13+1,1))</f>
        <v>611.82989382187804</v>
      </c>
      <c r="CZ125" s="59">
        <f t="shared" si="96"/>
        <v>320.34124600136363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204.18875224321394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204.18875224321394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68.174920452882361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-0.37249999999998806</v>
      </c>
      <c r="DO125" s="12">
        <f>IF('Données projet'!$A$166&gt;35,DO124+DN125-DW124,IF(A125&lt;'Données projet'!$A$166,$DL$205^A125,IF(A125='Données projet'!$A$166,'Données projet'!$B$166,DO124+DN125-DW124)))</f>
        <v>328.46250000000043</v>
      </c>
      <c r="DP125" s="17">
        <f>DO125*VLOOKUP('Données projet'!$B$14,Paramètres!$A$1:$I$89,3,0)*VLOOKUP('Données projet'!$B$14,Paramètres!$A$1:$I$89,5,0)</f>
        <v>353.55703500000044</v>
      </c>
      <c r="DQ125" s="13">
        <f t="shared" si="97"/>
        <v>82.294510094899834</v>
      </c>
      <c r="DR125" s="20">
        <f t="shared" si="70"/>
        <v>759.10810770695127</v>
      </c>
      <c r="DS125" s="59">
        <f t="shared" si="71"/>
        <v>1045.7494827008532</v>
      </c>
      <c r="DT125" s="59">
        <f ca="1">AVERAGE(OFFSET($DS$3,0,0,'Données projet'!$E$14+1,1))-AVERAGE(OFFSET($H$3,0,0,'Données projet'!$E$14+1,1))</f>
        <v>645.29541304800614</v>
      </c>
      <c r="DU125" s="59">
        <f t="shared" si="98"/>
        <v>336.65580771733323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216.75421391971929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216.75421391971929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68.174920452882361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319</v>
      </c>
      <c r="EK125" s="17">
        <f>EJ125*VLOOKUP('Données projet'!$B$15,Paramètres!$A$1:$I$89,3,0)*VLOOKUP('Données projet'!$B$15,Paramètres!$A$1:$I$89,5,0)</f>
        <v>233.89079999999998</v>
      </c>
      <c r="EL125" s="13">
        <f t="shared" si="99"/>
        <v>57.123140349023068</v>
      </c>
      <c r="EM125" s="20">
        <f t="shared" si="73"/>
        <v>506.84927944121517</v>
      </c>
      <c r="EN125" s="59">
        <f t="shared" si="74"/>
        <v>793.49065443511722</v>
      </c>
      <c r="EO125" s="59">
        <f ca="1">AVERAGE(OFFSET($EN$3,0,0,'Données projet'!$E$15+1,1))-AVERAGE(OFFSET($H$3,0,0,'Données projet'!$E$15+1,1))</f>
        <v>343.31122043016137</v>
      </c>
      <c r="EP125" s="59">
        <f t="shared" si="100"/>
        <v>333.61098411258877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17.303602827630193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17.303602827630193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68.174920452882361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319</v>
      </c>
      <c r="FF125" s="17">
        <f>FE125*VLOOKUP('Données projet'!$B$16,Paramètres!$A$1:$I$89,3,0)*VLOOKUP('Données projet'!$B$16,Paramètres!$A$1:$I$89,5,0)</f>
        <v>253.79640000000001</v>
      </c>
      <c r="FG125" s="13">
        <f t="shared" si="101"/>
        <v>61.39816832228076</v>
      </c>
      <c r="FH125" s="20">
        <f t="shared" si="76"/>
        <v>548.96387316130563</v>
      </c>
      <c r="FI125" s="59">
        <f t="shared" si="77"/>
        <v>835.60524815520762</v>
      </c>
      <c r="FJ125" s="59">
        <f ca="1">AVERAGE(OFFSET($FI$3,0,0,'Données projet'!$E$16+1,1))-AVERAGE(OFFSET($H$3,0,0,'Données projet'!$E$16+1,1))</f>
        <v>368.12945163484585</v>
      </c>
      <c r="FK125" s="59">
        <f t="shared" si="102"/>
        <v>357.27183934545121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23.142819615578624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23.142819615578624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68.174920452882361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68.174920452882361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3.0869565217391299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11.318840579710143</v>
      </c>
      <c r="H126" s="66">
        <f t="shared" si="56"/>
        <v>211.39130434782609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68.20658150275824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5.2499999999990337</v>
      </c>
      <c r="O126" s="13">
        <f>N126*VLOOKUP('Données projet'!$B$9,Paramètres!$A$1:$I$89,3,0)*VLOOKUP('Données projet'!$B$9,Paramètres!$A$1:$I$89,5,0)</f>
        <v>2.4569999999995478</v>
      </c>
      <c r="P126" s="13">
        <f t="shared" si="87"/>
        <v>1.0197977774625564</v>
      </c>
      <c r="Q126" s="20">
        <f t="shared" si="107"/>
        <v>6.0554227957464972</v>
      </c>
      <c r="R126" s="59">
        <f t="shared" si="55"/>
        <v>292.81288830586004</v>
      </c>
      <c r="S126" s="59">
        <f ca="1">AVERAGE(OFFSET($R$3,0,0,'Données projet'!$E$9+1,1))-AVERAGE(OFFSET($H$3,0,0,'Données projet'!$E$9+1,1))</f>
        <v>320.30433416149219</v>
      </c>
      <c r="T126" s="59">
        <f t="shared" si="88"/>
        <v>201.33422682092797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184.07553732427223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184.07553732427223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68.20658150275824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763.00000000000057</v>
      </c>
      <c r="AJ126" s="13">
        <f>AI126*VLOOKUP('Données projet'!$B$10,Paramètres!$A$1:$I$89,3,0)*VLOOKUP('Données projet'!$B$10,Paramètres!$A$1:$I$89,5,0)</f>
        <v>456.2740000000004</v>
      </c>
      <c r="AK126" s="13">
        <f t="shared" si="89"/>
        <v>103.09649786611838</v>
      </c>
      <c r="AL126" s="20">
        <f t="shared" si="58"/>
        <v>974.23695045015677</v>
      </c>
      <c r="AM126" s="59">
        <f t="shared" si="59"/>
        <v>1260.9944159602703</v>
      </c>
      <c r="AN126" s="59">
        <f ca="1">AVERAGE(OFFSET($AM$3,0,0,'Données projet'!$E$10+1,1))-AVERAGE(OFFSET($H$3,0,0,'Données projet'!$E$10+1,1))</f>
        <v>569.80473816957431</v>
      </c>
      <c r="AO126" s="59">
        <f t="shared" si="90"/>
        <v>495.56567790763199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45.414378375105208</v>
      </c>
      <c r="AV126" s="21">
        <f>EXP(-LN(2)/25)*AV125+(1-EXP(-LN(2)/25))/(LN(2)/25)*Calculateur!AQ126*Calculateur!AS126*VLOOKUP('Données projet'!$B$10,Paramètres!$A$1:$I$89,3,0)*0.475*44/12</f>
        <v>4.9646435481931626</v>
      </c>
      <c r="AW126" s="21">
        <f>EXP(-LN(2)/2)*AW125+(1-EXP(-LN(2)/2))/(LN(2)/2)*AQ126*AT126*VLOOKUP('Données projet'!$B$10,Paramètres!$A$1:$I$89,3,0)*0.475*44/12</f>
        <v>7.8928936677254863E-16</v>
      </c>
      <c r="AX126" s="21">
        <f t="shared" si="60"/>
        <v>50.379021923298367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68.20658150275824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-2.5006556825246661E-14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180.42749272334603</v>
      </c>
      <c r="BJ126" s="59">
        <f t="shared" si="92"/>
        <v>346.61476512497495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10.137324617670611</v>
      </c>
      <c r="BQ126" s="21">
        <f>EXP(-LN(2)/25)*BQ125+(1-EXP(-LN(2)/25))/(LN(2)/25)*Calculateur!BL126*Calculateur!BN126*VLOOKUP('Données projet'!$B$11,Paramètres!$A$1:$I$89,3,0)*0.475*44/12</f>
        <v>1.2570270609720477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11.394351678642659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68.20658150275824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328.09</v>
      </c>
      <c r="BW126" s="12">
        <f>VLOOKUP(A126,'Données projet'!$A$113:$I$133,9,0)</f>
        <v>-0.37249999999998806</v>
      </c>
      <c r="BX126" s="12">
        <f t="array" ref="BX126">INDEX(BW:BW,MIN(IF(ISNUMBER(BW126:BW322),ROW(BW126:BW322),"")))</f>
        <v>-0.37249999999998806</v>
      </c>
      <c r="BY126" s="12">
        <f>IF('Données projet'!$A$114&gt;35,BY125+BX126-CG125,IF(A126&lt;'Données projet'!$A$114,$BV$205^A126,IF(A126='Données projet'!$A$114,'Données projet'!$B$114,BY125+BX126-CG125)))</f>
        <v>328.09000000000043</v>
      </c>
      <c r="BZ126" s="13">
        <f>BY126*VLOOKUP('Données projet'!$B$12,Paramètres!$A$1:$I$89,3,0)*VLOOKUP('Données projet'!$B$12,Paramètres!$A$1:$I$89,5,0)</f>
        <v>296.85583200000036</v>
      </c>
      <c r="CA126" s="13">
        <f t="shared" si="93"/>
        <v>70.516921463523971</v>
      </c>
      <c r="CB126" s="20">
        <f t="shared" si="64"/>
        <v>639.84087894897141</v>
      </c>
      <c r="CC126" s="59">
        <f t="shared" si="65"/>
        <v>926.59834445908496</v>
      </c>
      <c r="CD126" s="59">
        <f ca="1">AVERAGE(OFFSET($CC$3,0,0,'Données projet'!$E$12+1,1))-AVERAGE(OFFSET($H$3,0,0,'Données projet'!$E$12+1,1))</f>
        <v>553.16421218123958</v>
      </c>
      <c r="CE126" s="59">
        <f t="shared" si="94"/>
        <v>291.73668613844416</v>
      </c>
      <c r="CF126" s="15">
        <f>IF(ISNA(VLOOKUP(A126,'Données projet'!$A$113:$I$133,3,0)),0,VLOOKUP(A126,'Données projet'!$A$113:$I$133,3,0))</f>
        <v>12</v>
      </c>
      <c r="CG126" s="15">
        <f>IF(ISNA(VLOOKUP(A126,'Données projet'!$A$113:$I$133,4,0)),0,VLOOKUP(A126,'Données projet'!$A$113:$I$133,4,0))</f>
        <v>100.6</v>
      </c>
      <c r="CH126" s="16">
        <f>IF(ISNA(VLOOKUP(A126,'Données projet'!$A$113:$I$133,5,0)),0%,VLOOKUP(A126,'Données projet'!$A$113:$I$133,5,0)*VLOOKUP('Données projet'!$B$12,Paramètres!$A$1:$I$89,7,0))</f>
        <v>0.43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221.89431125036498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221.89431125036498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68.20658150275824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328.09</v>
      </c>
      <c r="CR126" s="12">
        <f>VLOOKUP(A126,'Données projet'!$A$139:$I$159,9,0)</f>
        <v>-0.37249999999998806</v>
      </c>
      <c r="CS126" s="12">
        <f t="array" ref="CS126">INDEX(CR:CR,MIN(IF(ISNUMBER(CR126:CR322),ROW(CR126:CR322),"")))</f>
        <v>-0.37249999999998806</v>
      </c>
      <c r="CT126" s="12">
        <f>IF('Données projet'!$A$140&gt;35,CT125+CS126-DB125,IF(A126&lt;'Données projet'!$A$140,$CQ$205^A126,IF(A126='Données projet'!$A$140,'Données projet'!$B$140,CT125+CS126-DB125)))</f>
        <v>328.09000000000043</v>
      </c>
      <c r="CU126" s="17">
        <f>CT126*VLOOKUP('Données projet'!$B$13,Paramètres!$A$1:$I$89,3,0)*VLOOKUP('Données projet'!$B$13,Paramètres!$A$1:$I$89,5,0)</f>
        <v>332.68326000000047</v>
      </c>
      <c r="CV126" s="13">
        <f t="shared" si="95"/>
        <v>77.986352960573853</v>
      </c>
      <c r="CW126" s="20">
        <f t="shared" si="67"/>
        <v>715.24957590633358</v>
      </c>
      <c r="CX126" s="59">
        <f t="shared" si="68"/>
        <v>1002.0070414164471</v>
      </c>
      <c r="CY126" s="59">
        <f ca="1">AVERAGE(OFFSET($CX$3,0,0,'Données projet'!$E$13+1,1))-AVERAGE(OFFSET($H$3,0,0,'Données projet'!$E$13+1,1))</f>
        <v>611.82989382187804</v>
      </c>
      <c r="CZ126" s="59">
        <f t="shared" si="96"/>
        <v>320.34124600136363</v>
      </c>
      <c r="DA126" s="15">
        <f>IF(ISNA(VLOOKUP(A126,'Données projet'!$A$139:$I$159,3,0)),0,VLOOKUP(A126,'Données projet'!$A$139:$I$159,3,0))</f>
        <v>12</v>
      </c>
      <c r="DB126" s="15">
        <f>IF(ISNA(VLOOKUP(A126,'Données projet'!$A$139:$I$159,4,0)),0,VLOOKUP(A126,'Données projet'!$A$139:$I$159,4,0))</f>
        <v>100.6</v>
      </c>
      <c r="DC126" s="16">
        <f>IF(ISNA(VLOOKUP(A126,'Données projet'!$A$139:$I$159,5,0)),0%,VLOOKUP(A126,'Données projet'!$A$139:$I$159,5,0)*VLOOKUP('Données projet'!$B$13,Paramètres!$A$1:$I$89,7,0))</f>
        <v>0.43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248.67465915989186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248.67465915989186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68.20658150275824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projet'!$A$165:$I$185,2,0)</f>
        <v>328.09</v>
      </c>
      <c r="DM126" s="12">
        <f>VLOOKUP(A126,'Données projet'!$A$165:$I$185,9,0)</f>
        <v>-0.37249999999998806</v>
      </c>
      <c r="DN126" s="12">
        <f t="array" ref="DN126">INDEX(DM:DM,MIN(IF(ISNUMBER(DM126:DM322),ROW(DM126:DM322),"")))</f>
        <v>-0.37249999999998806</v>
      </c>
      <c r="DO126" s="12">
        <f>IF('Données projet'!$A$166&gt;35,DO125+DN126-DW125,IF(A126&lt;'Données projet'!$A$166,$DL$205^A126,IF(A126='Données projet'!$A$166,'Données projet'!$B$166,DO125+DN126-DW125)))</f>
        <v>328.09000000000043</v>
      </c>
      <c r="DP126" s="17">
        <f>DO126*VLOOKUP('Données projet'!$B$14,Paramètres!$A$1:$I$89,3,0)*VLOOKUP('Données projet'!$B$14,Paramètres!$A$1:$I$89,5,0)</f>
        <v>353.1560760000005</v>
      </c>
      <c r="DQ126" s="13">
        <f t="shared" si="97"/>
        <v>82.212040145084188</v>
      </c>
      <c r="DR126" s="20">
        <f t="shared" si="70"/>
        <v>758.26613561935585</v>
      </c>
      <c r="DS126" s="59">
        <f t="shared" si="71"/>
        <v>1045.0236011294694</v>
      </c>
      <c r="DT126" s="59">
        <f ca="1">AVERAGE(OFFSET($DS$3,0,0,'Données projet'!$E$14+1,1))-AVERAGE(OFFSET($H$3,0,0,'Données projet'!$E$14+1,1))</f>
        <v>645.29541304800614</v>
      </c>
      <c r="DU126" s="59">
        <f t="shared" si="98"/>
        <v>336.65580771733323</v>
      </c>
      <c r="DV126" s="15">
        <f>IF(ISNA(VLOOKUP(A126,'Données projet'!$A$165:$I$185,3,0)),0,VLOOKUP(A126,'Données projet'!$A$165:$I$185,3,0))</f>
        <v>12</v>
      </c>
      <c r="DW126" s="15">
        <f>IF(ISNA(VLOOKUP(A126,'Données projet'!$A$165:$I$185,4,0)),0,VLOOKUP(A126,'Données projet'!$A$165:$I$185,4,0))</f>
        <v>100.6</v>
      </c>
      <c r="DX126" s="16">
        <f>IF(ISNA(VLOOKUP(A126,'Données projet'!$A$165:$I$185,5,0)),0%,VLOOKUP(A126,'Données projet'!$A$165:$I$185,5,0)*VLOOKUP('Données projet'!$B$14,Paramètres!$A$1:$I$89,7,0))</f>
        <v>0.43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263.9777151081928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263.9777151081928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68.20658150275824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319</v>
      </c>
      <c r="EK126" s="17">
        <f>EJ126*VLOOKUP('Données projet'!$B$15,Paramètres!$A$1:$I$89,3,0)*VLOOKUP('Données projet'!$B$15,Paramètres!$A$1:$I$89,5,0)</f>
        <v>233.89079999999998</v>
      </c>
      <c r="EL126" s="13">
        <f t="shared" si="99"/>
        <v>57.123140349023068</v>
      </c>
      <c r="EM126" s="20">
        <f t="shared" si="73"/>
        <v>506.84927944121517</v>
      </c>
      <c r="EN126" s="59">
        <f t="shared" si="74"/>
        <v>793.60674495132866</v>
      </c>
      <c r="EO126" s="59">
        <f ca="1">AVERAGE(OFFSET($EN$3,0,0,'Données projet'!$E$15+1,1))-AVERAGE(OFFSET($H$3,0,0,'Données projet'!$E$15+1,1))</f>
        <v>343.31122043016137</v>
      </c>
      <c r="EP126" s="59">
        <f t="shared" si="100"/>
        <v>333.61098411258877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16.964289730335953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16.964289730335953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68.20658150275824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319</v>
      </c>
      <c r="FF126" s="17">
        <f>FE126*VLOOKUP('Données projet'!$B$16,Paramètres!$A$1:$I$89,3,0)*VLOOKUP('Données projet'!$B$16,Paramètres!$A$1:$I$89,5,0)</f>
        <v>253.79640000000001</v>
      </c>
      <c r="FG126" s="13">
        <f t="shared" si="101"/>
        <v>61.39816832228076</v>
      </c>
      <c r="FH126" s="20">
        <f t="shared" si="76"/>
        <v>548.96387316130563</v>
      </c>
      <c r="FI126" s="59">
        <f t="shared" si="77"/>
        <v>835.72133867141918</v>
      </c>
      <c r="FJ126" s="59">
        <f ca="1">AVERAGE(OFFSET($FI$3,0,0,'Données projet'!$E$16+1,1))-AVERAGE(OFFSET($H$3,0,0,'Données projet'!$E$16+1,1))</f>
        <v>368.12945163484585</v>
      </c>
      <c r="FK126" s="59">
        <f t="shared" si="102"/>
        <v>357.27183934545121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22.689003038643282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22.689003038643282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68.20658150275824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68.20658150275824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3.0869565217391299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11.318840579710143</v>
      </c>
      <c r="H127" s="66">
        <f t="shared" si="56"/>
        <v>211.39130434782609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68.23769330420231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5.2499999999990337</v>
      </c>
      <c r="O127" s="13">
        <f>N127*VLOOKUP('Données projet'!$B$9,Paramètres!$A$1:$I$89,3,0)*VLOOKUP('Données projet'!$B$9,Paramètres!$A$1:$I$89,5,0)</f>
        <v>2.4569999999995478</v>
      </c>
      <c r="P127" s="13">
        <f t="shared" si="87"/>
        <v>1.0197977774625564</v>
      </c>
      <c r="Q127" s="20">
        <f t="shared" si="107"/>
        <v>6.0554227957464972</v>
      </c>
      <c r="R127" s="59">
        <f t="shared" si="55"/>
        <v>292.92696491115493</v>
      </c>
      <c r="S127" s="59">
        <f ca="1">AVERAGE(OFFSET($R$3,0,0,'Données projet'!$E$9+1,1))-AVERAGE(OFFSET($H$3,0,0,'Données projet'!$E$9+1,1))</f>
        <v>320.30433416149219</v>
      </c>
      <c r="T127" s="59">
        <f t="shared" si="88"/>
        <v>201.33422682092797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180.4659283123348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180.4659283123348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68.23769330420231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763.00000000000057</v>
      </c>
      <c r="AJ127" s="13">
        <f>AI127*VLOOKUP('Données projet'!$B$10,Paramètres!$A$1:$I$89,3,0)*VLOOKUP('Données projet'!$B$10,Paramètres!$A$1:$I$89,5,0)</f>
        <v>456.2740000000004</v>
      </c>
      <c r="AK127" s="13">
        <f t="shared" si="89"/>
        <v>103.09649786611838</v>
      </c>
      <c r="AL127" s="20">
        <f t="shared" si="58"/>
        <v>974.23695045015677</v>
      </c>
      <c r="AM127" s="59">
        <f t="shared" si="59"/>
        <v>1261.1084925655653</v>
      </c>
      <c r="AN127" s="59">
        <f ca="1">AVERAGE(OFFSET($AM$3,0,0,'Données projet'!$E$10+1,1))-AVERAGE(OFFSET($H$3,0,0,'Données projet'!$E$10+1,1))</f>
        <v>569.80473816957431</v>
      </c>
      <c r="AO127" s="59">
        <f t="shared" si="90"/>
        <v>495.56567790763199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44.523830115205051</v>
      </c>
      <c r="AV127" s="21">
        <f>EXP(-LN(2)/25)*AV126+(1-EXP(-LN(2)/25))/(LN(2)/25)*Calculateur!AQ127*Calculateur!AS127*VLOOKUP('Données projet'!$B$10,Paramètres!$A$1:$I$89,3,0)*0.475*44/12</f>
        <v>4.8288851092885627</v>
      </c>
      <c r="AW127" s="21">
        <f>EXP(-LN(2)/2)*AW126+(1-EXP(-LN(2)/2))/(LN(2)/2)*AQ127*AT127*VLOOKUP('Données projet'!$B$10,Paramètres!$A$1:$I$89,3,0)*0.475*44/12</f>
        <v>5.5811186356330519E-16</v>
      </c>
      <c r="AX127" s="21">
        <f t="shared" si="60"/>
        <v>49.352715224493615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68.23769330420231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-2.5006556825246661E-14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180.42749272334603</v>
      </c>
      <c r="BJ127" s="59">
        <f t="shared" si="92"/>
        <v>346.61476512497495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9.9385378650755705</v>
      </c>
      <c r="BQ127" s="21">
        <f>EXP(-LN(2)/25)*BQ126+(1-EXP(-LN(2)/25))/(LN(2)/25)*Calculateur!BL127*Calculateur!BN127*VLOOKUP('Données projet'!$B$11,Paramètres!$A$1:$I$89,3,0)*0.475*44/12</f>
        <v>1.222653589885587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11.161191454961157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68.23769330420231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0.19750000000000512</v>
      </c>
      <c r="BY127" s="12">
        <f>IF('Données projet'!$A$114&gt;35,BY126+BX127-CG126,IF(A127&lt;'Données projet'!$A$114,$BV$205^A127,IF(A127='Données projet'!$A$114,'Données projet'!$B$114,BY126+BX127-CG126)))</f>
        <v>227.68750000000043</v>
      </c>
      <c r="BZ127" s="13">
        <f>BY127*VLOOKUP('Données projet'!$B$12,Paramètres!$A$1:$I$89,3,0)*VLOOKUP('Données projet'!$B$12,Paramètres!$A$1:$I$89,5,0)</f>
        <v>206.01165000000037</v>
      </c>
      <c r="CA127" s="13">
        <f t="shared" si="93"/>
        <v>51.063060633166664</v>
      </c>
      <c r="CB127" s="20">
        <f t="shared" si="64"/>
        <v>447.73845435276593</v>
      </c>
      <c r="CC127" s="59">
        <f t="shared" si="65"/>
        <v>734.60999646817436</v>
      </c>
      <c r="CD127" s="59">
        <f ca="1">AVERAGE(OFFSET($CC$3,0,0,'Données projet'!$E$12+1,1))-AVERAGE(OFFSET($H$3,0,0,'Données projet'!$E$12+1,1))</f>
        <v>553.16421218123958</v>
      </c>
      <c r="CE127" s="59">
        <f t="shared" si="94"/>
        <v>291.73668613844416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217.54309914891127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217.54309914891127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68.23769330420231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0.19750000000000512</v>
      </c>
      <c r="CT127" s="12">
        <f>IF('Données projet'!$A$140&gt;35,CT126+CS127-DB126,IF(A127&lt;'Données projet'!$A$140,$CQ$205^A127,IF(A127='Données projet'!$A$140,'Données projet'!$B$140,CT126+CS127-DB126)))</f>
        <v>227.68750000000043</v>
      </c>
      <c r="CU127" s="17">
        <f>CT127*VLOOKUP('Données projet'!$B$13,Paramètres!$A$1:$I$89,3,0)*VLOOKUP('Données projet'!$B$13,Paramètres!$A$1:$I$89,5,0)</f>
        <v>230.87512500000042</v>
      </c>
      <c r="CV127" s="13">
        <f t="shared" si="95"/>
        <v>56.471862173466945</v>
      </c>
      <c r="CW127" s="20">
        <f t="shared" si="67"/>
        <v>500.46266932712228</v>
      </c>
      <c r="CX127" s="59">
        <f t="shared" si="68"/>
        <v>787.33421144253066</v>
      </c>
      <c r="CY127" s="59">
        <f ca="1">AVERAGE(OFFSET($CX$3,0,0,'Données projet'!$E$13+1,1))-AVERAGE(OFFSET($H$3,0,0,'Données projet'!$E$13+1,1))</f>
        <v>611.82989382187804</v>
      </c>
      <c r="CZ127" s="59">
        <f t="shared" si="96"/>
        <v>320.34124600136363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243.79830077033165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243.79830077033165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68.23769330420231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0.19750000000000512</v>
      </c>
      <c r="DO127" s="12">
        <f>IF('Données projet'!$A$166&gt;35,DO126+DN127-DW126,IF(A127&lt;'Données projet'!$A$166,$DL$205^A127,IF(A127='Données projet'!$A$166,'Données projet'!$B$166,DO126+DN127-DW126)))</f>
        <v>227.68750000000043</v>
      </c>
      <c r="DP127" s="17">
        <f>DO127*VLOOKUP('Données projet'!$B$14,Paramètres!$A$1:$I$89,3,0)*VLOOKUP('Données projet'!$B$14,Paramètres!$A$1:$I$89,5,0)</f>
        <v>245.08282500000047</v>
      </c>
      <c r="DQ127" s="13">
        <f t="shared" si="97"/>
        <v>59.531787599041017</v>
      </c>
      <c r="DR127" s="20">
        <f t="shared" si="70"/>
        <v>530.5371169433306</v>
      </c>
      <c r="DS127" s="59">
        <f t="shared" si="71"/>
        <v>817.40865905873898</v>
      </c>
      <c r="DT127" s="59">
        <f ca="1">AVERAGE(OFFSET($DS$3,0,0,'Données projet'!$E$14+1,1))-AVERAGE(OFFSET($H$3,0,0,'Données projet'!$E$14+1,1))</f>
        <v>645.29541304800614</v>
      </c>
      <c r="DU127" s="59">
        <f t="shared" si="98"/>
        <v>336.65580771733323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258.80127312542891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258.80127312542891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68.23769330420231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319</v>
      </c>
      <c r="EK127" s="17">
        <f>EJ127*VLOOKUP('Données projet'!$B$15,Paramètres!$A$1:$I$89,3,0)*VLOOKUP('Données projet'!$B$15,Paramètres!$A$1:$I$89,5,0)</f>
        <v>233.89079999999998</v>
      </c>
      <c r="EL127" s="13">
        <f t="shared" si="99"/>
        <v>57.123140349023068</v>
      </c>
      <c r="EM127" s="20">
        <f t="shared" si="73"/>
        <v>506.84927944121517</v>
      </c>
      <c r="EN127" s="59">
        <f t="shared" si="74"/>
        <v>793.7208215566236</v>
      </c>
      <c r="EO127" s="59">
        <f ca="1">AVERAGE(OFFSET($EN$3,0,0,'Données projet'!$E$15+1,1))-AVERAGE(OFFSET($H$3,0,0,'Données projet'!$E$15+1,1))</f>
        <v>343.31122043016137</v>
      </c>
      <c r="EP127" s="59">
        <f t="shared" si="100"/>
        <v>333.61098411258877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16.6316303559191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16.6316303559191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68.23769330420231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319</v>
      </c>
      <c r="FF127" s="17">
        <f>FE127*VLOOKUP('Données projet'!$B$16,Paramètres!$A$1:$I$89,3,0)*VLOOKUP('Données projet'!$B$16,Paramètres!$A$1:$I$89,5,0)</f>
        <v>253.79640000000001</v>
      </c>
      <c r="FG127" s="13">
        <f t="shared" si="101"/>
        <v>61.39816832228076</v>
      </c>
      <c r="FH127" s="20">
        <f t="shared" si="76"/>
        <v>548.96387316130563</v>
      </c>
      <c r="FI127" s="59">
        <f t="shared" si="77"/>
        <v>835.835415276714</v>
      </c>
      <c r="FJ127" s="59">
        <f ca="1">AVERAGE(OFFSET($FI$3,0,0,'Données projet'!$E$16+1,1))-AVERAGE(OFFSET($H$3,0,0,'Données projet'!$E$16+1,1))</f>
        <v>368.12945163484585</v>
      </c>
      <c r="FK127" s="59">
        <f t="shared" si="102"/>
        <v>357.27183934545121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22.244085527980861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22.244085527980861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68.23769330420231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68.23769330420231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3.0869565217391299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11.318840579710143</v>
      </c>
      <c r="H128" s="66">
        <f t="shared" si="56"/>
        <v>211.39130434782609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68.268265385446853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5.2499999999990337</v>
      </c>
      <c r="O128" s="13">
        <f>N128*VLOOKUP('Données projet'!$B$9,Paramètres!$A$1:$I$89,3,0)*VLOOKUP('Données projet'!$B$9,Paramètres!$A$1:$I$89,5,0)</f>
        <v>2.4569999999995478</v>
      </c>
      <c r="P128" s="13">
        <f t="shared" si="87"/>
        <v>1.0197977774625564</v>
      </c>
      <c r="Q128" s="20">
        <f t="shared" si="107"/>
        <v>6.0554227957464972</v>
      </c>
      <c r="R128" s="59">
        <f t="shared" si="55"/>
        <v>293.03906254238495</v>
      </c>
      <c r="S128" s="59">
        <f ca="1">AVERAGE(OFFSET($R$3,0,0,'Données projet'!$E$9+1,1))-AVERAGE(OFFSET($H$3,0,0,'Données projet'!$E$9+1,1))</f>
        <v>320.30433416149219</v>
      </c>
      <c r="T128" s="59">
        <f t="shared" si="88"/>
        <v>201.33422682092797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176.92710153147735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176.92710153147735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68.268265385446853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763.00000000000057</v>
      </c>
      <c r="AJ128" s="13">
        <f>AI128*VLOOKUP('Données projet'!$B$10,Paramètres!$A$1:$I$89,3,0)*VLOOKUP('Données projet'!$B$10,Paramètres!$A$1:$I$89,5,0)</f>
        <v>456.2740000000004</v>
      </c>
      <c r="AK128" s="13">
        <f t="shared" si="89"/>
        <v>103.09649786611838</v>
      </c>
      <c r="AL128" s="20">
        <f t="shared" si="58"/>
        <v>974.23695045015677</v>
      </c>
      <c r="AM128" s="59">
        <f t="shared" si="59"/>
        <v>1261.2205901967952</v>
      </c>
      <c r="AN128" s="59">
        <f ca="1">AVERAGE(OFFSET($AM$3,0,0,'Données projet'!$E$10+1,1))-AVERAGE(OFFSET($H$3,0,0,'Données projet'!$E$10+1,1))</f>
        <v>569.80473816957431</v>
      </c>
      <c r="AO128" s="59">
        <f t="shared" si="90"/>
        <v>495.56567790763199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43.650744963500735</v>
      </c>
      <c r="AV128" s="21">
        <f>EXP(-LN(2)/25)*AV127+(1-EXP(-LN(2)/25))/(LN(2)/25)*Calculateur!AQ128*Calculateur!AS128*VLOOKUP('Données projet'!$B$10,Paramètres!$A$1:$I$89,3,0)*0.475*44/12</f>
        <v>4.696838992035036</v>
      </c>
      <c r="AW128" s="21">
        <f>EXP(-LN(2)/2)*AW127+(1-EXP(-LN(2)/2))/(LN(2)/2)*AQ128*AT128*VLOOKUP('Données projet'!$B$10,Paramètres!$A$1:$I$89,3,0)*0.475*44/12</f>
        <v>3.9464468338627432E-16</v>
      </c>
      <c r="AX128" s="21">
        <f t="shared" si="60"/>
        <v>48.347583955535768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68.268265385446853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-2.5006556825246661E-14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180.42749272334603</v>
      </c>
      <c r="BJ128" s="59">
        <f t="shared" si="92"/>
        <v>346.61476512497495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9.7436491994509726</v>
      </c>
      <c r="BQ128" s="21">
        <f>EXP(-LN(2)/25)*BQ127+(1-EXP(-LN(2)/25))/(LN(2)/25)*Calculateur!BL128*Calculateur!BN128*VLOOKUP('Données projet'!$B$11,Paramètres!$A$1:$I$89,3,0)*0.475*44/12</f>
        <v>1.1892200631736078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10.93286926262458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68.268265385446853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0.19750000000000512</v>
      </c>
      <c r="BY128" s="12">
        <f>IF('Données projet'!$A$114&gt;35,BY127+BX128-CG127,IF(A128&lt;'Données projet'!$A$114,$BV$205^A128,IF(A128='Données projet'!$A$114,'Données projet'!$B$114,BY127+BX128-CG127)))</f>
        <v>227.88500000000045</v>
      </c>
      <c r="BZ128" s="13">
        <f>BY128*VLOOKUP('Données projet'!$B$12,Paramètres!$A$1:$I$89,3,0)*VLOOKUP('Données projet'!$B$12,Paramètres!$A$1:$I$89,5,0)</f>
        <v>206.19034800000037</v>
      </c>
      <c r="CA128" s="13">
        <f t="shared" si="93"/>
        <v>51.102195921911175</v>
      </c>
      <c r="CB128" s="20">
        <f t="shared" si="64"/>
        <v>448.11784733066253</v>
      </c>
      <c r="CC128" s="59">
        <f t="shared" si="65"/>
        <v>735.10148707730104</v>
      </c>
      <c r="CD128" s="59">
        <f ca="1">AVERAGE(OFFSET($CC$3,0,0,'Données projet'!$E$12+1,1))-AVERAGE(OFFSET($H$3,0,0,'Données projet'!$E$12+1,1))</f>
        <v>553.16421218123958</v>
      </c>
      <c r="CE128" s="59">
        <f t="shared" si="94"/>
        <v>291.73668613844416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213.27721166278974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213.27721166278974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68.268265385446853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0.19750000000000512</v>
      </c>
      <c r="CT128" s="12">
        <f>IF('Données projet'!$A$140&gt;35,CT127+CS128-DB127,IF(A128&lt;'Données projet'!$A$140,$CQ$205^A128,IF(A128='Données projet'!$A$140,'Données projet'!$B$140,CT127+CS128-DB127)))</f>
        <v>227.88500000000045</v>
      </c>
      <c r="CU128" s="17">
        <f>CT128*VLOOKUP('Données projet'!$B$13,Paramètres!$A$1:$I$89,3,0)*VLOOKUP('Données projet'!$B$13,Paramètres!$A$1:$I$89,5,0)</f>
        <v>231.07539000000048</v>
      </c>
      <c r="CV128" s="13">
        <f t="shared" si="95"/>
        <v>56.515142826931459</v>
      </c>
      <c r="CW128" s="20">
        <f t="shared" si="67"/>
        <v>500.88684467357308</v>
      </c>
      <c r="CX128" s="59">
        <f t="shared" si="68"/>
        <v>787.8704844202116</v>
      </c>
      <c r="CY128" s="59">
        <f ca="1">AVERAGE(OFFSET($CX$3,0,0,'Données projet'!$E$13+1,1))-AVERAGE(OFFSET($H$3,0,0,'Données projet'!$E$13+1,1))</f>
        <v>611.82989382187804</v>
      </c>
      <c r="CZ128" s="59">
        <f t="shared" si="96"/>
        <v>320.34124600136363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239.01756479450577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239.01756479450577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68.268265385446853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0.19750000000000512</v>
      </c>
      <c r="DO128" s="12">
        <f>IF('Données projet'!$A$166&gt;35,DO127+DN128-DW127,IF(A128&lt;'Données projet'!$A$166,$DL$205^A128,IF(A128='Données projet'!$A$166,'Données projet'!$B$166,DO127+DN128-DW127)))</f>
        <v>227.88500000000045</v>
      </c>
      <c r="DP128" s="17">
        <f>DO128*VLOOKUP('Données projet'!$B$14,Paramètres!$A$1:$I$89,3,0)*VLOOKUP('Données projet'!$B$14,Paramètres!$A$1:$I$89,5,0)</f>
        <v>245.29541400000048</v>
      </c>
      <c r="DQ128" s="13">
        <f t="shared" si="97"/>
        <v>59.577413412853964</v>
      </c>
      <c r="DR128" s="20">
        <f t="shared" si="70"/>
        <v>530.98684107738814</v>
      </c>
      <c r="DS128" s="59">
        <f t="shared" si="71"/>
        <v>817.97048082402659</v>
      </c>
      <c r="DT128" s="59">
        <f ca="1">AVERAGE(OFFSET($DS$3,0,0,'Données projet'!$E$14+1,1))-AVERAGE(OFFSET($H$3,0,0,'Données projet'!$E$14+1,1))</f>
        <v>645.29541304800614</v>
      </c>
      <c r="DU128" s="59">
        <f t="shared" si="98"/>
        <v>336.65580771733323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253.72633801262916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253.72633801262916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68.268265385446853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319</v>
      </c>
      <c r="EK128" s="17">
        <f>EJ128*VLOOKUP('Données projet'!$B$15,Paramètres!$A$1:$I$89,3,0)*VLOOKUP('Données projet'!$B$15,Paramètres!$A$1:$I$89,5,0)</f>
        <v>233.89079999999998</v>
      </c>
      <c r="EL128" s="13">
        <f t="shared" si="99"/>
        <v>57.123140349023068</v>
      </c>
      <c r="EM128" s="20">
        <f t="shared" si="73"/>
        <v>506.84927944121517</v>
      </c>
      <c r="EN128" s="59">
        <f t="shared" si="74"/>
        <v>793.83291918785358</v>
      </c>
      <c r="EO128" s="59">
        <f ca="1">AVERAGE(OFFSET($EN$3,0,0,'Données projet'!$E$15+1,1))-AVERAGE(OFFSET($H$3,0,0,'Données projet'!$E$15+1,1))</f>
        <v>343.31122043016137</v>
      </c>
      <c r="EP128" s="59">
        <f t="shared" si="100"/>
        <v>333.61098411258877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16.305494228932378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16.305494228932378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68.268265385446853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319</v>
      </c>
      <c r="FF128" s="17">
        <f>FE128*VLOOKUP('Données projet'!$B$16,Paramètres!$A$1:$I$89,3,0)*VLOOKUP('Données projet'!$B$16,Paramètres!$A$1:$I$89,5,0)</f>
        <v>253.79640000000001</v>
      </c>
      <c r="FG128" s="13">
        <f t="shared" si="101"/>
        <v>61.39816832228076</v>
      </c>
      <c r="FH128" s="20">
        <f t="shared" si="76"/>
        <v>548.96387316130563</v>
      </c>
      <c r="FI128" s="59">
        <f t="shared" si="77"/>
        <v>835.94751290794409</v>
      </c>
      <c r="FJ128" s="59">
        <f ca="1">AVERAGE(OFFSET($FI$3,0,0,'Données projet'!$E$16+1,1))-AVERAGE(OFFSET($H$3,0,0,'Données projet'!$E$16+1,1))</f>
        <v>368.12945163484585</v>
      </c>
      <c r="FK128" s="59">
        <f t="shared" si="102"/>
        <v>357.27183934545121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21.807892578329643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21.807892578329643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68.268265385446853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68.268265385446853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3.0869565217391299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11.318840579710143</v>
      </c>
      <c r="H129" s="66">
        <f t="shared" si="56"/>
        <v>211.39130434782609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68.298307109430766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5.2499999999990337</v>
      </c>
      <c r="O129" s="13">
        <f>N129*VLOOKUP('Données projet'!$B$9,Paramètres!$A$1:$I$89,3,0)*VLOOKUP('Données projet'!$B$9,Paramètres!$A$1:$I$89,5,0)</f>
        <v>2.4569999999995478</v>
      </c>
      <c r="P129" s="13">
        <f t="shared" si="87"/>
        <v>1.0197977774625564</v>
      </c>
      <c r="Q129" s="20">
        <f t="shared" si="107"/>
        <v>6.0554227957464972</v>
      </c>
      <c r="R129" s="59">
        <f t="shared" si="55"/>
        <v>293.14921553032599</v>
      </c>
      <c r="S129" s="59">
        <f ca="1">AVERAGE(OFFSET($R$3,0,0,'Données projet'!$E$9+1,1))-AVERAGE(OFFSET($H$3,0,0,'Données projet'!$E$9+1,1))</f>
        <v>320.30433416149219</v>
      </c>
      <c r="T129" s="59">
        <f t="shared" si="88"/>
        <v>201.33422682092797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173.45766898532131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173.45766898532131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68.298307109430766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763.00000000000057</v>
      </c>
      <c r="AJ129" s="13">
        <f>AI129*VLOOKUP('Données projet'!$B$10,Paramètres!$A$1:$I$89,3,0)*VLOOKUP('Données projet'!$B$10,Paramètres!$A$1:$I$89,5,0)</f>
        <v>456.2740000000004</v>
      </c>
      <c r="AK129" s="13">
        <f t="shared" si="89"/>
        <v>103.09649786611838</v>
      </c>
      <c r="AL129" s="20">
        <f t="shared" si="58"/>
        <v>974.23695045015677</v>
      </c>
      <c r="AM129" s="59">
        <f t="shared" si="59"/>
        <v>1261.3307431847363</v>
      </c>
      <c r="AN129" s="59">
        <f ca="1">AVERAGE(OFFSET($AM$3,0,0,'Données projet'!$E$10+1,1))-AVERAGE(OFFSET($H$3,0,0,'Données projet'!$E$10+1,1))</f>
        <v>569.80473816957431</v>
      </c>
      <c r="AO129" s="59">
        <f t="shared" si="90"/>
        <v>495.56567790763199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42.794780479091976</v>
      </c>
      <c r="AV129" s="21">
        <f>EXP(-LN(2)/25)*AV128+(1-EXP(-LN(2)/25))/(LN(2)/25)*Calculateur!AQ129*Calculateur!AS129*VLOOKUP('Données projet'!$B$10,Paramètres!$A$1:$I$89,3,0)*0.475*44/12</f>
        <v>4.5684036828018098</v>
      </c>
      <c r="AW129" s="21">
        <f>EXP(-LN(2)/2)*AW128+(1-EXP(-LN(2)/2))/(LN(2)/2)*AQ129*AT129*VLOOKUP('Données projet'!$B$10,Paramètres!$A$1:$I$89,3,0)*0.475*44/12</f>
        <v>2.790559317816526E-16</v>
      </c>
      <c r="AX129" s="21">
        <f t="shared" si="60"/>
        <v>47.363184161893784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68.298307109430766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-2.5006556825246661E-14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180.42749272334603</v>
      </c>
      <c r="BJ129" s="59">
        <f t="shared" si="92"/>
        <v>346.61476512497495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9.5525821816889245</v>
      </c>
      <c r="BQ129" s="21">
        <f>EXP(-LN(2)/25)*BQ128+(1-EXP(-LN(2)/25))/(LN(2)/25)*Calculateur!BL129*Calculateur!BN129*VLOOKUP('Données projet'!$B$11,Paramètres!$A$1:$I$89,3,0)*0.475*44/12</f>
        <v>1.1567007780077605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10.709282959696685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68.298307109430766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0.19750000000000512</v>
      </c>
      <c r="BY129" s="12">
        <f>IF('Données projet'!$A$114&gt;35,BY128+BX129-CG128,IF(A129&lt;'Données projet'!$A$114,$BV$205^A129,IF(A129='Données projet'!$A$114,'Données projet'!$B$114,BY128+BX129-CG128)))</f>
        <v>228.08250000000044</v>
      </c>
      <c r="BZ129" s="13">
        <f>BY129*VLOOKUP('Données projet'!$B$12,Paramètres!$A$1:$I$89,3,0)*VLOOKUP('Données projet'!$B$12,Paramètres!$A$1:$I$89,5,0)</f>
        <v>206.3690460000004</v>
      </c>
      <c r="CA129" s="13">
        <f t="shared" si="93"/>
        <v>51.141327262893078</v>
      </c>
      <c r="CB129" s="20">
        <f t="shared" si="64"/>
        <v>448.49723343287286</v>
      </c>
      <c r="CC129" s="59">
        <f t="shared" si="65"/>
        <v>735.59102616745236</v>
      </c>
      <c r="CD129" s="59">
        <f ca="1">AVERAGE(OFFSET($CC$3,0,0,'Données projet'!$E$12+1,1))-AVERAGE(OFFSET($H$3,0,0,'Données projet'!$E$12+1,1))</f>
        <v>553.16421218123958</v>
      </c>
      <c r="CE129" s="59">
        <f t="shared" si="94"/>
        <v>291.73668613844416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209.09497562833658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209.09497562833658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68.298307109430766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0.19750000000000512</v>
      </c>
      <c r="CT129" s="12">
        <f>IF('Données projet'!$A$140&gt;35,CT128+CS129-DB128,IF(A129&lt;'Données projet'!$A$140,$CQ$205^A129,IF(A129='Données projet'!$A$140,'Données projet'!$B$140,CT128+CS129-DB128)))</f>
        <v>228.08250000000044</v>
      </c>
      <c r="CU129" s="17">
        <f>CT129*VLOOKUP('Données projet'!$B$13,Paramètres!$A$1:$I$89,3,0)*VLOOKUP('Données projet'!$B$13,Paramètres!$A$1:$I$89,5,0)</f>
        <v>231.27565500000046</v>
      </c>
      <c r="CV129" s="13">
        <f t="shared" si="95"/>
        <v>56.558419114470617</v>
      </c>
      <c r="CW129" s="20">
        <f t="shared" si="67"/>
        <v>501.31101241603716</v>
      </c>
      <c r="CX129" s="59">
        <f t="shared" si="68"/>
        <v>788.40480515061665</v>
      </c>
      <c r="CY129" s="59">
        <f ca="1">AVERAGE(OFFSET($CX$3,0,0,'Données projet'!$E$13+1,1))-AVERAGE(OFFSET($H$3,0,0,'Données projet'!$E$13+1,1))</f>
        <v>611.82989382187804</v>
      </c>
      <c r="CZ129" s="59">
        <f t="shared" si="96"/>
        <v>320.34124600136363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234.33057613520484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234.33057613520484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68.298307109430766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0.19750000000000512</v>
      </c>
      <c r="DO129" s="12">
        <f>IF('Données projet'!$A$166&gt;35,DO128+DN129-DW128,IF(A129&lt;'Données projet'!$A$166,$DL$205^A129,IF(A129='Données projet'!$A$166,'Données projet'!$B$166,DO128+DN129-DW128)))</f>
        <v>228.08250000000044</v>
      </c>
      <c r="DP129" s="17">
        <f>DO129*VLOOKUP('Données projet'!$B$14,Paramètres!$A$1:$I$89,3,0)*VLOOKUP('Données projet'!$B$14,Paramètres!$A$1:$I$89,5,0)</f>
        <v>245.50800300000046</v>
      </c>
      <c r="DQ129" s="13">
        <f t="shared" si="97"/>
        <v>59.623034624174132</v>
      </c>
      <c r="DR129" s="20">
        <f t="shared" si="70"/>
        <v>531.43655719543744</v>
      </c>
      <c r="DS129" s="59">
        <f t="shared" si="71"/>
        <v>818.53034993001688</v>
      </c>
      <c r="DT129" s="59">
        <f ca="1">AVERAGE(OFFSET($DS$3,0,0,'Données projet'!$E$14+1,1))-AVERAGE(OFFSET($H$3,0,0,'Données projet'!$E$14+1,1))</f>
        <v>645.29541304800614</v>
      </c>
      <c r="DU129" s="59">
        <f t="shared" si="98"/>
        <v>336.65580771733323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248.75091928198663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248.75091928198663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68.298307109430766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319</v>
      </c>
      <c r="EK129" s="17">
        <f>EJ129*VLOOKUP('Données projet'!$B$15,Paramètres!$A$1:$I$89,3,0)*VLOOKUP('Données projet'!$B$15,Paramètres!$A$1:$I$89,5,0)</f>
        <v>233.89079999999998</v>
      </c>
      <c r="EL129" s="13">
        <f t="shared" si="99"/>
        <v>57.123140349023068</v>
      </c>
      <c r="EM129" s="20">
        <f t="shared" si="73"/>
        <v>506.84927944121517</v>
      </c>
      <c r="EN129" s="59">
        <f t="shared" si="74"/>
        <v>793.94307217579467</v>
      </c>
      <c r="EO129" s="59">
        <f ca="1">AVERAGE(OFFSET($EN$3,0,0,'Données projet'!$E$15+1,1))-AVERAGE(OFFSET($H$3,0,0,'Données projet'!$E$15+1,1))</f>
        <v>343.31122043016137</v>
      </c>
      <c r="EP129" s="59">
        <f t="shared" si="100"/>
        <v>333.61098411258877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15.985753432472471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15.985753432472471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68.298307109430766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319</v>
      </c>
      <c r="FF129" s="17">
        <f>FE129*VLOOKUP('Données projet'!$B$16,Paramètres!$A$1:$I$89,3,0)*VLOOKUP('Données projet'!$B$16,Paramètres!$A$1:$I$89,5,0)</f>
        <v>253.79640000000001</v>
      </c>
      <c r="FG129" s="13">
        <f t="shared" si="101"/>
        <v>61.39816832228076</v>
      </c>
      <c r="FH129" s="20">
        <f t="shared" si="76"/>
        <v>548.96387316130563</v>
      </c>
      <c r="FI129" s="59">
        <f t="shared" si="77"/>
        <v>836.05766589588507</v>
      </c>
      <c r="FJ129" s="59">
        <f ca="1">AVERAGE(OFFSET($FI$3,0,0,'Données projet'!$E$16+1,1))-AVERAGE(OFFSET($H$3,0,0,'Données projet'!$E$16+1,1))</f>
        <v>368.12945163484585</v>
      </c>
      <c r="FK129" s="59">
        <f t="shared" si="102"/>
        <v>357.27183934545121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21.380253106369658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21.380253106369658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68.298307109430766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68.298307109430766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3.0869565217391299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11.318840579710143</v>
      </c>
      <c r="H130" s="66">
        <f t="shared" si="56"/>
        <v>211.39130434782609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68.327827676666772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5.2499999999990337</v>
      </c>
      <c r="O130" s="13">
        <f>N130*VLOOKUP('Données projet'!$B$9,Paramètres!$A$1:$I$89,3,0)*VLOOKUP('Données projet'!$B$9,Paramètres!$A$1:$I$89,5,0)</f>
        <v>2.4569999999995478</v>
      </c>
      <c r="P130" s="13">
        <f t="shared" si="87"/>
        <v>1.0197977774625564</v>
      </c>
      <c r="Q130" s="20">
        <f t="shared" si="107"/>
        <v>6.0554227957464972</v>
      </c>
      <c r="R130" s="59">
        <f t="shared" si="55"/>
        <v>293.25745761019135</v>
      </c>
      <c r="S130" s="59">
        <f ca="1">AVERAGE(OFFSET($R$3,0,0,'Données projet'!$E$9+1,1))-AVERAGE(OFFSET($H$3,0,0,'Données projet'!$E$9+1,1))</f>
        <v>320.30433416149219</v>
      </c>
      <c r="T130" s="59">
        <f t="shared" si="88"/>
        <v>201.33422682092797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170.05626989525047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170.05626989525047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68.327827676666772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763.00000000000057</v>
      </c>
      <c r="AJ130" s="13">
        <f>AI130*VLOOKUP('Données projet'!$B$10,Paramètres!$A$1:$I$89,3,0)*VLOOKUP('Données projet'!$B$10,Paramètres!$A$1:$I$89,5,0)</f>
        <v>456.2740000000004</v>
      </c>
      <c r="AK130" s="13">
        <f t="shared" si="89"/>
        <v>103.09649786611838</v>
      </c>
      <c r="AL130" s="20">
        <f t="shared" si="58"/>
        <v>974.23695045015677</v>
      </c>
      <c r="AM130" s="59">
        <f t="shared" si="59"/>
        <v>1261.4389852646016</v>
      </c>
      <c r="AN130" s="59">
        <f ca="1">AVERAGE(OFFSET($AM$3,0,0,'Données projet'!$E$10+1,1))-AVERAGE(OFFSET($H$3,0,0,'Données projet'!$E$10+1,1))</f>
        <v>569.80473816957431</v>
      </c>
      <c r="AO130" s="59">
        <f t="shared" si="90"/>
        <v>495.56567790763199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41.955600936135696</v>
      </c>
      <c r="AV130" s="21">
        <f>EXP(-LN(2)/25)*AV129+(1-EXP(-LN(2)/25))/(LN(2)/25)*Calculateur!AQ130*Calculateur!AS130*VLOOKUP('Données projet'!$B$10,Paramètres!$A$1:$I$89,3,0)*0.475*44/12</f>
        <v>4.4434804438536855</v>
      </c>
      <c r="AW130" s="21">
        <f>EXP(-LN(2)/2)*AW129+(1-EXP(-LN(2)/2))/(LN(2)/2)*AQ130*AT130*VLOOKUP('Données projet'!$B$10,Paramètres!$A$1:$I$89,3,0)*0.475*44/12</f>
        <v>1.9732234169313716E-16</v>
      </c>
      <c r="AX130" s="21">
        <f t="shared" si="60"/>
        <v>46.399081379989383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68.327827676666772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-2.5006556825246661E-14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180.42749272334603</v>
      </c>
      <c r="BJ130" s="59">
        <f t="shared" si="92"/>
        <v>346.61476512497495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9.3652618716058171</v>
      </c>
      <c r="BQ130" s="21">
        <f>EXP(-LN(2)/25)*BQ129+(1-EXP(-LN(2)/25))/(LN(2)/25)*Calculateur!BL130*Calculateur!BN130*VLOOKUP('Données projet'!$B$11,Paramètres!$A$1:$I$89,3,0)*0.475*44/12</f>
        <v>1.125070734404888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10.490332606010705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68.327827676666772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228.28</v>
      </c>
      <c r="BW130" s="12">
        <f>VLOOKUP(A130,'Données projet'!$A$113:$I$133,9,0)</f>
        <v>0.19750000000000512</v>
      </c>
      <c r="BX130" s="12">
        <f t="array" ref="BX130">INDEX(BW:BW,MIN(IF(ISNUMBER(BW130:BW326),ROW(BW130:BW326),"")))</f>
        <v>0.19750000000000512</v>
      </c>
      <c r="BY130" s="12">
        <f>IF('Données projet'!$A$114&gt;35,BY129+BX130-CG129,IF(A130&lt;'Données projet'!$A$114,$BV$205^A130,IF(A130='Données projet'!$A$114,'Données projet'!$B$114,BY129+BX130-CG129)))</f>
        <v>228.28000000000043</v>
      </c>
      <c r="BZ130" s="13">
        <f>BY130*VLOOKUP('Données projet'!$B$12,Paramètres!$A$1:$I$89,3,0)*VLOOKUP('Données projet'!$B$12,Paramètres!$A$1:$I$89,5,0)</f>
        <v>206.54774400000036</v>
      </c>
      <c r="CA130" s="13">
        <f t="shared" si="93"/>
        <v>51.180454659928444</v>
      </c>
      <c r="CB130" s="20">
        <f t="shared" si="64"/>
        <v>448.8766126660426</v>
      </c>
      <c r="CC130" s="59">
        <f t="shared" si="65"/>
        <v>736.07864748048746</v>
      </c>
      <c r="CD130" s="59">
        <f ca="1">AVERAGE(OFFSET($CC$3,0,0,'Données projet'!$E$12+1,1))-AVERAGE(OFFSET($H$3,0,0,'Données projet'!$E$12+1,1))</f>
        <v>553.16421218123958</v>
      </c>
      <c r="CE130" s="59">
        <f t="shared" si="94"/>
        <v>291.73668613844416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65.02</v>
      </c>
      <c r="CH130" s="16">
        <f>IF(ISNA(VLOOKUP(A130,'Données projet'!$A$113:$I$133,5,0)),0%,VLOOKUP(A130,'Données projet'!$A$113:$I$133,5,0)*VLOOKUP('Données projet'!$B$12,Paramètres!$A$1:$I$89,7,0))</f>
        <v>0.43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232.95976996943133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232.95976996943133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68.327827676666772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228.28</v>
      </c>
      <c r="CR130" s="12">
        <f>VLOOKUP(A130,'Données projet'!$A$139:$I$159,9,0)</f>
        <v>0.19750000000000512</v>
      </c>
      <c r="CS130" s="12">
        <f t="array" ref="CS130">INDEX(CR:CR,MIN(IF(ISNUMBER(CR130:CR326),ROW(CR130:CR326),"")))</f>
        <v>0.19750000000000512</v>
      </c>
      <c r="CT130" s="12">
        <f>IF('Données projet'!$A$140&gt;35,CT129+CS130-DB129,IF(A130&lt;'Données projet'!$A$140,$CQ$205^A130,IF(A130='Données projet'!$A$140,'Données projet'!$B$140,CT129+CS130-DB129)))</f>
        <v>228.28000000000043</v>
      </c>
      <c r="CU130" s="17">
        <f>CT130*VLOOKUP('Données projet'!$B$13,Paramètres!$A$1:$I$89,3,0)*VLOOKUP('Données projet'!$B$13,Paramètres!$A$1:$I$89,5,0)</f>
        <v>231.47592000000046</v>
      </c>
      <c r="CV130" s="13">
        <f t="shared" si="95"/>
        <v>56.601691040304857</v>
      </c>
      <c r="CW130" s="20">
        <f t="shared" si="67"/>
        <v>501.73517256186511</v>
      </c>
      <c r="CX130" s="59">
        <f t="shared" si="68"/>
        <v>788.93720737630997</v>
      </c>
      <c r="CY130" s="59">
        <f ca="1">AVERAGE(OFFSET($CX$3,0,0,'Données projet'!$E$13+1,1))-AVERAGE(OFFSET($H$3,0,0,'Données projet'!$E$13+1,1))</f>
        <v>611.82989382187804</v>
      </c>
      <c r="CZ130" s="59">
        <f t="shared" si="96"/>
        <v>320.34124600136363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65.02</v>
      </c>
      <c r="DC130" s="16">
        <f>IF(ISNA(VLOOKUP(A130,'Données projet'!$A$139:$I$159,5,0)),0%,VLOOKUP(A130,'Données projet'!$A$139:$I$159,5,0)*VLOOKUP('Données projet'!$B$13,Paramètres!$A$1:$I$89,7,0))</f>
        <v>0.43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261.07560427608689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261.07560427608689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68.327827676666772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>
        <f>VLOOKUP(A130,'Données projet'!$A$165:$I$185,2,0)</f>
        <v>228.28</v>
      </c>
      <c r="DM130" s="12">
        <f>VLOOKUP(A130,'Données projet'!$A$165:$I$185,9,0)</f>
        <v>0.19750000000000512</v>
      </c>
      <c r="DN130" s="12">
        <f t="array" ref="DN130">INDEX(DM:DM,MIN(IF(ISNUMBER(DM130:DM326),ROW(DM130:DM326),"")))</f>
        <v>0.19750000000000512</v>
      </c>
      <c r="DO130" s="12">
        <f>IF('Données projet'!$A$166&gt;35,DO129+DN130-DW129,IF(A130&lt;'Données projet'!$A$166,$DL$205^A130,IF(A130='Données projet'!$A$166,'Données projet'!$B$166,DO129+DN130-DW129)))</f>
        <v>228.28000000000043</v>
      </c>
      <c r="DP130" s="17">
        <f>DO130*VLOOKUP('Données projet'!$B$14,Paramètres!$A$1:$I$89,3,0)*VLOOKUP('Données projet'!$B$14,Paramètres!$A$1:$I$89,5,0)</f>
        <v>245.72059200000047</v>
      </c>
      <c r="DQ130" s="13">
        <f t="shared" si="97"/>
        <v>59.66865123745049</v>
      </c>
      <c r="DR130" s="20">
        <f t="shared" si="70"/>
        <v>531.88626530522708</v>
      </c>
      <c r="DS130" s="59">
        <f t="shared" si="71"/>
        <v>819.08830011967189</v>
      </c>
      <c r="DT130" s="59">
        <f ca="1">AVERAGE(OFFSET($DS$3,0,0,'Données projet'!$E$14+1,1))-AVERAGE(OFFSET($H$3,0,0,'Données projet'!$E$14+1,1))</f>
        <v>645.29541304800614</v>
      </c>
      <c r="DU130" s="59">
        <f t="shared" si="98"/>
        <v>336.65580771733323</v>
      </c>
      <c r="DV130" s="15">
        <f>IF(ISNA(VLOOKUP(A130,'Données projet'!$A$165:$I$185,3,0)),0,VLOOKUP(A130,'Données projet'!$A$165:$I$185,3,0))</f>
        <v>13</v>
      </c>
      <c r="DW130" s="15">
        <f>IF(ISNA(VLOOKUP(A130,'Données projet'!$A$165:$I$185,4,0)),0,VLOOKUP(A130,'Données projet'!$A$165:$I$185,4,0))</f>
        <v>65.02</v>
      </c>
      <c r="DX130" s="16">
        <f>IF(ISNA(VLOOKUP(A130,'Données projet'!$A$165:$I$185,5,0)),0%,VLOOKUP(A130,'Données projet'!$A$165:$I$185,5,0)*VLOOKUP('Données projet'!$B$14,Paramètres!$A$1:$I$89,7,0))</f>
        <v>0.43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277.14179530846138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277.14179530846138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68.327827676666772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319</v>
      </c>
      <c r="EK130" s="17">
        <f>EJ130*VLOOKUP('Données projet'!$B$15,Paramètres!$A$1:$I$89,3,0)*VLOOKUP('Données projet'!$B$15,Paramètres!$A$1:$I$89,5,0)</f>
        <v>233.89079999999998</v>
      </c>
      <c r="EL130" s="13">
        <f t="shared" si="99"/>
        <v>57.123140349023068</v>
      </c>
      <c r="EM130" s="20">
        <f t="shared" si="73"/>
        <v>506.84927944121517</v>
      </c>
      <c r="EN130" s="59">
        <f t="shared" si="74"/>
        <v>794.05131425566003</v>
      </c>
      <c r="EO130" s="59">
        <f ca="1">AVERAGE(OFFSET($EN$3,0,0,'Données projet'!$E$15+1,1))-AVERAGE(OFFSET($H$3,0,0,'Données projet'!$E$15+1,1))</f>
        <v>343.31122043016137</v>
      </c>
      <c r="EP130" s="59">
        <f t="shared" si="100"/>
        <v>333.61098411258877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15.672282558008513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15.672282558008513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68.327827676666772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319</v>
      </c>
      <c r="FF130" s="17">
        <f>FE130*VLOOKUP('Données projet'!$B$16,Paramètres!$A$1:$I$89,3,0)*VLOOKUP('Données projet'!$B$16,Paramètres!$A$1:$I$89,5,0)</f>
        <v>253.79640000000001</v>
      </c>
      <c r="FG130" s="13">
        <f t="shared" si="101"/>
        <v>61.39816832228076</v>
      </c>
      <c r="FH130" s="20">
        <f t="shared" si="76"/>
        <v>548.96387316130563</v>
      </c>
      <c r="FI130" s="59">
        <f t="shared" si="77"/>
        <v>836.16590797575054</v>
      </c>
      <c r="FJ130" s="59">
        <f ca="1">AVERAGE(OFFSET($FI$3,0,0,'Données projet'!$E$16+1,1))-AVERAGE(OFFSET($H$3,0,0,'Données projet'!$E$16+1,1))</f>
        <v>368.12945163484585</v>
      </c>
      <c r="FK130" s="59">
        <f t="shared" si="102"/>
        <v>357.27183934545121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20.960999383620486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20.960999383620486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68.327827676666772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68.327827676666772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3.0869565217391299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11.318840579710143</v>
      </c>
      <c r="H131" s="66">
        <f t="shared" si="56"/>
        <v>211.39130434782609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68.356836128059342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5.2499999999990337</v>
      </c>
      <c r="O131" s="13">
        <f>N131*VLOOKUP('Données projet'!$B$9,Paramètres!$A$1:$I$89,3,0)*VLOOKUP('Données projet'!$B$9,Paramètres!$A$1:$I$89,5,0)</f>
        <v>2.4569999999995478</v>
      </c>
      <c r="P131" s="13">
        <f t="shared" si="87"/>
        <v>1.0197977774625564</v>
      </c>
      <c r="Q131" s="20">
        <f t="shared" ref="Q131:Q153" si="108">(O131+P131)*0.475*44/12</f>
        <v>6.0554227957464972</v>
      </c>
      <c r="R131" s="59">
        <f t="shared" ref="R131:R194" si="109">Q131+(I131+J131)*44/12</f>
        <v>293.36382193196408</v>
      </c>
      <c r="S131" s="59">
        <f ca="1">AVERAGE(OFFSET($R$3,0,0,'Données projet'!$E$9+1,1))-AVERAGE(OFFSET($H$3,0,0,'Données projet'!$E$9+1,1))</f>
        <v>320.30433416149219</v>
      </c>
      <c r="T131" s="59">
        <f t="shared" si="88"/>
        <v>201.33422682092797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166.72157016668734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166.72157016668734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68.356836128059342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763.00000000000057</v>
      </c>
      <c r="AJ131" s="13">
        <f>AI131*VLOOKUP('Données projet'!$B$10,Paramètres!$A$1:$I$89,3,0)*VLOOKUP('Données projet'!$B$10,Paramètres!$A$1:$I$89,5,0)</f>
        <v>456.2740000000004</v>
      </c>
      <c r="AK131" s="13">
        <f t="shared" si="89"/>
        <v>103.09649786611838</v>
      </c>
      <c r="AL131" s="20">
        <f t="shared" si="58"/>
        <v>974.23695045015677</v>
      </c>
      <c r="AM131" s="59">
        <f t="shared" si="59"/>
        <v>1261.5453495863744</v>
      </c>
      <c r="AN131" s="59">
        <f ca="1">AVERAGE(OFFSET($AM$3,0,0,'Données projet'!$E$10+1,1))-AVERAGE(OFFSET($H$3,0,0,'Données projet'!$E$10+1,1))</f>
        <v>569.80473816957431</v>
      </c>
      <c r="AO131" s="59">
        <f t="shared" si="90"/>
        <v>495.56567790763199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41.132877192167804</v>
      </c>
      <c r="AV131" s="21">
        <f>EXP(-LN(2)/25)*AV130+(1-EXP(-LN(2)/25))/(LN(2)/25)*Calculateur!AQ131*Calculateur!AS131*VLOOKUP('Données projet'!$B$10,Paramètres!$A$1:$I$89,3,0)*0.475*44/12</f>
        <v>4.3219732374440252</v>
      </c>
      <c r="AW131" s="21">
        <f>EXP(-LN(2)/2)*AW130+(1-EXP(-LN(2)/2))/(LN(2)/2)*AQ131*AT131*VLOOKUP('Données projet'!$B$10,Paramètres!$A$1:$I$89,3,0)*0.475*44/12</f>
        <v>1.395279658908263E-16</v>
      </c>
      <c r="AX131" s="21">
        <f t="shared" si="60"/>
        <v>45.454850429611831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68.356836128059342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-2.5006556825246661E-14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180.42749272334603</v>
      </c>
      <c r="BJ131" s="59">
        <f t="shared" si="92"/>
        <v>346.61476512497495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9.1816147985493313</v>
      </c>
      <c r="BQ131" s="21">
        <f>EXP(-LN(2)/25)*BQ130+(1-EXP(-LN(2)/25))/(LN(2)/25)*Calculateur!BL131*Calculateur!BN131*VLOOKUP('Données projet'!$B$11,Paramètres!$A$1:$I$89,3,0)*0.475*44/12</f>
        <v>1.0943056160076878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10.275920414557019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68.356836128059342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9.7500000000003695E-2</v>
      </c>
      <c r="BY131" s="12">
        <f>IF('Données projet'!$A$114&gt;35,BY130+BX131-CG130,IF(A131&lt;'Données projet'!$A$114,$BV$205^A131,IF(A131='Données projet'!$A$114,'Données projet'!$B$114,BY130+BX131-CG130)))</f>
        <v>163.35750000000041</v>
      </c>
      <c r="BZ131" s="13">
        <f>BY131*VLOOKUP('Données projet'!$B$12,Paramètres!$A$1:$I$89,3,0)*VLOOKUP('Données projet'!$B$12,Paramètres!$A$1:$I$89,5,0)</f>
        <v>147.80586600000038</v>
      </c>
      <c r="CA131" s="13">
        <f t="shared" si="93"/>
        <v>38.079533976001102</v>
      </c>
      <c r="CB131" s="20">
        <f t="shared" si="64"/>
        <v>323.75040495820258</v>
      </c>
      <c r="CC131" s="59">
        <f t="shared" si="65"/>
        <v>611.05880409442011</v>
      </c>
      <c r="CD131" s="59">
        <f ca="1">AVERAGE(OFFSET($CC$3,0,0,'Données projet'!$E$12+1,1))-AVERAGE(OFFSET($H$3,0,0,'Données projet'!$E$12+1,1))</f>
        <v>553.16421218123958</v>
      </c>
      <c r="CE131" s="59">
        <f t="shared" si="94"/>
        <v>291.73668613844416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228.3915709717601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228.3915709717601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68.356836128059342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9.7500000000003695E-2</v>
      </c>
      <c r="CT131" s="12">
        <f>IF('Données projet'!$A$140&gt;35,CT130+CS131-DB130,IF(A131&lt;'Données projet'!$A$140,$CQ$205^A131,IF(A131='Données projet'!$A$140,'Données projet'!$B$140,CT130+CS131-DB130)))</f>
        <v>163.35750000000041</v>
      </c>
      <c r="CU131" s="17">
        <f>CT131*VLOOKUP('Données projet'!$B$13,Paramètres!$A$1:$I$89,3,0)*VLOOKUP('Données projet'!$B$13,Paramètres!$A$1:$I$89,5,0)</f>
        <v>165.64450500000044</v>
      </c>
      <c r="CV131" s="13">
        <f t="shared" si="95"/>
        <v>42.113068971150504</v>
      </c>
      <c r="CW131" s="20">
        <f t="shared" si="67"/>
        <v>361.8444413330879</v>
      </c>
      <c r="CX131" s="59">
        <f t="shared" si="68"/>
        <v>649.15284046930549</v>
      </c>
      <c r="CY131" s="59">
        <f ca="1">AVERAGE(OFFSET($CX$3,0,0,'Données projet'!$E$13+1,1))-AVERAGE(OFFSET($H$3,0,0,'Données projet'!$E$13+1,1))</f>
        <v>611.82989382187804</v>
      </c>
      <c r="CZ131" s="59">
        <f t="shared" si="96"/>
        <v>320.34124600136363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255.95607091662777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255.95607091662777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68.356836128059342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9.7500000000003695E-2</v>
      </c>
      <c r="DO131" s="12">
        <f>IF('Données projet'!$A$166&gt;35,DO130+DN131-DW130,IF(A131&lt;'Données projet'!$A$166,$DL$205^A131,IF(A131='Données projet'!$A$166,'Données projet'!$B$166,DO130+DN131-DW130)))</f>
        <v>163.35750000000041</v>
      </c>
      <c r="DP131" s="17">
        <f>DO131*VLOOKUP('Données projet'!$B$14,Paramètres!$A$1:$I$89,3,0)*VLOOKUP('Données projet'!$B$14,Paramètres!$A$1:$I$89,5,0)</f>
        <v>175.83801300000044</v>
      </c>
      <c r="DQ131" s="13">
        <f t="shared" si="97"/>
        <v>44.394963803977951</v>
      </c>
      <c r="DR131" s="20">
        <f t="shared" si="70"/>
        <v>383.5724346002624</v>
      </c>
      <c r="DS131" s="59">
        <f t="shared" si="71"/>
        <v>670.88083373647999</v>
      </c>
      <c r="DT131" s="59">
        <f ca="1">AVERAGE(OFFSET($DS$3,0,0,'Données projet'!$E$14+1,1))-AVERAGE(OFFSET($H$3,0,0,'Données projet'!$E$14+1,1))</f>
        <v>645.29541304800614</v>
      </c>
      <c r="DU131" s="59">
        <f t="shared" si="98"/>
        <v>336.65580771733323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271.70721374226628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271.70721374226628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68.356836128059342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319</v>
      </c>
      <c r="EK131" s="17">
        <f>EJ131*VLOOKUP('Données projet'!$B$15,Paramètres!$A$1:$I$89,3,0)*VLOOKUP('Données projet'!$B$15,Paramètres!$A$1:$I$89,5,0)</f>
        <v>233.89079999999998</v>
      </c>
      <c r="EL131" s="13">
        <f t="shared" si="99"/>
        <v>57.123140349023068</v>
      </c>
      <c r="EM131" s="20">
        <f t="shared" si="73"/>
        <v>506.84927944121517</v>
      </c>
      <c r="EN131" s="59">
        <f t="shared" si="74"/>
        <v>794.15767857743276</v>
      </c>
      <c r="EO131" s="59">
        <f ca="1">AVERAGE(OFFSET($EN$3,0,0,'Données projet'!$E$15+1,1))-AVERAGE(OFFSET($H$3,0,0,'Données projet'!$E$15+1,1))</f>
        <v>343.31122043016137</v>
      </c>
      <c r="EP131" s="59">
        <f t="shared" si="100"/>
        <v>333.61098411258877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15.364958656194439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15.364958656194439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68.356836128059342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319</v>
      </c>
      <c r="FF131" s="17">
        <f>FE131*VLOOKUP('Données projet'!$B$16,Paramètres!$A$1:$I$89,3,0)*VLOOKUP('Données projet'!$B$16,Paramètres!$A$1:$I$89,5,0)</f>
        <v>253.79640000000001</v>
      </c>
      <c r="FG131" s="13">
        <f t="shared" si="101"/>
        <v>61.39816832228076</v>
      </c>
      <c r="FH131" s="20">
        <f t="shared" si="76"/>
        <v>548.96387316130563</v>
      </c>
      <c r="FI131" s="59">
        <f t="shared" si="77"/>
        <v>836.27227229752316</v>
      </c>
      <c r="FJ131" s="59">
        <f ca="1">AVERAGE(OFFSET($FI$3,0,0,'Données projet'!$E$16+1,1))-AVERAGE(OFFSET($H$3,0,0,'Données projet'!$E$16+1,1))</f>
        <v>368.12945163484585</v>
      </c>
      <c r="FK131" s="59">
        <f t="shared" si="102"/>
        <v>357.27183934545121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20.549966970654904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20.549966970654904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68.356836128059342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68.356836128059342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3.0869565217391299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11.318840579710143</v>
      </c>
      <c r="H132" s="66">
        <f t="shared" ref="H132:H195" si="110">(B132+E132+F132)*44/12+(C132+D132)*0.475*44/12</f>
        <v>211.39130434782609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68.385341347673446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5.2499999999990337</v>
      </c>
      <c r="O132" s="13">
        <f>N132*VLOOKUP('Données projet'!$B$9,Paramètres!$A$1:$I$89,3,0)*VLOOKUP('Données projet'!$B$9,Paramètres!$A$1:$I$89,5,0)</f>
        <v>2.4569999999995478</v>
      </c>
      <c r="P132" s="13">
        <f t="shared" si="87"/>
        <v>1.0197977774625564</v>
      </c>
      <c r="Q132" s="20">
        <f t="shared" si="108"/>
        <v>6.0554227957464972</v>
      </c>
      <c r="R132" s="59">
        <f t="shared" si="109"/>
        <v>293.46834107054912</v>
      </c>
      <c r="S132" s="59">
        <f ca="1">AVERAGE(OFFSET($R$3,0,0,'Données projet'!$E$9+1,1))-AVERAGE(OFFSET($H$3,0,0,'Données projet'!$E$9+1,1))</f>
        <v>320.30433416149219</v>
      </c>
      <c r="T132" s="59">
        <f t="shared" si="88"/>
        <v>201.33422682092797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163.45226186583534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163.45226186583534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68.385341347673446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763.00000000000057</v>
      </c>
      <c r="AJ132" s="13">
        <f>AI132*VLOOKUP('Données projet'!$B$10,Paramètres!$A$1:$I$89,3,0)*VLOOKUP('Données projet'!$B$10,Paramètres!$A$1:$I$89,5,0)</f>
        <v>456.2740000000004</v>
      </c>
      <c r="AK132" s="13">
        <f t="shared" si="89"/>
        <v>103.09649786611838</v>
      </c>
      <c r="AL132" s="20">
        <f t="shared" ref="AL132:AL153" si="112">(AJ132+AK132)*0.475*44/12</f>
        <v>974.23695045015677</v>
      </c>
      <c r="AM132" s="59">
        <f t="shared" ref="AM132:AM195" si="113">AL132+(AD132+AE132)*44/12</f>
        <v>1261.6498687249593</v>
      </c>
      <c r="AN132" s="59">
        <f ca="1">AVERAGE(OFFSET($AM$3,0,0,'Données projet'!$E$10+1,1))-AVERAGE(OFFSET($H$3,0,0,'Données projet'!$E$10+1,1))</f>
        <v>569.80473816957431</v>
      </c>
      <c r="AO132" s="59">
        <f t="shared" si="90"/>
        <v>495.56567790763199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40.326286559007187</v>
      </c>
      <c r="AV132" s="21">
        <f>EXP(-LN(2)/25)*AV131+(1-EXP(-LN(2)/25))/(LN(2)/25)*Calculateur!AQ132*Calculateur!AS132*VLOOKUP('Données projet'!$B$10,Paramètres!$A$1:$I$89,3,0)*0.475*44/12</f>
        <v>4.203788651983424</v>
      </c>
      <c r="AW132" s="21">
        <f>EXP(-LN(2)/2)*AW131+(1-EXP(-LN(2)/2))/(LN(2)/2)*AQ132*AT132*VLOOKUP('Données projet'!$B$10,Paramètres!$A$1:$I$89,3,0)*0.475*44/12</f>
        <v>9.8661170846568579E-17</v>
      </c>
      <c r="AX132" s="21">
        <f t="shared" ref="AX132:AX153" si="114">SUM(AU132:AW132)</f>
        <v>44.53007521099061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68.385341347673446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-2.5006556825246661E-14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180.42749272334603</v>
      </c>
      <c r="BJ132" s="59">
        <f t="shared" si="92"/>
        <v>346.61476512497495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9.0015689325818293</v>
      </c>
      <c r="BQ132" s="21">
        <f>EXP(-LN(2)/25)*BQ131+(1-EXP(-LN(2)/25))/(LN(2)/25)*Calculateur!BL132*Calculateur!BN132*VLOOKUP('Données projet'!$B$11,Paramètres!$A$1:$I$89,3,0)*0.475*44/12</f>
        <v>1.0643817713909263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10.065950703972756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68.385341347673446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9.7500000000003695E-2</v>
      </c>
      <c r="BY132" s="12">
        <f>IF('Données projet'!$A$114&gt;35,BY131+BX132-CG131,IF(A132&lt;'Données projet'!$A$114,$BV$205^A132,IF(A132='Données projet'!$A$114,'Données projet'!$B$114,BY131+BX132-CG131)))</f>
        <v>163.45500000000041</v>
      </c>
      <c r="BZ132" s="13">
        <f>BY132*VLOOKUP('Données projet'!$B$12,Paramètres!$A$1:$I$89,3,0)*VLOOKUP('Données projet'!$B$12,Paramètres!$A$1:$I$89,5,0)</f>
        <v>147.89408400000036</v>
      </c>
      <c r="CA132" s="13">
        <f t="shared" si="93"/>
        <v>38.099615551686391</v>
      </c>
      <c r="CB132" s="20">
        <f t="shared" ref="CB132:CB153" si="118">(BZ132+CA132)*0.475*44/12</f>
        <v>323.93902671918772</v>
      </c>
      <c r="CC132" s="59">
        <f t="shared" ref="CC132:CC195" si="119">CB132+(BT132+BU132)*44/12</f>
        <v>611.3519449939904</v>
      </c>
      <c r="CD132" s="59">
        <f ca="1">AVERAGE(OFFSET($CC$3,0,0,'Données projet'!$E$12+1,1))-AVERAGE(OFFSET($H$3,0,0,'Données projet'!$E$12+1,1))</f>
        <v>553.16421218123958</v>
      </c>
      <c r="CE132" s="59">
        <f t="shared" si="94"/>
        <v>291.73668613844416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223.91295157010694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223.91295157010694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68.385341347673446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9.7500000000003695E-2</v>
      </c>
      <c r="CT132" s="12">
        <f>IF('Données projet'!$A$140&gt;35,CT131+CS132-DB131,IF(A132&lt;'Données projet'!$A$140,$CQ$205^A132,IF(A132='Données projet'!$A$140,'Données projet'!$B$140,CT131+CS132-DB131)))</f>
        <v>163.45500000000041</v>
      </c>
      <c r="CU132" s="17">
        <f>CT132*VLOOKUP('Données projet'!$B$13,Paramètres!$A$1:$I$89,3,0)*VLOOKUP('Données projet'!$B$13,Paramètres!$A$1:$I$89,5,0)</f>
        <v>165.74337000000043</v>
      </c>
      <c r="CV132" s="13">
        <f t="shared" si="95"/>
        <v>42.135277666835059</v>
      </c>
      <c r="CW132" s="20">
        <f t="shared" ref="CW132:CW153" si="121">(CU132+CV132)*0.475*44/12</f>
        <v>362.05531135307177</v>
      </c>
      <c r="CX132" s="59">
        <f t="shared" ref="CX132:CX195" si="122">CW132+(CO132+CP132)*44/12</f>
        <v>649.46822962787439</v>
      </c>
      <c r="CY132" s="59">
        <f ca="1">AVERAGE(OFFSET($CX$3,0,0,'Données projet'!$E$13+1,1))-AVERAGE(OFFSET($H$3,0,0,'Données projet'!$E$13+1,1))</f>
        <v>611.82989382187804</v>
      </c>
      <c r="CZ132" s="59">
        <f t="shared" si="96"/>
        <v>320.34124600136363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250.93692848374062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250.93692848374062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68.385341347673446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9.7500000000003695E-2</v>
      </c>
      <c r="DO132" s="12">
        <f>IF('Données projet'!$A$166&gt;35,DO131+DN132-DW131,IF(A132&lt;'Données projet'!$A$166,$DL$205^A132,IF(A132='Données projet'!$A$166,'Données projet'!$B$166,DO131+DN132-DW131)))</f>
        <v>163.45500000000041</v>
      </c>
      <c r="DP132" s="17">
        <f>DO132*VLOOKUP('Données projet'!$B$14,Paramètres!$A$1:$I$89,3,0)*VLOOKUP('Données projet'!$B$14,Paramètres!$A$1:$I$89,5,0)</f>
        <v>175.94296200000042</v>
      </c>
      <c r="DQ132" s="13">
        <f t="shared" si="97"/>
        <v>44.418375876884021</v>
      </c>
      <c r="DR132" s="20">
        <f t="shared" ref="DR132:DR153" si="124">(DP132+DQ132)*0.475*44/12</f>
        <v>383.79599680224038</v>
      </c>
      <c r="DS132" s="59">
        <f t="shared" ref="DS132:DS195" si="125">DR132+(DJ132+DK132)*44/12</f>
        <v>671.208915077043</v>
      </c>
      <c r="DT132" s="59">
        <f ca="1">AVERAGE(OFFSET($DS$3,0,0,'Données projet'!$E$14+1,1))-AVERAGE(OFFSET($H$3,0,0,'Données projet'!$E$14+1,1))</f>
        <v>645.29541304800614</v>
      </c>
      <c r="DU132" s="59">
        <f t="shared" si="98"/>
        <v>336.65580771733323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266.37920100581681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266.37920100581681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68.385341347673446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319</v>
      </c>
      <c r="EK132" s="17">
        <f>EJ132*VLOOKUP('Données projet'!$B$15,Paramètres!$A$1:$I$89,3,0)*VLOOKUP('Données projet'!$B$15,Paramètres!$A$1:$I$89,5,0)</f>
        <v>233.89079999999998</v>
      </c>
      <c r="EL132" s="13">
        <f t="shared" si="99"/>
        <v>57.123140349023068</v>
      </c>
      <c r="EM132" s="20">
        <f t="shared" ref="EM132:EM153" si="127">(EK132+EL132)*0.475*44/12</f>
        <v>506.84927944121517</v>
      </c>
      <c r="EN132" s="59">
        <f t="shared" ref="EN132:EN195" si="128">EM132+(EE132+EF132)*44/12</f>
        <v>794.26219771601779</v>
      </c>
      <c r="EO132" s="59">
        <f ca="1">AVERAGE(OFFSET($EN$3,0,0,'Données projet'!$E$15+1,1))-AVERAGE(OFFSET($H$3,0,0,'Données projet'!$E$15+1,1))</f>
        <v>343.31122043016137</v>
      </c>
      <c r="EP132" s="59">
        <f t="shared" si="100"/>
        <v>333.61098411258877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15.063661188645868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15.063661188645868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68.385341347673446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319</v>
      </c>
      <c r="FF132" s="17">
        <f>FE132*VLOOKUP('Données projet'!$B$16,Paramètres!$A$1:$I$89,3,0)*VLOOKUP('Données projet'!$B$16,Paramètres!$A$1:$I$89,5,0)</f>
        <v>253.79640000000001</v>
      </c>
      <c r="FG132" s="13">
        <f t="shared" si="101"/>
        <v>61.39816832228076</v>
      </c>
      <c r="FH132" s="20">
        <f t="shared" ref="FH132:FH153" si="130">(FF132+FG132)*0.475*44/12</f>
        <v>548.96387316130563</v>
      </c>
      <c r="FI132" s="59">
        <f t="shared" ref="FI132:FI195" si="131">FH132+(EZ132+FA132)*44/12</f>
        <v>836.37679143610831</v>
      </c>
      <c r="FJ132" s="59">
        <f ca="1">AVERAGE(OFFSET($FI$3,0,0,'Données projet'!$E$16+1,1))-AVERAGE(OFFSET($H$3,0,0,'Données projet'!$E$16+1,1))</f>
        <v>368.12945163484585</v>
      </c>
      <c r="FK132" s="59">
        <f t="shared" si="102"/>
        <v>357.27183934545121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20.146994652602558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20.146994652602558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68.385341347673446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68.385341347673446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3.0869565217391299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11.318840579710143</v>
      </c>
      <c r="H133" s="66">
        <f t="shared" si="110"/>
        <v>211.39130434782609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68.413352065455356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5.2499999999990337</v>
      </c>
      <c r="O133" s="13">
        <f>N133*VLOOKUP('Données projet'!$B$9,Paramètres!$A$1:$I$89,3,0)*VLOOKUP('Données projet'!$B$9,Paramètres!$A$1:$I$89,5,0)</f>
        <v>2.4569999999995478</v>
      </c>
      <c r="P133" s="13">
        <f t="shared" ref="P133:P196" si="141">EXP(-1.0587+0.8836*LN(O133)+0.284)</f>
        <v>1.0197977774625564</v>
      </c>
      <c r="Q133" s="20">
        <f t="shared" si="108"/>
        <v>6.0554227957464972</v>
      </c>
      <c r="R133" s="59">
        <f t="shared" si="109"/>
        <v>293.57104703574947</v>
      </c>
      <c r="S133" s="59">
        <f ca="1">AVERAGE(OFFSET($R$3,0,0,'Données projet'!$E$9+1,1))-AVERAGE(OFFSET($H$3,0,0,'Données projet'!$E$9+1,1))</f>
        <v>320.30433416149219</v>
      </c>
      <c r="T133" s="59">
        <f t="shared" ref="T133:T196" si="142">$T$3</f>
        <v>201.33422682092797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160.24706270668187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160.24706270668187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68.413352065455356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763.00000000000057</v>
      </c>
      <c r="AJ133" s="13">
        <f>AI133*VLOOKUP('Données projet'!$B$10,Paramètres!$A$1:$I$89,3,0)*VLOOKUP('Données projet'!$B$10,Paramètres!$A$1:$I$89,5,0)</f>
        <v>456.2740000000004</v>
      </c>
      <c r="AK133" s="13">
        <f t="shared" ref="AK133:AK153" si="143">EXP(-1.0587+0.8836*LN(AJ133)+0.284)</f>
        <v>103.09649786611838</v>
      </c>
      <c r="AL133" s="20">
        <f t="shared" si="112"/>
        <v>974.23695045015677</v>
      </c>
      <c r="AM133" s="59">
        <f t="shared" si="113"/>
        <v>1261.7525746901597</v>
      </c>
      <c r="AN133" s="59">
        <f ca="1">AVERAGE(OFFSET($AM$3,0,0,'Données projet'!$E$10+1,1))-AVERAGE(OFFSET($H$3,0,0,'Données projet'!$E$10+1,1))</f>
        <v>569.80473816957431</v>
      </c>
      <c r="AO133" s="59">
        <f t="shared" ref="AO133:AO196" si="144">$AO$3</f>
        <v>495.56567790763199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39.535512676191146</v>
      </c>
      <c r="AV133" s="21">
        <f>EXP(-LN(2)/25)*AV132+(1-EXP(-LN(2)/25))/(LN(2)/25)*Calculateur!AQ133*Calculateur!AS133*VLOOKUP('Données projet'!$B$10,Paramètres!$A$1:$I$89,3,0)*0.475*44/12</f>
        <v>4.0888358302272998</v>
      </c>
      <c r="AW133" s="21">
        <f>EXP(-LN(2)/2)*AW132+(1-EXP(-LN(2)/2))/(LN(2)/2)*AQ133*AT133*VLOOKUP('Données projet'!$B$10,Paramètres!$A$1:$I$89,3,0)*0.475*44/12</f>
        <v>6.9763982945413149E-17</v>
      </c>
      <c r="AX133" s="21">
        <f t="shared" si="114"/>
        <v>43.624348506418443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68.413352065455356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-2.5006556825246661E-14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180.42749272334603</v>
      </c>
      <c r="BJ133" s="59">
        <f t="shared" ref="BJ133:BJ196" si="146">$BJ$3</f>
        <v>346.61476512497495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8.8250536562288158</v>
      </c>
      <c r="BQ133" s="21">
        <f>EXP(-LN(2)/25)*BQ132+(1-EXP(-LN(2)/25))/(LN(2)/25)*Calculateur!BL133*Calculateur!BN133*VLOOKUP('Données projet'!$B$11,Paramètres!$A$1:$I$89,3,0)*0.475*44/12</f>
        <v>1.0352761958788368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9.8603298521076521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68.413352065455356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9.7500000000003695E-2</v>
      </c>
      <c r="BY133" s="12">
        <f>IF('Données projet'!$A$114&gt;35,BY132+BX133-CG132,IF(A133&lt;'Données projet'!$A$114,$BV$205^A133,IF(A133='Données projet'!$A$114,'Données projet'!$B$114,BY132+BX133-CG132)))</f>
        <v>163.55250000000041</v>
      </c>
      <c r="BZ133" s="13">
        <f>BY133*VLOOKUP('Données projet'!$B$12,Paramètres!$A$1:$I$89,3,0)*VLOOKUP('Données projet'!$B$12,Paramètres!$A$1:$I$89,5,0)</f>
        <v>147.98230200000037</v>
      </c>
      <c r="CA133" s="13">
        <f t="shared" ref="CA133:CA153" si="147">EXP(-1.0587+0.8836*LN(BZ133)+0.284)</f>
        <v>38.119695733116984</v>
      </c>
      <c r="CB133" s="20">
        <f t="shared" si="118"/>
        <v>324.127646051846</v>
      </c>
      <c r="CC133" s="59">
        <f t="shared" si="119"/>
        <v>611.64327029184892</v>
      </c>
      <c r="CD133" s="59">
        <f ca="1">AVERAGE(OFFSET($CC$3,0,0,'Données projet'!$E$12+1,1))-AVERAGE(OFFSET($H$3,0,0,'Données projet'!$E$12+1,1))</f>
        <v>553.16421218123958</v>
      </c>
      <c r="CE133" s="59">
        <f t="shared" ref="CE133:CE196" si="148">$CE$3</f>
        <v>291.73668613844416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219.5221551632321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219.5221551632321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68.413352065455356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9.7500000000003695E-2</v>
      </c>
      <c r="CT133" s="12">
        <f>IF('Données projet'!$A$140&gt;35,CT132+CS133-DB132,IF(A133&lt;'Données projet'!$A$140,$CQ$205^A133,IF(A133='Données projet'!$A$140,'Données projet'!$B$140,CT132+CS133-DB132)))</f>
        <v>163.55250000000041</v>
      </c>
      <c r="CU133" s="17">
        <f>CT133*VLOOKUP('Données projet'!$B$13,Paramètres!$A$1:$I$89,3,0)*VLOOKUP('Données projet'!$B$13,Paramètres!$A$1:$I$89,5,0)</f>
        <v>165.84223500000041</v>
      </c>
      <c r="CV133" s="13">
        <f t="shared" ref="CV133:CV153" si="149">EXP(-1.0587+0.8836*LN(CU133)+0.284)</f>
        <v>42.157484820579974</v>
      </c>
      <c r="CW133" s="20">
        <f t="shared" si="121"/>
        <v>362.26617868751083</v>
      </c>
      <c r="CX133" s="59">
        <f t="shared" si="122"/>
        <v>649.78180292751381</v>
      </c>
      <c r="CY133" s="59">
        <f ca="1">AVERAGE(OFFSET($CX$3,0,0,'Données projet'!$E$13+1,1))-AVERAGE(OFFSET($H$3,0,0,'Données projet'!$E$13+1,1))</f>
        <v>611.82989382187804</v>
      </c>
      <c r="CZ133" s="59">
        <f t="shared" ref="CZ133:CZ196" si="150">$CZ$3</f>
        <v>320.34124600136363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246.01620837258778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246.01620837258778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68.413352065455356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9.7500000000003695E-2</v>
      </c>
      <c r="DO133" s="12">
        <f>IF('Données projet'!$A$166&gt;35,DO132+DN133-DW132,IF(A133&lt;'Données projet'!$A$166,$DL$205^A133,IF(A133='Données projet'!$A$166,'Données projet'!$B$166,DO132+DN133-DW132)))</f>
        <v>163.55250000000041</v>
      </c>
      <c r="DP133" s="17">
        <f>DO133*VLOOKUP('Données projet'!$B$14,Paramètres!$A$1:$I$89,3,0)*VLOOKUP('Données projet'!$B$14,Paramètres!$A$1:$I$89,5,0)</f>
        <v>176.04791100000043</v>
      </c>
      <c r="DQ133" s="13">
        <f t="shared" ref="DQ133:DQ153" si="151">EXP(-1.0587+0.8836*LN(DP133)+0.284)</f>
        <v>44.44178632430048</v>
      </c>
      <c r="DR133" s="20">
        <f t="shared" si="124"/>
        <v>384.01955617315735</v>
      </c>
      <c r="DS133" s="59">
        <f t="shared" si="125"/>
        <v>671.53518041316033</v>
      </c>
      <c r="DT133" s="59">
        <f ca="1">AVERAGE(OFFSET($DS$3,0,0,'Données projet'!$E$14+1,1))-AVERAGE(OFFSET($H$3,0,0,'Données projet'!$E$14+1,1))</f>
        <v>645.29541304800614</v>
      </c>
      <c r="DU133" s="59">
        <f t="shared" ref="DU133:DU196" si="152">$DU$3</f>
        <v>336.65580771733323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261.15566734936226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261.15566734936226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68.413352065455356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319</v>
      </c>
      <c r="EK133" s="17">
        <f>EJ133*VLOOKUP('Données projet'!$B$15,Paramètres!$A$1:$I$89,3,0)*VLOOKUP('Données projet'!$B$15,Paramètres!$A$1:$I$89,5,0)</f>
        <v>233.89079999999998</v>
      </c>
      <c r="EL133" s="13">
        <f t="shared" ref="EL133:EL153" si="153">EXP(-1.0587+0.8836*LN(EK133)+0.284)</f>
        <v>57.123140349023068</v>
      </c>
      <c r="EM133" s="20">
        <f t="shared" si="127"/>
        <v>506.84927944121517</v>
      </c>
      <c r="EN133" s="59">
        <f t="shared" si="128"/>
        <v>794.36490368121815</v>
      </c>
      <c r="EO133" s="59">
        <f ca="1">AVERAGE(OFFSET($EN$3,0,0,'Données projet'!$E$15+1,1))-AVERAGE(OFFSET($H$3,0,0,'Données projet'!$E$15+1,1))</f>
        <v>343.31122043016137</v>
      </c>
      <c r="EP133" s="59">
        <f t="shared" ref="EP133:EP196" si="154">$EP$3</f>
        <v>333.61098411258877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14.768271980662616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14.768271980662616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68.413352065455356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319</v>
      </c>
      <c r="FF133" s="17">
        <f>FE133*VLOOKUP('Données projet'!$B$16,Paramètres!$A$1:$I$89,3,0)*VLOOKUP('Données projet'!$B$16,Paramètres!$A$1:$I$89,5,0)</f>
        <v>253.79640000000001</v>
      </c>
      <c r="FG133" s="13">
        <f t="shared" ref="FG133:FG153" si="155">EXP(-1.0587+0.8836*LN(FF133)+0.284)</f>
        <v>61.39816832228076</v>
      </c>
      <c r="FH133" s="20">
        <f t="shared" si="130"/>
        <v>548.96387316130563</v>
      </c>
      <c r="FI133" s="59">
        <f t="shared" si="131"/>
        <v>836.47949740130866</v>
      </c>
      <c r="FJ133" s="59">
        <f ca="1">AVERAGE(OFFSET($FI$3,0,0,'Données projet'!$E$16+1,1))-AVERAGE(OFFSET($H$3,0,0,'Données projet'!$E$16+1,1))</f>
        <v>368.12945163484585</v>
      </c>
      <c r="FK133" s="59">
        <f t="shared" ref="FK133:FK196" si="156">$FK$3</f>
        <v>357.27183934545121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19.751924375918374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19.751924375918374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68.413352065455356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68.413352065455356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3.0869565217391299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11.318840579710143</v>
      </c>
      <c r="H134" s="66">
        <f t="shared" si="110"/>
        <v>211.39130434782609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68.440876859906325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5.2499999999990337</v>
      </c>
      <c r="O134" s="13">
        <f>N134*VLOOKUP('Données projet'!$B$9,Paramètres!$A$1:$I$89,3,0)*VLOOKUP('Données projet'!$B$9,Paramètres!$A$1:$I$89,5,0)</f>
        <v>2.4569999999995478</v>
      </c>
      <c r="P134" s="13">
        <f t="shared" si="141"/>
        <v>1.0197977774625564</v>
      </c>
      <c r="Q134" s="20">
        <f t="shared" si="108"/>
        <v>6.0554227957464972</v>
      </c>
      <c r="R134" s="59">
        <f t="shared" si="109"/>
        <v>293.67197128206971</v>
      </c>
      <c r="S134" s="59">
        <f ca="1">AVERAGE(OFFSET($R$3,0,0,'Données projet'!$E$9+1,1))-AVERAGE(OFFSET($H$3,0,0,'Données projet'!$E$9+1,1))</f>
        <v>320.30433416149219</v>
      </c>
      <c r="T134" s="59">
        <f t="shared" si="142"/>
        <v>201.33422682092797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157.10471554806097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157.10471554806097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68.440876859906325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763.00000000000057</v>
      </c>
      <c r="AJ134" s="13">
        <f>AI134*VLOOKUP('Données projet'!$B$10,Paramètres!$A$1:$I$89,3,0)*VLOOKUP('Données projet'!$B$10,Paramètres!$A$1:$I$89,5,0)</f>
        <v>456.2740000000004</v>
      </c>
      <c r="AK134" s="13">
        <f t="shared" si="143"/>
        <v>103.09649786611838</v>
      </c>
      <c r="AL134" s="20">
        <f t="shared" si="112"/>
        <v>974.23695045015677</v>
      </c>
      <c r="AM134" s="59">
        <f t="shared" si="113"/>
        <v>1261.85349893648</v>
      </c>
      <c r="AN134" s="59">
        <f ca="1">AVERAGE(OFFSET($AM$3,0,0,'Données projet'!$E$10+1,1))-AVERAGE(OFFSET($H$3,0,0,'Données projet'!$E$10+1,1))</f>
        <v>569.80473816957431</v>
      </c>
      <c r="AO134" s="59">
        <f t="shared" si="144"/>
        <v>495.56567790763199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38.760245386892684</v>
      </c>
      <c r="AV134" s="21">
        <f>EXP(-LN(2)/25)*AV133+(1-EXP(-LN(2)/25))/(LN(2)/25)*Calculateur!AQ134*Calculateur!AS134*VLOOKUP('Données projet'!$B$10,Paramètres!$A$1:$I$89,3,0)*0.475*44/12</f>
        <v>3.9770263994272033</v>
      </c>
      <c r="AW134" s="21">
        <f>EXP(-LN(2)/2)*AW133+(1-EXP(-LN(2)/2))/(LN(2)/2)*AQ134*AT134*VLOOKUP('Données projet'!$B$10,Paramètres!$A$1:$I$89,3,0)*0.475*44/12</f>
        <v>4.9330585423284289E-17</v>
      </c>
      <c r="AX134" s="21">
        <f t="shared" si="114"/>
        <v>42.737271786319887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68.440876859906325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-2.5006556825246661E-14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180.42749272334603</v>
      </c>
      <c r="BJ134" s="59">
        <f t="shared" si="146"/>
        <v>346.61476512497495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8.6519997367813968</v>
      </c>
      <c r="BQ134" s="21">
        <f>EXP(-LN(2)/25)*BQ133+(1-EXP(-LN(2)/25))/(LN(2)/25)*Calculateur!BL134*Calculateur!BN134*VLOOKUP('Données projet'!$B$11,Paramètres!$A$1:$I$89,3,0)*0.475*44/12</f>
        <v>1.006966513859721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9.658966250641118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68.440876859906325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163.65</v>
      </c>
      <c r="BW134" s="12">
        <f>VLOOKUP(A134,'Données projet'!$A$113:$I$133,9,0)</f>
        <v>9.7500000000003695E-2</v>
      </c>
      <c r="BX134" s="12">
        <f t="array" ref="BX134">INDEX(BW:BW,MIN(IF(ISNUMBER(BW134:BW330),ROW(BW134:BW330),"")))</f>
        <v>9.7500000000003695E-2</v>
      </c>
      <c r="BY134" s="12">
        <f>IF('Données projet'!$A$114&gt;35,BY133+BX134-CG133,IF(A134&lt;'Données projet'!$A$114,$BV$205^A134,IF(A134='Données projet'!$A$114,'Données projet'!$B$114,BY133+BX134-CG133)))</f>
        <v>163.6500000000004</v>
      </c>
      <c r="BZ134" s="13">
        <f>BY134*VLOOKUP('Données projet'!$B$12,Paramètres!$A$1:$I$89,3,0)*VLOOKUP('Données projet'!$B$12,Paramètres!$A$1:$I$89,5,0)</f>
        <v>148.07052000000036</v>
      </c>
      <c r="CA134" s="13">
        <f t="shared" si="147"/>
        <v>38.139774521220701</v>
      </c>
      <c r="CB134" s="20">
        <f t="shared" si="118"/>
        <v>324.3162629577933</v>
      </c>
      <c r="CC134" s="59">
        <f t="shared" si="119"/>
        <v>611.93281144411651</v>
      </c>
      <c r="CD134" s="59">
        <f ca="1">AVERAGE(OFFSET($CC$3,0,0,'Données projet'!$E$12+1,1))-AVERAGE(OFFSET($H$3,0,0,'Données projet'!$E$12+1,1))</f>
        <v>553.16421218123958</v>
      </c>
      <c r="CE134" s="59">
        <f t="shared" si="148"/>
        <v>291.73668613844416</v>
      </c>
      <c r="CF134" s="15">
        <f>IF(ISNA(VLOOKUP(A134,'Données projet'!$A$113:$I$133,3,0)),0,VLOOKUP(A134,'Données projet'!$A$113:$I$133,3,0))</f>
        <v>14</v>
      </c>
      <c r="CG134" s="15">
        <f>IF(ISNA(VLOOKUP(A134,'Données projet'!$A$113:$I$133,4,0)),0,VLOOKUP(A134,'Données projet'!$A$113:$I$133,4,0))</f>
        <v>143.84</v>
      </c>
      <c r="CH134" s="16">
        <f>IF(ISNA(VLOOKUP(A134,'Données projet'!$A$113:$I$133,5,0)),0%,VLOOKUP(A134,'Données projet'!$A$113:$I$133,5,0)*VLOOKUP('Données projet'!$B$12,Paramètres!$A$1:$I$89,7,0))</f>
        <v>0.43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277.08286059427138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277.08286059427138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68.440876859906325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>
        <f>VLOOKUP(A134,'Données projet'!$A$139:$I$159,2,0)</f>
        <v>163.65</v>
      </c>
      <c r="CR134" s="12">
        <f>VLOOKUP(A134,'Données projet'!$A$139:$I$159,9,0)</f>
        <v>9.7500000000003695E-2</v>
      </c>
      <c r="CS134" s="12">
        <f t="array" ref="CS134">INDEX(CR:CR,MIN(IF(ISNUMBER(CR134:CR330),ROW(CR134:CR330),"")))</f>
        <v>9.7500000000003695E-2</v>
      </c>
      <c r="CT134" s="12">
        <f>IF('Données projet'!$A$140&gt;35,CT133+CS134-DB133,IF(A134&lt;'Données projet'!$A$140,$CQ$205^A134,IF(A134='Données projet'!$A$140,'Données projet'!$B$140,CT133+CS134-DB133)))</f>
        <v>163.6500000000004</v>
      </c>
      <c r="CU134" s="17">
        <f>CT134*VLOOKUP('Données projet'!$B$13,Paramètres!$A$1:$I$89,3,0)*VLOOKUP('Données projet'!$B$13,Paramètres!$A$1:$I$89,5,0)</f>
        <v>165.94110000000043</v>
      </c>
      <c r="CV134" s="13">
        <f t="shared" si="149"/>
        <v>42.179690433411352</v>
      </c>
      <c r="CW134" s="20">
        <f t="shared" si="121"/>
        <v>362.47704333819223</v>
      </c>
      <c r="CX134" s="59">
        <f t="shared" si="122"/>
        <v>650.09359182451544</v>
      </c>
      <c r="CY134" s="59">
        <f ca="1">AVERAGE(OFFSET($CX$3,0,0,'Données projet'!$E$13+1,1))-AVERAGE(OFFSET($H$3,0,0,'Données projet'!$E$13+1,1))</f>
        <v>611.82989382187804</v>
      </c>
      <c r="CZ134" s="59">
        <f t="shared" si="150"/>
        <v>320.34124600136363</v>
      </c>
      <c r="DA134" s="15">
        <f>IF(ISNA(VLOOKUP(A134,'Données projet'!$A$139:$I$159,3,0)),0,VLOOKUP(A134,'Données projet'!$A$139:$I$159,3,0))</f>
        <v>14</v>
      </c>
      <c r="DB134" s="15">
        <f>IF(ISNA(VLOOKUP(A134,'Données projet'!$A$139:$I$159,4,0)),0,VLOOKUP(A134,'Données projet'!$A$139:$I$159,4,0))</f>
        <v>143.84</v>
      </c>
      <c r="DC134" s="16">
        <f>IF(ISNA(VLOOKUP(A134,'Données projet'!$A$139:$I$159,5,0)),0%,VLOOKUP(A134,'Données projet'!$A$139:$I$159,5,0)*VLOOKUP('Données projet'!$B$13,Paramètres!$A$1:$I$89,7,0))</f>
        <v>0.43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310.52389549358008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310.52389549358008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68.440876859906325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>
        <f>VLOOKUP(A134,'Données projet'!$A$165:$I$185,2,0)</f>
        <v>163.65</v>
      </c>
      <c r="DM134" s="12">
        <f>VLOOKUP(A134,'Données projet'!$A$165:$I$185,9,0)</f>
        <v>9.7500000000003695E-2</v>
      </c>
      <c r="DN134" s="12">
        <f t="array" ref="DN134">INDEX(DM:DM,MIN(IF(ISNUMBER(DM134:DM330),ROW(DM134:DM330),"")))</f>
        <v>9.7500000000003695E-2</v>
      </c>
      <c r="DO134" s="12">
        <f>IF('Données projet'!$A$166&gt;35,DO133+DN134-DW133,IF(A134&lt;'Données projet'!$A$166,$DL$205^A134,IF(A134='Données projet'!$A$166,'Données projet'!$B$166,DO133+DN134-DW133)))</f>
        <v>163.6500000000004</v>
      </c>
      <c r="DP134" s="17">
        <f>DO134*VLOOKUP('Données projet'!$B$14,Paramètres!$A$1:$I$89,3,0)*VLOOKUP('Données projet'!$B$14,Paramètres!$A$1:$I$89,5,0)</f>
        <v>176.15286000000043</v>
      </c>
      <c r="DQ134" s="13">
        <f t="shared" si="151"/>
        <v>44.465195147309032</v>
      </c>
      <c r="DR134" s="20">
        <f t="shared" si="124"/>
        <v>384.24311271489728</v>
      </c>
      <c r="DS134" s="59">
        <f t="shared" si="125"/>
        <v>671.85966120122043</v>
      </c>
      <c r="DT134" s="59">
        <f ca="1">AVERAGE(OFFSET($DS$3,0,0,'Données projet'!$E$14+1,1))-AVERAGE(OFFSET($H$3,0,0,'Données projet'!$E$14+1,1))</f>
        <v>645.29541304800614</v>
      </c>
      <c r="DU134" s="59">
        <f t="shared" si="152"/>
        <v>336.65580771733323</v>
      </c>
      <c r="DV134" s="15">
        <f>IF(ISNA(VLOOKUP(A134,'Données projet'!$A$165:$I$185,3,0)),0,VLOOKUP(A134,'Données projet'!$A$165:$I$185,3,0))</f>
        <v>14</v>
      </c>
      <c r="DW134" s="15">
        <f>IF(ISNA(VLOOKUP(A134,'Données projet'!$A$165:$I$185,4,0)),0,VLOOKUP(A134,'Données projet'!$A$165:$I$185,4,0))</f>
        <v>143.84</v>
      </c>
      <c r="DX134" s="16">
        <f>IF(ISNA(VLOOKUP(A134,'Données projet'!$A$165:$I$185,5,0)),0%,VLOOKUP(A134,'Données projet'!$A$165:$I$185,5,0)*VLOOKUP('Données projet'!$B$14,Paramètres!$A$1:$I$89,7,0))</f>
        <v>0.43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329.63305829318489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329.63305829318489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68.440876859906325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319</v>
      </c>
      <c r="EK134" s="17">
        <f>EJ134*VLOOKUP('Données projet'!$B$15,Paramètres!$A$1:$I$89,3,0)*VLOOKUP('Données projet'!$B$15,Paramètres!$A$1:$I$89,5,0)</f>
        <v>233.89079999999998</v>
      </c>
      <c r="EL134" s="13">
        <f t="shared" si="153"/>
        <v>57.123140349023068</v>
      </c>
      <c r="EM134" s="20">
        <f t="shared" si="127"/>
        <v>506.84927944121517</v>
      </c>
      <c r="EN134" s="59">
        <f t="shared" si="128"/>
        <v>794.46582792753838</v>
      </c>
      <c r="EO134" s="59">
        <f ca="1">AVERAGE(OFFSET($EN$3,0,0,'Données projet'!$E$15+1,1))-AVERAGE(OFFSET($H$3,0,0,'Données projet'!$E$15+1,1))</f>
        <v>343.31122043016137</v>
      </c>
      <c r="EP134" s="59">
        <f t="shared" si="154"/>
        <v>333.61098411258877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14.478675174878289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14.478675174878289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68.440876859906325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319</v>
      </c>
      <c r="FF134" s="17">
        <f>FE134*VLOOKUP('Données projet'!$B$16,Paramètres!$A$1:$I$89,3,0)*VLOOKUP('Données projet'!$B$16,Paramètres!$A$1:$I$89,5,0)</f>
        <v>253.79640000000001</v>
      </c>
      <c r="FG134" s="13">
        <f t="shared" si="155"/>
        <v>61.39816832228076</v>
      </c>
      <c r="FH134" s="20">
        <f t="shared" si="130"/>
        <v>548.96387316130563</v>
      </c>
      <c r="FI134" s="59">
        <f t="shared" si="131"/>
        <v>836.58042164762878</v>
      </c>
      <c r="FJ134" s="59">
        <f ca="1">AVERAGE(OFFSET($FI$3,0,0,'Données projet'!$E$16+1,1))-AVERAGE(OFFSET($H$3,0,0,'Données projet'!$E$16+1,1))</f>
        <v>368.12945163484585</v>
      </c>
      <c r="FK134" s="59">
        <f t="shared" si="156"/>
        <v>357.27183934545121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19.364601186390892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19.364601186390892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68.440876859906325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68.440876859906325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3.0869565217391299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11.318840579710143</v>
      </c>
      <c r="H135" s="66">
        <f t="shared" si="110"/>
        <v>211.39130434782609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68.467924160709813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5.2499999999990337</v>
      </c>
      <c r="O135" s="13">
        <f>N135*VLOOKUP('Données projet'!$B$9,Paramètres!$A$1:$I$89,3,0)*VLOOKUP('Données projet'!$B$9,Paramètres!$A$1:$I$89,5,0)</f>
        <v>2.4569999999995478</v>
      </c>
      <c r="P135" s="13">
        <f t="shared" si="141"/>
        <v>1.0197977774625564</v>
      </c>
      <c r="Q135" s="20">
        <f t="shared" si="108"/>
        <v>6.0554227957464972</v>
      </c>
      <c r="R135" s="59">
        <f t="shared" si="109"/>
        <v>293.77114471834915</v>
      </c>
      <c r="S135" s="59">
        <f ca="1">AVERAGE(OFFSET($R$3,0,0,'Données projet'!$E$9+1,1))-AVERAGE(OFFSET($H$3,0,0,'Données projet'!$E$9+1,1))</f>
        <v>320.30433416149219</v>
      </c>
      <c r="T135" s="59">
        <f t="shared" si="142"/>
        <v>201.33422682092797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154.02398790057811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154.02398790057811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68.467924160709813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763.00000000000057</v>
      </c>
      <c r="AJ135" s="13">
        <f>AI135*VLOOKUP('Données projet'!$B$10,Paramètres!$A$1:$I$89,3,0)*VLOOKUP('Données projet'!$B$10,Paramètres!$A$1:$I$89,5,0)</f>
        <v>456.2740000000004</v>
      </c>
      <c r="AK135" s="13">
        <f t="shared" si="143"/>
        <v>103.09649786611838</v>
      </c>
      <c r="AL135" s="20">
        <f t="shared" si="112"/>
        <v>974.23695045015677</v>
      </c>
      <c r="AM135" s="59">
        <f t="shared" si="113"/>
        <v>1261.9526723727595</v>
      </c>
      <c r="AN135" s="59">
        <f ca="1">AVERAGE(OFFSET($AM$3,0,0,'Données projet'!$E$10+1,1))-AVERAGE(OFFSET($H$3,0,0,'Données projet'!$E$10+1,1))</f>
        <v>569.80473816957431</v>
      </c>
      <c r="AO135" s="59">
        <f t="shared" si="144"/>
        <v>495.56567790763199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38.00018061627101</v>
      </c>
      <c r="AV135" s="21">
        <f>EXP(-LN(2)/25)*AV134+(1-EXP(-LN(2)/25))/(LN(2)/25)*Calculateur!AQ135*Calculateur!AS135*VLOOKUP('Données projet'!$B$10,Paramètres!$A$1:$I$89,3,0)*0.475*44/12</f>
        <v>3.8682744033921375</v>
      </c>
      <c r="AW135" s="21">
        <f>EXP(-LN(2)/2)*AW134+(1-EXP(-LN(2)/2))/(LN(2)/2)*AQ135*AT135*VLOOKUP('Données projet'!$B$10,Paramètres!$A$1:$I$89,3,0)*0.475*44/12</f>
        <v>3.4881991472706574E-17</v>
      </c>
      <c r="AX135" s="21">
        <f t="shared" si="114"/>
        <v>41.868455019663145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68.467924160709813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-2.5006556825246661E-14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180.42749272334603</v>
      </c>
      <c r="BJ135" s="59">
        <f t="shared" si="146"/>
        <v>346.61476512497495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8.4823392991418736</v>
      </c>
      <c r="BQ135" s="21">
        <f>EXP(-LN(2)/25)*BQ134+(1-EXP(-LN(2)/25))/(LN(2)/25)*Calculateur!BL135*Calculateur!BN135*VLOOKUP('Données projet'!$B$11,Paramètres!$A$1:$I$89,3,0)*0.475*44/12</f>
        <v>0.97943096158415943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9.4617702607260323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68.467924160709813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19.8100000000004</v>
      </c>
      <c r="BZ135" s="13">
        <f>BY135*VLOOKUP('Données projet'!$B$12,Paramètres!$A$1:$I$89,3,0)*VLOOKUP('Données projet'!$B$12,Paramètres!$A$1:$I$89,5,0)</f>
        <v>17.924088000000364</v>
      </c>
      <c r="CA135" s="13">
        <f t="shared" si="147"/>
        <v>5.9032212091029486</v>
      </c>
      <c r="CB135" s="20">
        <f t="shared" si="118"/>
        <v>41.499230205854936</v>
      </c>
      <c r="CC135" s="59">
        <f t="shared" si="119"/>
        <v>329.21495212845758</v>
      </c>
      <c r="CD135" s="59">
        <f ca="1">AVERAGE(OFFSET($CC$3,0,0,'Données projet'!$E$12+1,1))-AVERAGE(OFFSET($H$3,0,0,'Données projet'!$E$12+1,1))</f>
        <v>553.16421218123958</v>
      </c>
      <c r="CE135" s="59">
        <f t="shared" si="148"/>
        <v>291.73668613844416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271.64943470187495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271.64943470187495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68.467924160709813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19.8100000000004</v>
      </c>
      <c r="CU135" s="17">
        <f>CT135*VLOOKUP('Données projet'!$B$13,Paramètres!$A$1:$I$89,3,0)*VLOOKUP('Données projet'!$B$13,Paramètres!$A$1:$I$89,5,0)</f>
        <v>20.08734000000041</v>
      </c>
      <c r="CV135" s="13">
        <f t="shared" si="149"/>
        <v>6.5285137703520215</v>
      </c>
      <c r="CW135" s="20">
        <f t="shared" si="121"/>
        <v>46.355945316697152</v>
      </c>
      <c r="CX135" s="59">
        <f t="shared" si="122"/>
        <v>334.07166723929981</v>
      </c>
      <c r="CY135" s="59">
        <f ca="1">AVERAGE(OFFSET($CX$3,0,0,'Données projet'!$E$13+1,1))-AVERAGE(OFFSET($H$3,0,0,'Données projet'!$E$13+1,1))</f>
        <v>611.82989382187804</v>
      </c>
      <c r="CZ135" s="59">
        <f t="shared" si="150"/>
        <v>320.34124600136363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304.43471130382545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304.43471130382545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68.467924160709813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19.8100000000004</v>
      </c>
      <c r="DP135" s="17">
        <f>DO135*VLOOKUP('Données projet'!$B$14,Paramètres!$A$1:$I$89,3,0)*VLOOKUP('Données projet'!$B$14,Paramètres!$A$1:$I$89,5,0)</f>
        <v>21.323484000000427</v>
      </c>
      <c r="DQ135" s="13">
        <f t="shared" si="151"/>
        <v>6.88226100850307</v>
      </c>
      <c r="DR135" s="20">
        <f t="shared" si="124"/>
        <v>49.125005889810261</v>
      </c>
      <c r="DS135" s="59">
        <f t="shared" si="125"/>
        <v>336.84072781241292</v>
      </c>
      <c r="DT135" s="59">
        <f ca="1">AVERAGE(OFFSET($DS$3,0,0,'Données projet'!$E$14+1,1))-AVERAGE(OFFSET($H$3,0,0,'Données projet'!$E$14+1,1))</f>
        <v>645.29541304800614</v>
      </c>
      <c r="DU135" s="59">
        <f t="shared" si="152"/>
        <v>336.65580771733323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323.16915507636844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323.16915507636844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68.467924160709813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319</v>
      </c>
      <c r="EK135" s="17">
        <f>EJ135*VLOOKUP('Données projet'!$B$15,Paramètres!$A$1:$I$89,3,0)*VLOOKUP('Données projet'!$B$15,Paramètres!$A$1:$I$89,5,0)</f>
        <v>233.89079999999998</v>
      </c>
      <c r="EL135" s="13">
        <f t="shared" si="153"/>
        <v>57.123140349023068</v>
      </c>
      <c r="EM135" s="20">
        <f t="shared" si="127"/>
        <v>506.84927944121517</v>
      </c>
      <c r="EN135" s="59">
        <f t="shared" si="128"/>
        <v>794.56500136381783</v>
      </c>
      <c r="EO135" s="59">
        <f ca="1">AVERAGE(OFFSET($EN$3,0,0,'Données projet'!$E$15+1,1))-AVERAGE(OFFSET($H$3,0,0,'Données projet'!$E$15+1,1))</f>
        <v>343.31122043016137</v>
      </c>
      <c r="EP135" s="59">
        <f t="shared" si="154"/>
        <v>333.61098411258877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14.194757185818782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14.194757185818782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68.467924160709813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319</v>
      </c>
      <c r="FF135" s="17">
        <f>FE135*VLOOKUP('Données projet'!$B$16,Paramètres!$A$1:$I$89,3,0)*VLOOKUP('Données projet'!$B$16,Paramètres!$A$1:$I$89,5,0)</f>
        <v>253.79640000000001</v>
      </c>
      <c r="FG135" s="13">
        <f t="shared" si="155"/>
        <v>61.39816832228076</v>
      </c>
      <c r="FH135" s="20">
        <f t="shared" si="130"/>
        <v>548.96387316130563</v>
      </c>
      <c r="FI135" s="59">
        <f t="shared" si="131"/>
        <v>836.67959508390823</v>
      </c>
      <c r="FJ135" s="59">
        <f ca="1">AVERAGE(OFFSET($FI$3,0,0,'Données projet'!$E$16+1,1))-AVERAGE(OFFSET($H$3,0,0,'Données projet'!$E$16+1,1))</f>
        <v>368.12945163484585</v>
      </c>
      <c r="FK135" s="59">
        <f t="shared" si="156"/>
        <v>357.27183934545121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18.984873168366228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18.984873168366228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68.467924160709813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68.467924160709813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3.0869565217391299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11.318840579710143</v>
      </c>
      <c r="H136" s="66">
        <f t="shared" si="110"/>
        <v>211.39130434782609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68.494502251313051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5.2499999999990337</v>
      </c>
      <c r="O136" s="13">
        <f>N136*VLOOKUP('Données projet'!$B$9,Paramètres!$A$1:$I$89,3,0)*VLOOKUP('Données projet'!$B$9,Paramètres!$A$1:$I$89,5,0)</f>
        <v>2.4569999999995478</v>
      </c>
      <c r="P136" s="13">
        <f t="shared" si="141"/>
        <v>1.0197977774625564</v>
      </c>
      <c r="Q136" s="20">
        <f t="shared" si="108"/>
        <v>6.0554227957464972</v>
      </c>
      <c r="R136" s="59">
        <f t="shared" si="109"/>
        <v>293.86859771722771</v>
      </c>
      <c r="S136" s="59">
        <f ca="1">AVERAGE(OFFSET($R$3,0,0,'Données projet'!$E$9+1,1))-AVERAGE(OFFSET($H$3,0,0,'Données projet'!$E$9+1,1))</f>
        <v>320.30433416149219</v>
      </c>
      <c r="T136" s="59">
        <f t="shared" si="142"/>
        <v>201.33422682092797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151.00367144320407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151.00367144320407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68.494502251313051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763.00000000000057</v>
      </c>
      <c r="AJ136" s="13">
        <f>AI136*VLOOKUP('Données projet'!$B$10,Paramètres!$A$1:$I$89,3,0)*VLOOKUP('Données projet'!$B$10,Paramètres!$A$1:$I$89,5,0)</f>
        <v>456.2740000000004</v>
      </c>
      <c r="AK136" s="13">
        <f t="shared" si="143"/>
        <v>103.09649786611838</v>
      </c>
      <c r="AL136" s="20">
        <f t="shared" si="112"/>
        <v>974.23695045015677</v>
      </c>
      <c r="AM136" s="59">
        <f t="shared" si="113"/>
        <v>1262.0501253716379</v>
      </c>
      <c r="AN136" s="59">
        <f ca="1">AVERAGE(OFFSET($AM$3,0,0,'Données projet'!$E$10+1,1))-AVERAGE(OFFSET($H$3,0,0,'Données projet'!$E$10+1,1))</f>
        <v>569.80473816957431</v>
      </c>
      <c r="AO136" s="59">
        <f t="shared" si="144"/>
        <v>495.56567790763199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37.255020252207494</v>
      </c>
      <c r="AV136" s="21">
        <f>EXP(-LN(2)/25)*AV135+(1-EXP(-LN(2)/25))/(LN(2)/25)*Calculateur!AQ136*Calculateur!AS136*VLOOKUP('Données projet'!$B$10,Paramètres!$A$1:$I$89,3,0)*0.475*44/12</f>
        <v>3.7624962364076695</v>
      </c>
      <c r="AW136" s="21">
        <f>EXP(-LN(2)/2)*AW135+(1-EXP(-LN(2)/2))/(LN(2)/2)*AQ136*AT136*VLOOKUP('Données projet'!$B$10,Paramètres!$A$1:$I$89,3,0)*0.475*44/12</f>
        <v>2.4665292711642145E-17</v>
      </c>
      <c r="AX136" s="21">
        <f t="shared" si="114"/>
        <v>41.017516488615165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68.494502251313051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-2.5006556825246661E-14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180.42749272334603</v>
      </c>
      <c r="BJ136" s="59">
        <f t="shared" si="146"/>
        <v>346.61476512497495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8.316005799201811</v>
      </c>
      <c r="BQ136" s="21">
        <f>EXP(-LN(2)/25)*BQ135+(1-EXP(-LN(2)/25))/(LN(2)/25)*Calculateur!BL136*Calculateur!BN136*VLOOKUP('Données projet'!$B$11,Paramètres!$A$1:$I$89,3,0)*0.475*44/12</f>
        <v>0.95264837043360484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9.2686541696354166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68.494502251313051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19.8100000000004</v>
      </c>
      <c r="BZ136" s="13">
        <f>BY136*VLOOKUP('Données projet'!$B$12,Paramètres!$A$1:$I$89,3,0)*VLOOKUP('Données projet'!$B$12,Paramètres!$A$1:$I$89,5,0)</f>
        <v>17.924088000000364</v>
      </c>
      <c r="CA136" s="13">
        <f t="shared" si="147"/>
        <v>5.9032212091029486</v>
      </c>
      <c r="CB136" s="20">
        <f t="shared" si="118"/>
        <v>41.499230205854936</v>
      </c>
      <c r="CC136" s="59">
        <f t="shared" si="119"/>
        <v>329.31240512733615</v>
      </c>
      <c r="CD136" s="59">
        <f ca="1">AVERAGE(OFFSET($CC$3,0,0,'Données projet'!$E$12+1,1))-AVERAGE(OFFSET($H$3,0,0,'Données projet'!$E$12+1,1))</f>
        <v>553.16421218123958</v>
      </c>
      <c r="CE136" s="59">
        <f t="shared" si="148"/>
        <v>291.73668613844416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266.32255497716585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266.32255497716585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68.494502251313051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19.8100000000004</v>
      </c>
      <c r="CU136" s="17">
        <f>CT136*VLOOKUP('Données projet'!$B$13,Paramètres!$A$1:$I$89,3,0)*VLOOKUP('Données projet'!$B$13,Paramètres!$A$1:$I$89,5,0)</f>
        <v>20.08734000000041</v>
      </c>
      <c r="CV136" s="13">
        <f t="shared" si="149"/>
        <v>6.5285137703520215</v>
      </c>
      <c r="CW136" s="20">
        <f t="shared" si="121"/>
        <v>46.355945316697152</v>
      </c>
      <c r="CX136" s="59">
        <f t="shared" si="122"/>
        <v>334.16912023817838</v>
      </c>
      <c r="CY136" s="59">
        <f ca="1">AVERAGE(OFFSET($CX$3,0,0,'Données projet'!$E$13+1,1))-AVERAGE(OFFSET($H$3,0,0,'Données projet'!$E$13+1,1))</f>
        <v>611.82989382187804</v>
      </c>
      <c r="CZ136" s="59">
        <f t="shared" si="150"/>
        <v>320.34124600136363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298.46493230199627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298.46493230199627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68.494502251313051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19.8100000000004</v>
      </c>
      <c r="DP136" s="17">
        <f>DO136*VLOOKUP('Données projet'!$B$14,Paramètres!$A$1:$I$89,3,0)*VLOOKUP('Données projet'!$B$14,Paramètres!$A$1:$I$89,5,0)</f>
        <v>21.323484000000427</v>
      </c>
      <c r="DQ136" s="13">
        <f t="shared" si="151"/>
        <v>6.88226100850307</v>
      </c>
      <c r="DR136" s="20">
        <f t="shared" si="124"/>
        <v>49.125005889810261</v>
      </c>
      <c r="DS136" s="59">
        <f t="shared" si="125"/>
        <v>336.93818081129149</v>
      </c>
      <c r="DT136" s="59">
        <f ca="1">AVERAGE(OFFSET($DS$3,0,0,'Données projet'!$E$14+1,1))-AVERAGE(OFFSET($H$3,0,0,'Données projet'!$E$14+1,1))</f>
        <v>645.29541304800614</v>
      </c>
      <c r="DU136" s="59">
        <f t="shared" si="152"/>
        <v>336.65580771733323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316.8320050590421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316.8320050590421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68.494502251313051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319</v>
      </c>
      <c r="EK136" s="17">
        <f>EJ136*VLOOKUP('Données projet'!$B$15,Paramètres!$A$1:$I$89,3,0)*VLOOKUP('Données projet'!$B$15,Paramètres!$A$1:$I$89,5,0)</f>
        <v>233.89079999999998</v>
      </c>
      <c r="EL136" s="13">
        <f t="shared" si="153"/>
        <v>57.123140349023068</v>
      </c>
      <c r="EM136" s="20">
        <f t="shared" si="127"/>
        <v>506.84927944121517</v>
      </c>
      <c r="EN136" s="59">
        <f t="shared" si="128"/>
        <v>794.66245436269639</v>
      </c>
      <c r="EO136" s="59">
        <f ca="1">AVERAGE(OFFSET($EN$3,0,0,'Données projet'!$E$15+1,1))-AVERAGE(OFFSET($H$3,0,0,'Données projet'!$E$15+1,1))</f>
        <v>343.31122043016137</v>
      </c>
      <c r="EP136" s="59">
        <f t="shared" si="154"/>
        <v>333.61098411258877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13.916406655351858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13.916406655351858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68.494502251313051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319</v>
      </c>
      <c r="FF136" s="17">
        <f>FE136*VLOOKUP('Données projet'!$B$16,Paramètres!$A$1:$I$89,3,0)*VLOOKUP('Données projet'!$B$16,Paramètres!$A$1:$I$89,5,0)</f>
        <v>253.79640000000001</v>
      </c>
      <c r="FG136" s="13">
        <f t="shared" si="155"/>
        <v>61.39816832228076</v>
      </c>
      <c r="FH136" s="20">
        <f t="shared" si="130"/>
        <v>548.96387316130563</v>
      </c>
      <c r="FI136" s="59">
        <f t="shared" si="131"/>
        <v>836.77704808278691</v>
      </c>
      <c r="FJ136" s="59">
        <f ca="1">AVERAGE(OFFSET($FI$3,0,0,'Données projet'!$E$16+1,1))-AVERAGE(OFFSET($H$3,0,0,'Données projet'!$E$16+1,1))</f>
        <v>368.12945163484585</v>
      </c>
      <c r="FK136" s="59">
        <f t="shared" si="156"/>
        <v>357.27183934545121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18.612591385163807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18.612591385163807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68.494502251313051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68.494502251313051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3.0869565217391299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11.318840579710143</v>
      </c>
      <c r="H137" s="66">
        <f t="shared" si="110"/>
        <v>211.39130434782609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68.520619271464028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5.2499999999990337</v>
      </c>
      <c r="O137" s="13">
        <f>N137*VLOOKUP('Données projet'!$B$9,Paramètres!$A$1:$I$89,3,0)*VLOOKUP('Données projet'!$B$9,Paramètres!$A$1:$I$89,5,0)</f>
        <v>2.4569999999995478</v>
      </c>
      <c r="P137" s="13">
        <f t="shared" si="141"/>
        <v>1.0197977774625564</v>
      </c>
      <c r="Q137" s="20">
        <f t="shared" si="108"/>
        <v>6.0554227957464972</v>
      </c>
      <c r="R137" s="59">
        <f t="shared" si="109"/>
        <v>293.96436012444792</v>
      </c>
      <c r="S137" s="59">
        <f ca="1">AVERAGE(OFFSET($R$3,0,0,'Données projet'!$E$9+1,1))-AVERAGE(OFFSET($H$3,0,0,'Données projet'!$E$9+1,1))</f>
        <v>320.30433416149219</v>
      </c>
      <c r="T137" s="59">
        <f t="shared" si="142"/>
        <v>201.33422682092797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148.042581549348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148.042581549348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68.520619271464028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763.00000000000057</v>
      </c>
      <c r="AJ137" s="13">
        <f>AI137*VLOOKUP('Données projet'!$B$10,Paramètres!$A$1:$I$89,3,0)*VLOOKUP('Données projet'!$B$10,Paramètres!$A$1:$I$89,5,0)</f>
        <v>456.2740000000004</v>
      </c>
      <c r="AK137" s="13">
        <f t="shared" si="143"/>
        <v>103.09649786611838</v>
      </c>
      <c r="AL137" s="20">
        <f t="shared" si="112"/>
        <v>974.23695045015677</v>
      </c>
      <c r="AM137" s="59">
        <f t="shared" si="113"/>
        <v>1262.1458877788582</v>
      </c>
      <c r="AN137" s="59">
        <f ca="1">AVERAGE(OFFSET($AM$3,0,0,'Données projet'!$E$10+1,1))-AVERAGE(OFFSET($H$3,0,0,'Données projet'!$E$10+1,1))</f>
        <v>569.80473816957431</v>
      </c>
      <c r="AO137" s="59">
        <f t="shared" si="144"/>
        <v>495.56567790763199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36.524472028380316</v>
      </c>
      <c r="AV137" s="21">
        <f>EXP(-LN(2)/25)*AV136+(1-EXP(-LN(2)/25))/(LN(2)/25)*Calculateur!AQ137*Calculateur!AS137*VLOOKUP('Données projet'!$B$10,Paramètres!$A$1:$I$89,3,0)*0.475*44/12</f>
        <v>3.6596105789620239</v>
      </c>
      <c r="AW137" s="21">
        <f>EXP(-LN(2)/2)*AW136+(1-EXP(-LN(2)/2))/(LN(2)/2)*AQ137*AT137*VLOOKUP('Données projet'!$B$10,Paramètres!$A$1:$I$89,3,0)*0.475*44/12</f>
        <v>1.7440995736353287E-17</v>
      </c>
      <c r="AX137" s="21">
        <f t="shared" si="114"/>
        <v>40.18408260734234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68.520619271464028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-2.5006556825246661E-14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180.42749272334603</v>
      </c>
      <c r="BJ137" s="59">
        <f t="shared" si="146"/>
        <v>346.61476512497495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8.1529339977421564</v>
      </c>
      <c r="BQ137" s="21">
        <f>EXP(-LN(2)/25)*BQ136+(1-EXP(-LN(2)/25))/(LN(2)/25)*Calculateur!BL137*Calculateur!BN137*VLOOKUP('Données projet'!$B$11,Paramètres!$A$1:$I$89,3,0)*0.475*44/12</f>
        <v>0.92659815064649742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9.0795321483886546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68.520619271464028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19.8100000000004</v>
      </c>
      <c r="BZ137" s="13">
        <f>BY137*VLOOKUP('Données projet'!$B$12,Paramètres!$A$1:$I$89,3,0)*VLOOKUP('Données projet'!$B$12,Paramètres!$A$1:$I$89,5,0)</f>
        <v>17.924088000000364</v>
      </c>
      <c r="CA137" s="13">
        <f t="shared" si="147"/>
        <v>5.9032212091029486</v>
      </c>
      <c r="CB137" s="20">
        <f t="shared" si="118"/>
        <v>41.499230205854936</v>
      </c>
      <c r="CC137" s="59">
        <f t="shared" si="119"/>
        <v>329.40816753455636</v>
      </c>
      <c r="CD137" s="59">
        <f ca="1">AVERAGE(OFFSET($CC$3,0,0,'Données projet'!$E$12+1,1))-AVERAGE(OFFSET($H$3,0,0,'Données projet'!$E$12+1,1))</f>
        <v>553.16421218123958</v>
      </c>
      <c r="CE137" s="59">
        <f t="shared" si="148"/>
        <v>291.73668613844416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261.10013211478247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261.10013211478247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68.520619271464028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19.8100000000004</v>
      </c>
      <c r="CU137" s="17">
        <f>CT137*VLOOKUP('Données projet'!$B$13,Paramètres!$A$1:$I$89,3,0)*VLOOKUP('Données projet'!$B$13,Paramètres!$A$1:$I$89,5,0)</f>
        <v>20.08734000000041</v>
      </c>
      <c r="CV137" s="13">
        <f t="shared" si="149"/>
        <v>6.5285137703520215</v>
      </c>
      <c r="CW137" s="20">
        <f t="shared" si="121"/>
        <v>46.355945316697152</v>
      </c>
      <c r="CX137" s="59">
        <f t="shared" si="122"/>
        <v>334.26488264539859</v>
      </c>
      <c r="CY137" s="59">
        <f ca="1">AVERAGE(OFFSET($CX$3,0,0,'Données projet'!$E$13+1,1))-AVERAGE(OFFSET($H$3,0,0,'Données projet'!$E$13+1,1))</f>
        <v>611.82989382187804</v>
      </c>
      <c r="CZ137" s="59">
        <f t="shared" si="150"/>
        <v>320.34124600136363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292.61221702518731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292.61221702518731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68.520619271464028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19.8100000000004</v>
      </c>
      <c r="DP137" s="17">
        <f>DO137*VLOOKUP('Données projet'!$B$14,Paramètres!$A$1:$I$89,3,0)*VLOOKUP('Données projet'!$B$14,Paramètres!$A$1:$I$89,5,0)</f>
        <v>21.323484000000427</v>
      </c>
      <c r="DQ137" s="13">
        <f t="shared" si="151"/>
        <v>6.88226100850307</v>
      </c>
      <c r="DR137" s="20">
        <f t="shared" si="124"/>
        <v>49.125005889810261</v>
      </c>
      <c r="DS137" s="59">
        <f t="shared" si="125"/>
        <v>337.03394321851169</v>
      </c>
      <c r="DT137" s="59">
        <f ca="1">AVERAGE(OFFSET($DS$3,0,0,'Données projet'!$E$14+1,1))-AVERAGE(OFFSET($H$3,0,0,'Données projet'!$E$14+1,1))</f>
        <v>645.29541304800614</v>
      </c>
      <c r="DU137" s="59">
        <f t="shared" si="152"/>
        <v>336.65580771733323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310.6191226882757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310.6191226882757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68.520619271464028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319</v>
      </c>
      <c r="EK137" s="17">
        <f>EJ137*VLOOKUP('Données projet'!$B$15,Paramètres!$A$1:$I$89,3,0)*VLOOKUP('Données projet'!$B$15,Paramètres!$A$1:$I$89,5,0)</f>
        <v>233.89079999999998</v>
      </c>
      <c r="EL137" s="13">
        <f t="shared" si="153"/>
        <v>57.123140349023068</v>
      </c>
      <c r="EM137" s="20">
        <f t="shared" si="127"/>
        <v>506.84927944121517</v>
      </c>
      <c r="EN137" s="59">
        <f t="shared" si="128"/>
        <v>794.75821676991654</v>
      </c>
      <c r="EO137" s="59">
        <f ca="1">AVERAGE(OFFSET($EN$3,0,0,'Données projet'!$E$15+1,1))-AVERAGE(OFFSET($H$3,0,0,'Données projet'!$E$15+1,1))</f>
        <v>343.31122043016137</v>
      </c>
      <c r="EP137" s="59">
        <f t="shared" si="154"/>
        <v>333.61098411258877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13.643514409010331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13.643514409010331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68.520619271464028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319</v>
      </c>
      <c r="FF137" s="17">
        <f>FE137*VLOOKUP('Données projet'!$B$16,Paramètres!$A$1:$I$89,3,0)*VLOOKUP('Données projet'!$B$16,Paramètres!$A$1:$I$89,5,0)</f>
        <v>253.79640000000001</v>
      </c>
      <c r="FG137" s="13">
        <f t="shared" si="155"/>
        <v>61.39816832228076</v>
      </c>
      <c r="FH137" s="20">
        <f t="shared" si="130"/>
        <v>548.96387316130563</v>
      </c>
      <c r="FI137" s="59">
        <f t="shared" si="131"/>
        <v>836.87281049000705</v>
      </c>
      <c r="FJ137" s="59">
        <f ca="1">AVERAGE(OFFSET($FI$3,0,0,'Données projet'!$E$16+1,1))-AVERAGE(OFFSET($H$3,0,0,'Données projet'!$E$16+1,1))</f>
        <v>368.12945163484585</v>
      </c>
      <c r="FK137" s="59">
        <f t="shared" si="156"/>
        <v>357.27183934545121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18.247609820660518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18.247609820660518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68.520619271464028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68.520619271464028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3.0869565217391299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11.318840579710143</v>
      </c>
      <c r="H138" s="66">
        <f t="shared" si="110"/>
        <v>211.39130434782609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68.546283219704307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5.2499999999990337</v>
      </c>
      <c r="O138" s="13">
        <f>N138*VLOOKUP('Données projet'!$B$9,Paramètres!$A$1:$I$89,3,0)*VLOOKUP('Données projet'!$B$9,Paramètres!$A$1:$I$89,5,0)</f>
        <v>2.4569999999995478</v>
      </c>
      <c r="P138" s="13">
        <f t="shared" si="141"/>
        <v>1.0197977774625564</v>
      </c>
      <c r="Q138" s="20">
        <f t="shared" si="108"/>
        <v>6.0554227957464972</v>
      </c>
      <c r="R138" s="59">
        <f t="shared" si="109"/>
        <v>294.0584612679956</v>
      </c>
      <c r="S138" s="59">
        <f ca="1">AVERAGE(OFFSET($R$3,0,0,'Données projet'!$E$9+1,1))-AVERAGE(OFFSET($H$3,0,0,'Données projet'!$E$9+1,1))</f>
        <v>320.30433416149219</v>
      </c>
      <c r="T138" s="59">
        <f t="shared" si="142"/>
        <v>201.33422682092797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145.13955682222394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145.13955682222394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68.546283219704307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763.00000000000057</v>
      </c>
      <c r="AJ138" s="13">
        <f>AI138*VLOOKUP('Données projet'!$B$10,Paramètres!$A$1:$I$89,3,0)*VLOOKUP('Données projet'!$B$10,Paramètres!$A$1:$I$89,5,0)</f>
        <v>456.2740000000004</v>
      </c>
      <c r="AK138" s="13">
        <f t="shared" si="143"/>
        <v>103.09649786611838</v>
      </c>
      <c r="AL138" s="20">
        <f t="shared" si="112"/>
        <v>974.23695045015677</v>
      </c>
      <c r="AM138" s="59">
        <f t="shared" si="113"/>
        <v>1262.2399889224059</v>
      </c>
      <c r="AN138" s="59">
        <f ca="1">AVERAGE(OFFSET($AM$3,0,0,'Données projet'!$E$10+1,1))-AVERAGE(OFFSET($H$3,0,0,'Données projet'!$E$10+1,1))</f>
        <v>569.80473816957431</v>
      </c>
      <c r="AO138" s="59">
        <f t="shared" si="144"/>
        <v>495.56567790763199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35.808249409631969</v>
      </c>
      <c r="AV138" s="21">
        <f>EXP(-LN(2)/25)*AV137+(1-EXP(-LN(2)/25))/(LN(2)/25)*Calculateur!AQ138*Calculateur!AS138*VLOOKUP('Données projet'!$B$10,Paramètres!$A$1:$I$89,3,0)*0.475*44/12</f>
        <v>3.5595383352297514</v>
      </c>
      <c r="AW138" s="21">
        <f>EXP(-LN(2)/2)*AW137+(1-EXP(-LN(2)/2))/(LN(2)/2)*AQ138*AT138*VLOOKUP('Données projet'!$B$10,Paramètres!$A$1:$I$89,3,0)*0.475*44/12</f>
        <v>1.2332646355821072E-17</v>
      </c>
      <c r="AX138" s="21">
        <f t="shared" si="114"/>
        <v>39.367787744861722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68.546283219704307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-2.5006556825246661E-14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180.42749272334603</v>
      </c>
      <c r="BJ138" s="59">
        <f t="shared" si="146"/>
        <v>346.61476512497495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7.9930599348451485</v>
      </c>
      <c r="BQ138" s="21">
        <f>EXP(-LN(2)/25)*BQ137+(1-EXP(-LN(2)/25))/(LN(2)/25)*Calculateur!BL138*Calculateur!BN138*VLOOKUP('Données projet'!$B$11,Paramètres!$A$1:$I$89,3,0)*0.475*44/12</f>
        <v>0.90126027548939003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8.8943202103345378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68.546283219704307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19.8100000000004</v>
      </c>
      <c r="BZ138" s="13">
        <f>BY138*VLOOKUP('Données projet'!$B$12,Paramètres!$A$1:$I$89,3,0)*VLOOKUP('Données projet'!$B$12,Paramètres!$A$1:$I$89,5,0)</f>
        <v>17.924088000000364</v>
      </c>
      <c r="CA138" s="13">
        <f t="shared" si="147"/>
        <v>5.9032212091029486</v>
      </c>
      <c r="CB138" s="20">
        <f t="shared" si="118"/>
        <v>41.499230205854936</v>
      </c>
      <c r="CC138" s="59">
        <f t="shared" si="119"/>
        <v>329.50226867810403</v>
      </c>
      <c r="CD138" s="59">
        <f ca="1">AVERAGE(OFFSET($CC$3,0,0,'Données projet'!$E$12+1,1))-AVERAGE(OFFSET($H$3,0,0,'Données projet'!$E$12+1,1))</f>
        <v>553.16421218123958</v>
      </c>
      <c r="CE138" s="59">
        <f t="shared" si="148"/>
        <v>291.73668613844416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255.98011777936702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255.98011777936702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68.546283219704307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19.8100000000004</v>
      </c>
      <c r="CU138" s="17">
        <f>CT138*VLOOKUP('Données projet'!$B$13,Paramètres!$A$1:$I$89,3,0)*VLOOKUP('Données projet'!$B$13,Paramètres!$A$1:$I$89,5,0)</f>
        <v>20.08734000000041</v>
      </c>
      <c r="CV138" s="13">
        <f t="shared" si="149"/>
        <v>6.5285137703520215</v>
      </c>
      <c r="CW138" s="20">
        <f t="shared" si="121"/>
        <v>46.355945316697152</v>
      </c>
      <c r="CX138" s="59">
        <f t="shared" si="122"/>
        <v>334.35898378894626</v>
      </c>
      <c r="CY138" s="59">
        <f ca="1">AVERAGE(OFFSET($CX$3,0,0,'Données projet'!$E$13+1,1))-AVERAGE(OFFSET($H$3,0,0,'Données projet'!$E$13+1,1))</f>
        <v>611.82989382187804</v>
      </c>
      <c r="CZ138" s="59">
        <f t="shared" si="150"/>
        <v>320.34124600136363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286.87426992515276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286.87426992515276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68.546283219704307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19.8100000000004</v>
      </c>
      <c r="DP138" s="17">
        <f>DO138*VLOOKUP('Données projet'!$B$14,Paramètres!$A$1:$I$89,3,0)*VLOOKUP('Données projet'!$B$14,Paramètres!$A$1:$I$89,5,0)</f>
        <v>21.323484000000427</v>
      </c>
      <c r="DQ138" s="13">
        <f t="shared" si="151"/>
        <v>6.88226100850307</v>
      </c>
      <c r="DR138" s="20">
        <f t="shared" si="124"/>
        <v>49.125005889810261</v>
      </c>
      <c r="DS138" s="59">
        <f t="shared" si="125"/>
        <v>337.12804436205937</v>
      </c>
      <c r="DT138" s="59">
        <f ca="1">AVERAGE(OFFSET($DS$3,0,0,'Données projet'!$E$14+1,1))-AVERAGE(OFFSET($H$3,0,0,'Données projet'!$E$14+1,1))</f>
        <v>645.29541304800614</v>
      </c>
      <c r="DU138" s="59">
        <f t="shared" si="152"/>
        <v>336.65580771733323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304.52807115131594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304.52807115131594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68.546283219704307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319</v>
      </c>
      <c r="EK138" s="17">
        <f>EJ138*VLOOKUP('Données projet'!$B$15,Paramètres!$A$1:$I$89,3,0)*VLOOKUP('Données projet'!$B$15,Paramètres!$A$1:$I$89,5,0)</f>
        <v>233.89079999999998</v>
      </c>
      <c r="EL138" s="13">
        <f t="shared" si="153"/>
        <v>57.123140349023068</v>
      </c>
      <c r="EM138" s="20">
        <f t="shared" si="127"/>
        <v>506.84927944121517</v>
      </c>
      <c r="EN138" s="59">
        <f t="shared" si="128"/>
        <v>794.85231791346428</v>
      </c>
      <c r="EO138" s="59">
        <f ca="1">AVERAGE(OFFSET($EN$3,0,0,'Données projet'!$E$15+1,1))-AVERAGE(OFFSET($H$3,0,0,'Données projet'!$E$15+1,1))</f>
        <v>343.31122043016137</v>
      </c>
      <c r="EP138" s="59">
        <f t="shared" si="154"/>
        <v>333.61098411258877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13.375973413171726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13.375973413171726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68.546283219704307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319</v>
      </c>
      <c r="FF138" s="17">
        <f>FE138*VLOOKUP('Données projet'!$B$16,Paramètres!$A$1:$I$89,3,0)*VLOOKUP('Données projet'!$B$16,Paramètres!$A$1:$I$89,5,0)</f>
        <v>253.79640000000001</v>
      </c>
      <c r="FG138" s="13">
        <f t="shared" si="155"/>
        <v>61.39816832228076</v>
      </c>
      <c r="FH138" s="20">
        <f t="shared" si="130"/>
        <v>548.96387316130563</v>
      </c>
      <c r="FI138" s="59">
        <f t="shared" si="131"/>
        <v>836.96691163355467</v>
      </c>
      <c r="FJ138" s="59">
        <f ca="1">AVERAGE(OFFSET($FI$3,0,0,'Données projet'!$E$16+1,1))-AVERAGE(OFFSET($H$3,0,0,'Données projet'!$E$16+1,1))</f>
        <v>368.12945163484585</v>
      </c>
      <c r="FK138" s="59">
        <f t="shared" si="156"/>
        <v>357.27183934545121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17.889785322020366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17.889785322020366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68.546283219704307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68.546283219704307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3.0869565217391299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11.318840579710143</v>
      </c>
      <c r="H139" s="66">
        <f t="shared" si="110"/>
        <v>211.39130434782609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68.571501955818604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5.2499999999990337</v>
      </c>
      <c r="O139" s="13">
        <f>N139*VLOOKUP('Données projet'!$B$9,Paramètres!$A$1:$I$89,3,0)*VLOOKUP('Données projet'!$B$9,Paramètres!$A$1:$I$89,5,0)</f>
        <v>2.4569999999995478</v>
      </c>
      <c r="P139" s="13">
        <f t="shared" si="141"/>
        <v>1.0197977774625564</v>
      </c>
      <c r="Q139" s="20">
        <f t="shared" si="108"/>
        <v>6.0554227957464972</v>
      </c>
      <c r="R139" s="59">
        <f t="shared" si="109"/>
        <v>294.15092996708137</v>
      </c>
      <c r="S139" s="59">
        <f ca="1">AVERAGE(OFFSET($R$3,0,0,'Données projet'!$E$9+1,1))-AVERAGE(OFFSET($H$3,0,0,'Données projet'!$E$9+1,1))</f>
        <v>320.30433416149219</v>
      </c>
      <c r="T139" s="59">
        <f t="shared" si="142"/>
        <v>201.33422682092797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142.29345863932852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142.29345863932852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68.571501955818604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763.00000000000057</v>
      </c>
      <c r="AJ139" s="13">
        <f>AI139*VLOOKUP('Données projet'!$B$10,Paramètres!$A$1:$I$89,3,0)*VLOOKUP('Données projet'!$B$10,Paramètres!$A$1:$I$89,5,0)</f>
        <v>456.2740000000004</v>
      </c>
      <c r="AK139" s="13">
        <f t="shared" si="143"/>
        <v>103.09649786611838</v>
      </c>
      <c r="AL139" s="20">
        <f t="shared" si="112"/>
        <v>974.23695045015677</v>
      </c>
      <c r="AM139" s="59">
        <f t="shared" si="113"/>
        <v>1262.3324576214916</v>
      </c>
      <c r="AN139" s="59">
        <f ca="1">AVERAGE(OFFSET($AM$3,0,0,'Données projet'!$E$10+1,1))-AVERAGE(OFFSET($H$3,0,0,'Données projet'!$E$10+1,1))</f>
        <v>569.80473816957431</v>
      </c>
      <c r="AO139" s="59">
        <f t="shared" si="144"/>
        <v>495.56567790763199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35.106071479584621</v>
      </c>
      <c r="AV139" s="21">
        <f>EXP(-LN(2)/25)*AV138+(1-EXP(-LN(2)/25))/(LN(2)/25)*Calculateur!AQ139*Calculateur!AS139*VLOOKUP('Données projet'!$B$10,Paramètres!$A$1:$I$89,3,0)*0.475*44/12</f>
        <v>3.4622025722649084</v>
      </c>
      <c r="AW139" s="21">
        <f>EXP(-LN(2)/2)*AW138+(1-EXP(-LN(2)/2))/(LN(2)/2)*AQ139*AT139*VLOOKUP('Données projet'!$B$10,Paramètres!$A$1:$I$89,3,0)*0.475*44/12</f>
        <v>8.7204978681766436E-18</v>
      </c>
      <c r="AX139" s="21">
        <f t="shared" si="114"/>
        <v>38.568274051849528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68.571501955818604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-2.5006556825246661E-14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180.42749272334603</v>
      </c>
      <c r="BJ139" s="59">
        <f t="shared" si="146"/>
        <v>346.61476512497495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7.8363209048080007</v>
      </c>
      <c r="BQ139" s="21">
        <f>EXP(-LN(2)/25)*BQ138+(1-EXP(-LN(2)/25))/(LN(2)/25)*Calculateur!BL139*Calculateur!BN139*VLOOKUP('Données projet'!$B$11,Paramètres!$A$1:$I$89,3,0)*0.475*44/12</f>
        <v>0.87661526586091465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8.7129361706689146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68.571501955818604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19.8100000000004</v>
      </c>
      <c r="BZ139" s="13">
        <f>BY139*VLOOKUP('Données projet'!$B$12,Paramètres!$A$1:$I$89,3,0)*VLOOKUP('Données projet'!$B$12,Paramètres!$A$1:$I$89,5,0)</f>
        <v>17.924088000000364</v>
      </c>
      <c r="CA139" s="13">
        <f t="shared" si="147"/>
        <v>5.9032212091029486</v>
      </c>
      <c r="CB139" s="20">
        <f t="shared" si="118"/>
        <v>41.499230205854936</v>
      </c>
      <c r="CC139" s="59">
        <f t="shared" si="119"/>
        <v>329.5947373771898</v>
      </c>
      <c r="CD139" s="59">
        <f ca="1">AVERAGE(OFFSET($CC$3,0,0,'Données projet'!$E$12+1,1))-AVERAGE(OFFSET($H$3,0,0,'Données projet'!$E$12+1,1))</f>
        <v>553.16421218123958</v>
      </c>
      <c r="CE139" s="59">
        <f t="shared" si="148"/>
        <v>291.73668613844416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250.96050380216869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250.96050380216869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68.571501955818604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19.8100000000004</v>
      </c>
      <c r="CU139" s="17">
        <f>CT139*VLOOKUP('Données projet'!$B$13,Paramètres!$A$1:$I$89,3,0)*VLOOKUP('Données projet'!$B$13,Paramètres!$A$1:$I$89,5,0)</f>
        <v>20.08734000000041</v>
      </c>
      <c r="CV139" s="13">
        <f t="shared" si="149"/>
        <v>6.5285137703520215</v>
      </c>
      <c r="CW139" s="20">
        <f t="shared" si="121"/>
        <v>46.355945316697152</v>
      </c>
      <c r="CX139" s="59">
        <f t="shared" si="122"/>
        <v>334.45145248803203</v>
      </c>
      <c r="CY139" s="59">
        <f ca="1">AVERAGE(OFFSET($CX$3,0,0,'Données projet'!$E$13+1,1))-AVERAGE(OFFSET($H$3,0,0,'Données projet'!$E$13+1,1))</f>
        <v>611.82989382187804</v>
      </c>
      <c r="CZ139" s="59">
        <f t="shared" si="150"/>
        <v>320.34124600136363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281.24884046794773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281.24884046794773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68.571501955818604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19.8100000000004</v>
      </c>
      <c r="DP139" s="17">
        <f>DO139*VLOOKUP('Données projet'!$B$14,Paramètres!$A$1:$I$89,3,0)*VLOOKUP('Données projet'!$B$14,Paramètres!$A$1:$I$89,5,0)</f>
        <v>21.323484000000427</v>
      </c>
      <c r="DQ139" s="13">
        <f t="shared" si="151"/>
        <v>6.88226100850307</v>
      </c>
      <c r="DR139" s="20">
        <f t="shared" si="124"/>
        <v>49.125005889810261</v>
      </c>
      <c r="DS139" s="59">
        <f t="shared" si="125"/>
        <v>337.22051306114514</v>
      </c>
      <c r="DT139" s="59">
        <f ca="1">AVERAGE(OFFSET($DS$3,0,0,'Données projet'!$E$14+1,1))-AVERAGE(OFFSET($H$3,0,0,'Données projet'!$E$14+1,1))</f>
        <v>645.29541304800614</v>
      </c>
      <c r="DU139" s="59">
        <f t="shared" si="152"/>
        <v>336.65580771733323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298.55646141982135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298.55646141982135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68.571501955818604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319</v>
      </c>
      <c r="EK139" s="17">
        <f>EJ139*VLOOKUP('Données projet'!$B$15,Paramètres!$A$1:$I$89,3,0)*VLOOKUP('Données projet'!$B$15,Paramètres!$A$1:$I$89,5,0)</f>
        <v>233.89079999999998</v>
      </c>
      <c r="EL139" s="13">
        <f t="shared" si="153"/>
        <v>57.123140349023068</v>
      </c>
      <c r="EM139" s="20">
        <f t="shared" si="127"/>
        <v>506.84927944121517</v>
      </c>
      <c r="EN139" s="59">
        <f t="shared" si="128"/>
        <v>794.94478661255005</v>
      </c>
      <c r="EO139" s="59">
        <f ca="1">AVERAGE(OFFSET($EN$3,0,0,'Données projet'!$E$15+1,1))-AVERAGE(OFFSET($H$3,0,0,'Données projet'!$E$15+1,1))</f>
        <v>343.31122043016137</v>
      </c>
      <c r="EP139" s="59">
        <f t="shared" si="154"/>
        <v>333.61098411258877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13.113678733077622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13.113678733077622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68.571501955818604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319</v>
      </c>
      <c r="FF139" s="17">
        <f>FE139*VLOOKUP('Données projet'!$B$16,Paramètres!$A$1:$I$89,3,0)*VLOOKUP('Données projet'!$B$16,Paramètres!$A$1:$I$89,5,0)</f>
        <v>253.79640000000001</v>
      </c>
      <c r="FG139" s="13">
        <f t="shared" si="155"/>
        <v>61.39816832228076</v>
      </c>
      <c r="FH139" s="20">
        <f t="shared" si="130"/>
        <v>548.96387316130563</v>
      </c>
      <c r="FI139" s="59">
        <f t="shared" si="131"/>
        <v>837.05938033264056</v>
      </c>
      <c r="FJ139" s="59">
        <f ca="1">AVERAGE(OFFSET($FI$3,0,0,'Données projet'!$E$16+1,1))-AVERAGE(OFFSET($H$3,0,0,'Données projet'!$E$16+1,1))</f>
        <v>368.12945163484585</v>
      </c>
      <c r="FK139" s="59">
        <f t="shared" si="156"/>
        <v>357.27183934545121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17.538977543547151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17.538977543547151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68.571501955818604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68.571501955818604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3.0869565217391299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11.318840579710143</v>
      </c>
      <c r="H140" s="66">
        <f t="shared" si="110"/>
        <v>211.39130434782609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68.596283203241967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5.2499999999990337</v>
      </c>
      <c r="O140" s="13">
        <f>N140*VLOOKUP('Données projet'!$B$9,Paramètres!$A$1:$I$89,3,0)*VLOOKUP('Données projet'!$B$9,Paramètres!$A$1:$I$89,5,0)</f>
        <v>2.4569999999995478</v>
      </c>
      <c r="P140" s="13">
        <f t="shared" si="141"/>
        <v>1.0197977774625564</v>
      </c>
      <c r="Q140" s="20">
        <f t="shared" si="108"/>
        <v>6.0554227957464972</v>
      </c>
      <c r="R140" s="59">
        <f t="shared" si="109"/>
        <v>294.24179454096708</v>
      </c>
      <c r="S140" s="59">
        <f ca="1">AVERAGE(OFFSET($R$3,0,0,'Données projet'!$E$9+1,1))-AVERAGE(OFFSET($H$3,0,0,'Données projet'!$E$9+1,1))</f>
        <v>320.30433416149219</v>
      </c>
      <c r="T140" s="59">
        <f t="shared" si="142"/>
        <v>201.33422682092797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139.5031707058512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139.5031707058512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68.596283203241967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763.00000000000057</v>
      </c>
      <c r="AJ140" s="13">
        <f>AI140*VLOOKUP('Données projet'!$B$10,Paramètres!$A$1:$I$89,3,0)*VLOOKUP('Données projet'!$B$10,Paramètres!$A$1:$I$89,5,0)</f>
        <v>456.2740000000004</v>
      </c>
      <c r="AK140" s="13">
        <f t="shared" si="143"/>
        <v>103.09649786611838</v>
      </c>
      <c r="AL140" s="20">
        <f t="shared" si="112"/>
        <v>974.23695045015677</v>
      </c>
      <c r="AM140" s="59">
        <f t="shared" si="113"/>
        <v>1262.4233221953773</v>
      </c>
      <c r="AN140" s="59">
        <f ca="1">AVERAGE(OFFSET($AM$3,0,0,'Données projet'!$E$10+1,1))-AVERAGE(OFFSET($H$3,0,0,'Données projet'!$E$10+1,1))</f>
        <v>569.80473816957431</v>
      </c>
      <c r="AO140" s="59">
        <f t="shared" si="144"/>
        <v>495.56567790763199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34.41766283045925</v>
      </c>
      <c r="AV140" s="21">
        <f>EXP(-LN(2)/25)*AV139+(1-EXP(-LN(2)/25))/(LN(2)/25)*Calculateur!AQ140*Calculateur!AS140*VLOOKUP('Données projet'!$B$10,Paramètres!$A$1:$I$89,3,0)*0.475*44/12</f>
        <v>3.3675284608570042</v>
      </c>
      <c r="AW140" s="21">
        <f>EXP(-LN(2)/2)*AW139+(1-EXP(-LN(2)/2))/(LN(2)/2)*AQ140*AT140*VLOOKUP('Données projet'!$B$10,Paramètres!$A$1:$I$89,3,0)*0.475*44/12</f>
        <v>6.1663231779105362E-18</v>
      </c>
      <c r="AX140" s="21">
        <f t="shared" si="114"/>
        <v>37.785191291316252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68.596283203241967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-2.5006556825246661E-14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180.42749272334603</v>
      </c>
      <c r="BJ140" s="59">
        <f t="shared" si="146"/>
        <v>346.61476512497495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7.6826554315485129</v>
      </c>
      <c r="BQ140" s="21">
        <f>EXP(-LN(2)/25)*BQ139+(1-EXP(-LN(2)/25))/(LN(2)/25)*Calculateur!BL140*Calculateur!BN140*VLOOKUP('Données projet'!$B$11,Paramètres!$A$1:$I$89,3,0)*0.475*44/12</f>
        <v>0.85264417531675463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8.5352996068652676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68.596283203241967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19.8100000000004</v>
      </c>
      <c r="BZ140" s="13">
        <f>BY140*VLOOKUP('Données projet'!$B$12,Paramètres!$A$1:$I$89,3,0)*VLOOKUP('Données projet'!$B$12,Paramètres!$A$1:$I$89,5,0)</f>
        <v>17.924088000000364</v>
      </c>
      <c r="CA140" s="13">
        <f t="shared" si="147"/>
        <v>5.9032212091029486</v>
      </c>
      <c r="CB140" s="20">
        <f t="shared" si="118"/>
        <v>41.499230205854936</v>
      </c>
      <c r="CC140" s="59">
        <f t="shared" si="119"/>
        <v>329.68560195107551</v>
      </c>
      <c r="CD140" s="59">
        <f ca="1">AVERAGE(OFFSET($CC$3,0,0,'Données projet'!$E$12+1,1))-AVERAGE(OFFSET($H$3,0,0,'Données projet'!$E$12+1,1))</f>
        <v>553.16421218123958</v>
      </c>
      <c r="CE140" s="59">
        <f t="shared" si="148"/>
        <v>291.73668613844416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246.039321393401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246.039321393401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68.596283203241967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19.8100000000004</v>
      </c>
      <c r="CU140" s="17">
        <f>CT140*VLOOKUP('Données projet'!$B$13,Paramètres!$A$1:$I$89,3,0)*VLOOKUP('Données projet'!$B$13,Paramètres!$A$1:$I$89,5,0)</f>
        <v>20.08734000000041</v>
      </c>
      <c r="CV140" s="13">
        <f t="shared" si="149"/>
        <v>6.5285137703520215</v>
      </c>
      <c r="CW140" s="20">
        <f t="shared" si="121"/>
        <v>46.355945316697152</v>
      </c>
      <c r="CX140" s="59">
        <f t="shared" si="122"/>
        <v>334.54231706191774</v>
      </c>
      <c r="CY140" s="59">
        <f ca="1">AVERAGE(OFFSET($CX$3,0,0,'Données projet'!$E$13+1,1))-AVERAGE(OFFSET($H$3,0,0,'Données projet'!$E$13+1,1))</f>
        <v>611.82989382187804</v>
      </c>
      <c r="CZ140" s="59">
        <f t="shared" si="150"/>
        <v>320.34124600136363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275.73372225122529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275.73372225122529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68.596283203241967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19.8100000000004</v>
      </c>
      <c r="DP140" s="17">
        <f>DO140*VLOOKUP('Données projet'!$B$14,Paramètres!$A$1:$I$89,3,0)*VLOOKUP('Données projet'!$B$14,Paramètres!$A$1:$I$89,5,0)</f>
        <v>21.323484000000427</v>
      </c>
      <c r="DQ140" s="13">
        <f t="shared" si="151"/>
        <v>6.88226100850307</v>
      </c>
      <c r="DR140" s="20">
        <f t="shared" si="124"/>
        <v>49.125005889810261</v>
      </c>
      <c r="DS140" s="59">
        <f t="shared" si="125"/>
        <v>337.31137763503085</v>
      </c>
      <c r="DT140" s="59">
        <f ca="1">AVERAGE(OFFSET($DS$3,0,0,'Données projet'!$E$14+1,1))-AVERAGE(OFFSET($H$3,0,0,'Données projet'!$E$14+1,1))</f>
        <v>645.29541304800614</v>
      </c>
      <c r="DU140" s="59">
        <f t="shared" si="152"/>
        <v>336.65580771733323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292.70195131283907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292.70195131283907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68.596283203241967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319</v>
      </c>
      <c r="EK140" s="17">
        <f>EJ140*VLOOKUP('Données projet'!$B$15,Paramètres!$A$1:$I$89,3,0)*VLOOKUP('Données projet'!$B$15,Paramètres!$A$1:$I$89,5,0)</f>
        <v>233.89079999999998</v>
      </c>
      <c r="EL140" s="13">
        <f t="shared" si="153"/>
        <v>57.123140349023068</v>
      </c>
      <c r="EM140" s="20">
        <f t="shared" si="127"/>
        <v>506.84927944121517</v>
      </c>
      <c r="EN140" s="59">
        <f t="shared" si="128"/>
        <v>795.03565118643576</v>
      </c>
      <c r="EO140" s="59">
        <f ca="1">AVERAGE(OFFSET($EN$3,0,0,'Données projet'!$E$15+1,1))-AVERAGE(OFFSET($H$3,0,0,'Données projet'!$E$15+1,1))</f>
        <v>343.31122043016137</v>
      </c>
      <c r="EP140" s="59">
        <f t="shared" si="154"/>
        <v>333.61098411258877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12.856527491676205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12.856527491676205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68.596283203241967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319</v>
      </c>
      <c r="FF140" s="17">
        <f>FE140*VLOOKUP('Données projet'!$B$16,Paramètres!$A$1:$I$89,3,0)*VLOOKUP('Données projet'!$B$16,Paramètres!$A$1:$I$89,5,0)</f>
        <v>253.79640000000001</v>
      </c>
      <c r="FG140" s="13">
        <f t="shared" si="155"/>
        <v>61.39816832228076</v>
      </c>
      <c r="FH140" s="20">
        <f t="shared" si="130"/>
        <v>548.96387316130563</v>
      </c>
      <c r="FI140" s="59">
        <f t="shared" si="131"/>
        <v>837.15024490652627</v>
      </c>
      <c r="FJ140" s="59">
        <f ca="1">AVERAGE(OFFSET($FI$3,0,0,'Données projet'!$E$16+1,1))-AVERAGE(OFFSET($H$3,0,0,'Données projet'!$E$16+1,1))</f>
        <v>368.12945163484585</v>
      </c>
      <c r="FK140" s="59">
        <f t="shared" si="156"/>
        <v>357.27183934545121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17.19504889163818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17.19504889163818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68.596283203241967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68.596283203241967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3.0869565217391299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11.318840579710143</v>
      </c>
      <c r="H141" s="66">
        <f t="shared" si="110"/>
        <v>211.39130434782609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68.620634551425098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5.2499999999990337</v>
      </c>
      <c r="O141" s="13">
        <f>N141*VLOOKUP('Données projet'!$B$9,Paramètres!$A$1:$I$89,3,0)*VLOOKUP('Données projet'!$B$9,Paramètres!$A$1:$I$89,5,0)</f>
        <v>2.4569999999995478</v>
      </c>
      <c r="P141" s="13">
        <f t="shared" si="141"/>
        <v>1.0197977774625564</v>
      </c>
      <c r="Q141" s="20">
        <f t="shared" si="108"/>
        <v>6.0554227957464972</v>
      </c>
      <c r="R141" s="59">
        <f t="shared" si="109"/>
        <v>294.3310828176385</v>
      </c>
      <c r="S141" s="59">
        <f ca="1">AVERAGE(OFFSET($R$3,0,0,'Données projet'!$E$9+1,1))-AVERAGE(OFFSET($H$3,0,0,'Données projet'!$E$9+1,1))</f>
        <v>320.30433416149219</v>
      </c>
      <c r="T141" s="59">
        <f t="shared" si="142"/>
        <v>201.33422682092797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136.76759861684181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136.76759861684181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68.620634551425098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763.00000000000057</v>
      </c>
      <c r="AJ141" s="13">
        <f>AI141*VLOOKUP('Données projet'!$B$10,Paramètres!$A$1:$I$89,3,0)*VLOOKUP('Données projet'!$B$10,Paramètres!$A$1:$I$89,5,0)</f>
        <v>456.2740000000004</v>
      </c>
      <c r="AK141" s="13">
        <f t="shared" si="143"/>
        <v>103.09649786611838</v>
      </c>
      <c r="AL141" s="20">
        <f t="shared" si="112"/>
        <v>974.23695045015677</v>
      </c>
      <c r="AM141" s="59">
        <f t="shared" si="113"/>
        <v>1262.5126104720489</v>
      </c>
      <c r="AN141" s="59">
        <f ca="1">AVERAGE(OFFSET($AM$3,0,0,'Données projet'!$E$10+1,1))-AVERAGE(OFFSET($H$3,0,0,'Données projet'!$E$10+1,1))</f>
        <v>569.80473816957431</v>
      </c>
      <c r="AO141" s="59">
        <f t="shared" si="144"/>
        <v>495.56567790763199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33.742753455055414</v>
      </c>
      <c r="AV141" s="21">
        <f>EXP(-LN(2)/25)*AV140+(1-EXP(-LN(2)/25))/(LN(2)/25)*Calculateur!AQ141*Calculateur!AS141*VLOOKUP('Données projet'!$B$10,Paramètres!$A$1:$I$89,3,0)*0.475*44/12</f>
        <v>3.2754432180042441</v>
      </c>
      <c r="AW141" s="21">
        <f>EXP(-LN(2)/2)*AW140+(1-EXP(-LN(2)/2))/(LN(2)/2)*AQ141*AT141*VLOOKUP('Données projet'!$B$10,Paramètres!$A$1:$I$89,3,0)*0.475*44/12</f>
        <v>4.3602489340883218E-18</v>
      </c>
      <c r="AX141" s="21">
        <f t="shared" si="114"/>
        <v>37.018196673059656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68.620634551425098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-2.5006556825246661E-14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180.42749272334603</v>
      </c>
      <c r="BJ141" s="59">
        <f t="shared" si="146"/>
        <v>346.61476512497495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7.5320032444929597</v>
      </c>
      <c r="BQ141" s="21">
        <f>EXP(-LN(2)/25)*BQ140+(1-EXP(-LN(2)/25))/(LN(2)/25)*Calculateur!BL141*Calculateur!BN141*VLOOKUP('Données projet'!$B$11,Paramètres!$A$1:$I$89,3,0)*0.475*44/12</f>
        <v>0.82932857550410954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8.3613318199970692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68.620634551425098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19.8100000000004</v>
      </c>
      <c r="BZ141" s="13">
        <f>BY141*VLOOKUP('Données projet'!$B$12,Paramètres!$A$1:$I$89,3,0)*VLOOKUP('Données projet'!$B$12,Paramètres!$A$1:$I$89,5,0)</f>
        <v>17.924088000000364</v>
      </c>
      <c r="CA141" s="13">
        <f t="shared" si="147"/>
        <v>5.9032212091029486</v>
      </c>
      <c r="CB141" s="20">
        <f t="shared" si="118"/>
        <v>41.499230205854936</v>
      </c>
      <c r="CC141" s="59">
        <f t="shared" si="119"/>
        <v>329.77489022774694</v>
      </c>
      <c r="CD141" s="59">
        <f ca="1">AVERAGE(OFFSET($CC$3,0,0,'Données projet'!$E$12+1,1))-AVERAGE(OFFSET($H$3,0,0,'Données projet'!$E$12+1,1))</f>
        <v>553.16421218123958</v>
      </c>
      <c r="CE141" s="59">
        <f t="shared" si="148"/>
        <v>291.73668613844416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241.21464037004435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241.21464037004435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68.620634551425098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19.8100000000004</v>
      </c>
      <c r="CU141" s="17">
        <f>CT141*VLOOKUP('Données projet'!$B$13,Paramètres!$A$1:$I$89,3,0)*VLOOKUP('Données projet'!$B$13,Paramètres!$A$1:$I$89,5,0)</f>
        <v>20.08734000000041</v>
      </c>
      <c r="CV141" s="13">
        <f t="shared" si="149"/>
        <v>6.5285137703520215</v>
      </c>
      <c r="CW141" s="20">
        <f t="shared" si="121"/>
        <v>46.355945316697152</v>
      </c>
      <c r="CX141" s="59">
        <f t="shared" si="122"/>
        <v>334.63160533858917</v>
      </c>
      <c r="CY141" s="59">
        <f ca="1">AVERAGE(OFFSET($CX$3,0,0,'Données projet'!$E$13+1,1))-AVERAGE(OFFSET($H$3,0,0,'Données projet'!$E$13+1,1))</f>
        <v>611.82989382187804</v>
      </c>
      <c r="CZ141" s="59">
        <f t="shared" si="150"/>
        <v>320.34124600136363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270.32675213884283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270.32675213884283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68.620634551425098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19.8100000000004</v>
      </c>
      <c r="DP141" s="17">
        <f>DO141*VLOOKUP('Données projet'!$B$14,Paramètres!$A$1:$I$89,3,0)*VLOOKUP('Données projet'!$B$14,Paramètres!$A$1:$I$89,5,0)</f>
        <v>21.323484000000427</v>
      </c>
      <c r="DQ141" s="13">
        <f t="shared" si="151"/>
        <v>6.88226100850307</v>
      </c>
      <c r="DR141" s="20">
        <f t="shared" si="124"/>
        <v>49.125005889810261</v>
      </c>
      <c r="DS141" s="59">
        <f t="shared" si="125"/>
        <v>337.40066591170228</v>
      </c>
      <c r="DT141" s="59">
        <f ca="1">AVERAGE(OFFSET($DS$3,0,0,'Données projet'!$E$14+1,1))-AVERAGE(OFFSET($H$3,0,0,'Données projet'!$E$14+1,1))</f>
        <v>645.29541304800614</v>
      </c>
      <c r="DU141" s="59">
        <f t="shared" si="152"/>
        <v>336.65580771733323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286.96224457815617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286.96224457815617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68.620634551425098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319</v>
      </c>
      <c r="EK141" s="17">
        <f>EJ141*VLOOKUP('Données projet'!$B$15,Paramètres!$A$1:$I$89,3,0)*VLOOKUP('Données projet'!$B$15,Paramètres!$A$1:$I$89,5,0)</f>
        <v>233.89079999999998</v>
      </c>
      <c r="EL141" s="13">
        <f t="shared" si="153"/>
        <v>57.123140349023068</v>
      </c>
      <c r="EM141" s="20">
        <f t="shared" si="127"/>
        <v>506.84927944121517</v>
      </c>
      <c r="EN141" s="59">
        <f t="shared" si="128"/>
        <v>795.12493946310724</v>
      </c>
      <c r="EO141" s="59">
        <f ca="1">AVERAGE(OFFSET($EN$3,0,0,'Données projet'!$E$15+1,1))-AVERAGE(OFFSET($H$3,0,0,'Données projet'!$E$15+1,1))</f>
        <v>343.31122043016137</v>
      </c>
      <c r="EP141" s="59">
        <f t="shared" si="154"/>
        <v>333.61098411258877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12.6044188292719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12.6044188292719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68.620634551425098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319</v>
      </c>
      <c r="FF141" s="17">
        <f>FE141*VLOOKUP('Données projet'!$B$16,Paramètres!$A$1:$I$89,3,0)*VLOOKUP('Données projet'!$B$16,Paramètres!$A$1:$I$89,5,0)</f>
        <v>253.79640000000001</v>
      </c>
      <c r="FG141" s="13">
        <f t="shared" si="155"/>
        <v>61.39816832228076</v>
      </c>
      <c r="FH141" s="20">
        <f t="shared" si="130"/>
        <v>548.96387316130563</v>
      </c>
      <c r="FI141" s="59">
        <f t="shared" si="131"/>
        <v>837.23953318319764</v>
      </c>
      <c r="FJ141" s="59">
        <f ca="1">AVERAGE(OFFSET($FI$3,0,0,'Données projet'!$E$16+1,1))-AVERAGE(OFFSET($H$3,0,0,'Données projet'!$E$16+1,1))</f>
        <v>368.12945163484585</v>
      </c>
      <c r="FK141" s="59">
        <f t="shared" si="156"/>
        <v>357.27183934545121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16.857864470817379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16.857864470817379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68.620634551425098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68.620634551425098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3.0869565217391299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11.318840579710143</v>
      </c>
      <c r="H142" s="66">
        <f t="shared" si="110"/>
        <v>211.39130434782609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68.644563458158729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5.2499999999990337</v>
      </c>
      <c r="O142" s="13">
        <f>N142*VLOOKUP('Données projet'!$B$9,Paramètres!$A$1:$I$89,3,0)*VLOOKUP('Données projet'!$B$9,Paramètres!$A$1:$I$89,5,0)</f>
        <v>2.4569999999995478</v>
      </c>
      <c r="P142" s="13">
        <f t="shared" si="141"/>
        <v>1.0197977774625564</v>
      </c>
      <c r="Q142" s="20">
        <f t="shared" si="108"/>
        <v>6.0554227957464972</v>
      </c>
      <c r="R142" s="59">
        <f t="shared" si="109"/>
        <v>294.41882214232851</v>
      </c>
      <c r="S142" s="59">
        <f ca="1">AVERAGE(OFFSET($R$3,0,0,'Données projet'!$E$9+1,1))-AVERAGE(OFFSET($H$3,0,0,'Données projet'!$E$9+1,1))</f>
        <v>320.30433416149219</v>
      </c>
      <c r="T142" s="59">
        <f t="shared" si="142"/>
        <v>201.33422682092797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134.08566942796367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134.08566942796367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68.644563458158729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763.00000000000057</v>
      </c>
      <c r="AJ142" s="13">
        <f>AI142*VLOOKUP('Données projet'!$B$10,Paramètres!$A$1:$I$89,3,0)*VLOOKUP('Données projet'!$B$10,Paramètres!$A$1:$I$89,5,0)</f>
        <v>456.2740000000004</v>
      </c>
      <c r="AK142" s="13">
        <f t="shared" si="143"/>
        <v>103.09649786611838</v>
      </c>
      <c r="AL142" s="20">
        <f t="shared" si="112"/>
        <v>974.23695045015677</v>
      </c>
      <c r="AM142" s="59">
        <f t="shared" si="113"/>
        <v>1262.6003497967388</v>
      </c>
      <c r="AN142" s="59">
        <f ca="1">AVERAGE(OFFSET($AM$3,0,0,'Données projet'!$E$10+1,1))-AVERAGE(OFFSET($H$3,0,0,'Données projet'!$E$10+1,1))</f>
        <v>569.80473816957431</v>
      </c>
      <c r="AO142" s="59">
        <f t="shared" si="144"/>
        <v>495.56567790763199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33.081078640849178</v>
      </c>
      <c r="AV142" s="21">
        <f>EXP(-LN(2)/25)*AV141+(1-EXP(-LN(2)/25))/(LN(2)/25)*Calculateur!AQ142*Calculateur!AS142*VLOOKUP('Données projet'!$B$10,Paramètres!$A$1:$I$89,3,0)*0.475*44/12</f>
        <v>3.1858760509598452</v>
      </c>
      <c r="AW142" s="21">
        <f>EXP(-LN(2)/2)*AW141+(1-EXP(-LN(2)/2))/(LN(2)/2)*AQ142*AT142*VLOOKUP('Données projet'!$B$10,Paramètres!$A$1:$I$89,3,0)*0.475*44/12</f>
        <v>3.0831615889552681E-18</v>
      </c>
      <c r="AX142" s="21">
        <f t="shared" si="114"/>
        <v>36.266954691809026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68.644563458158729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-2.5006556825246661E-14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180.42749272334603</v>
      </c>
      <c r="BJ142" s="59">
        <f t="shared" si="146"/>
        <v>346.61476512497495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7.3843052549368053</v>
      </c>
      <c r="BQ142" s="21">
        <f>EXP(-LN(2)/25)*BQ141+(1-EXP(-LN(2)/25))/(LN(2)/25)*Calculateur!BL142*Calculateur!BN142*VLOOKUP('Données projet'!$B$11,Paramètres!$A$1:$I$89,3,0)*0.475*44/12</f>
        <v>0.80665054199445529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8.1909557969312612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68.644563458158729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19.8100000000004</v>
      </c>
      <c r="BZ142" s="13">
        <f>BY142*VLOOKUP('Données projet'!$B$12,Paramètres!$A$1:$I$89,3,0)*VLOOKUP('Données projet'!$B$12,Paramètres!$A$1:$I$89,5,0)</f>
        <v>17.924088000000364</v>
      </c>
      <c r="CA142" s="13">
        <f t="shared" si="147"/>
        <v>5.9032212091029486</v>
      </c>
      <c r="CB142" s="20">
        <f t="shared" si="118"/>
        <v>41.499230205854936</v>
      </c>
      <c r="CC142" s="59">
        <f t="shared" si="119"/>
        <v>329.86262955243694</v>
      </c>
      <c r="CD142" s="59">
        <f ca="1">AVERAGE(OFFSET($CC$3,0,0,'Données projet'!$E$12+1,1))-AVERAGE(OFFSET($H$3,0,0,'Données projet'!$E$12+1,1))</f>
        <v>553.16421218123958</v>
      </c>
      <c r="CE142" s="59">
        <f t="shared" si="148"/>
        <v>291.73668613844416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236.48456839879088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236.48456839879088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68.644563458158729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19.8100000000004</v>
      </c>
      <c r="CU142" s="17">
        <f>CT142*VLOOKUP('Données projet'!$B$13,Paramètres!$A$1:$I$89,3,0)*VLOOKUP('Données projet'!$B$13,Paramètres!$A$1:$I$89,5,0)</f>
        <v>20.08734000000041</v>
      </c>
      <c r="CV142" s="13">
        <f t="shared" si="149"/>
        <v>6.5285137703520215</v>
      </c>
      <c r="CW142" s="20">
        <f t="shared" si="121"/>
        <v>46.355945316697152</v>
      </c>
      <c r="CX142" s="59">
        <f t="shared" si="122"/>
        <v>334.71934466327917</v>
      </c>
      <c r="CY142" s="59">
        <f ca="1">AVERAGE(OFFSET($CX$3,0,0,'Données projet'!$E$13+1,1))-AVERAGE(OFFSET($H$3,0,0,'Données projet'!$E$13+1,1))</f>
        <v>611.82989382187804</v>
      </c>
      <c r="CZ142" s="59">
        <f t="shared" si="150"/>
        <v>320.34124600136363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265.02580941243809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265.02580941243809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68.644563458158729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19.8100000000004</v>
      </c>
      <c r="DP142" s="17">
        <f>DO142*VLOOKUP('Données projet'!$B$14,Paramètres!$A$1:$I$89,3,0)*VLOOKUP('Données projet'!$B$14,Paramètres!$A$1:$I$89,5,0)</f>
        <v>21.323484000000427</v>
      </c>
      <c r="DQ142" s="13">
        <f t="shared" si="151"/>
        <v>6.88226100850307</v>
      </c>
      <c r="DR142" s="20">
        <f t="shared" si="124"/>
        <v>49.125005889810261</v>
      </c>
      <c r="DS142" s="59">
        <f t="shared" si="125"/>
        <v>337.48840523639228</v>
      </c>
      <c r="DT142" s="59">
        <f ca="1">AVERAGE(OFFSET($DS$3,0,0,'Données projet'!$E$14+1,1))-AVERAGE(OFFSET($H$3,0,0,'Données projet'!$E$14+1,1))</f>
        <v>645.29541304800614</v>
      </c>
      <c r="DU142" s="59">
        <f t="shared" si="152"/>
        <v>336.65580771733323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281.33508999166497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281.33508999166497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68.644563458158729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319</v>
      </c>
      <c r="EK142" s="17">
        <f>EJ142*VLOOKUP('Données projet'!$B$15,Paramètres!$A$1:$I$89,3,0)*VLOOKUP('Données projet'!$B$15,Paramètres!$A$1:$I$89,5,0)</f>
        <v>233.89079999999998</v>
      </c>
      <c r="EL142" s="13">
        <f t="shared" si="153"/>
        <v>57.123140349023068</v>
      </c>
      <c r="EM142" s="20">
        <f t="shared" si="127"/>
        <v>506.84927944121517</v>
      </c>
      <c r="EN142" s="59">
        <f t="shared" si="128"/>
        <v>795.21267878779713</v>
      </c>
      <c r="EO142" s="59">
        <f ca="1">AVERAGE(OFFSET($EN$3,0,0,'Données projet'!$E$15+1,1))-AVERAGE(OFFSET($H$3,0,0,'Données projet'!$E$15+1,1))</f>
        <v>343.31122043016137</v>
      </c>
      <c r="EP142" s="59">
        <f t="shared" si="154"/>
        <v>333.61098411258877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12.357253863966243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12.357253863966243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68.644563458158729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319</v>
      </c>
      <c r="FF142" s="17">
        <f>FE142*VLOOKUP('Données projet'!$B$16,Paramètres!$A$1:$I$89,3,0)*VLOOKUP('Données projet'!$B$16,Paramètres!$A$1:$I$89,5,0)</f>
        <v>253.79640000000001</v>
      </c>
      <c r="FG142" s="13">
        <f t="shared" si="155"/>
        <v>61.39816832228076</v>
      </c>
      <c r="FH142" s="20">
        <f t="shared" si="130"/>
        <v>548.96387316130563</v>
      </c>
      <c r="FI142" s="59">
        <f t="shared" si="131"/>
        <v>837.32727250788764</v>
      </c>
      <c r="FJ142" s="59">
        <f ca="1">AVERAGE(OFFSET($FI$3,0,0,'Données projet'!$E$16+1,1))-AVERAGE(OFFSET($H$3,0,0,'Données projet'!$E$16+1,1))</f>
        <v>368.12945163484585</v>
      </c>
      <c r="FK142" s="59">
        <f t="shared" si="156"/>
        <v>357.27183934545121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16.527292030826686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16.527292030826686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68.644563458158729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68.644563458158729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3.0869565217391299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11.318840579710143</v>
      </c>
      <c r="H143" s="66">
        <f t="shared" si="110"/>
        <v>211.39130434782609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68.66807725185754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5.2499999999990337</v>
      </c>
      <c r="O143" s="13">
        <f>N143*VLOOKUP('Données projet'!$B$9,Paramètres!$A$1:$I$89,3,0)*VLOOKUP('Données projet'!$B$9,Paramètres!$A$1:$I$89,5,0)</f>
        <v>2.4569999999995478</v>
      </c>
      <c r="P143" s="13">
        <f t="shared" si="141"/>
        <v>1.0197977774625564</v>
      </c>
      <c r="Q143" s="20">
        <f t="shared" si="108"/>
        <v>6.0554227957464972</v>
      </c>
      <c r="R143" s="59">
        <f t="shared" si="109"/>
        <v>294.50503938589083</v>
      </c>
      <c r="S143" s="59">
        <f ca="1">AVERAGE(OFFSET($R$3,0,0,'Données projet'!$E$9+1,1))-AVERAGE(OFFSET($H$3,0,0,'Données projet'!$E$9+1,1))</f>
        <v>320.30433416149219</v>
      </c>
      <c r="T143" s="59">
        <f t="shared" si="142"/>
        <v>201.33422682092797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131.45633123466413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131.45633123466413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68.66807725185754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763.00000000000057</v>
      </c>
      <c r="AJ143" s="13">
        <f>AI143*VLOOKUP('Données projet'!$B$10,Paramètres!$A$1:$I$89,3,0)*VLOOKUP('Données projet'!$B$10,Paramètres!$A$1:$I$89,5,0)</f>
        <v>456.2740000000004</v>
      </c>
      <c r="AK143" s="13">
        <f t="shared" si="143"/>
        <v>103.09649786611838</v>
      </c>
      <c r="AL143" s="20">
        <f t="shared" si="112"/>
        <v>974.23695045015677</v>
      </c>
      <c r="AM143" s="59">
        <f t="shared" si="113"/>
        <v>1262.686567040301</v>
      </c>
      <c r="AN143" s="59">
        <f ca="1">AVERAGE(OFFSET($AM$3,0,0,'Données projet'!$E$10+1,1))-AVERAGE(OFFSET($H$3,0,0,'Données projet'!$E$10+1,1))</f>
        <v>569.80473816957431</v>
      </c>
      <c r="AO143" s="59">
        <f t="shared" si="144"/>
        <v>495.56567790763199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32.432378866167738</v>
      </c>
      <c r="AV143" s="21">
        <f>EXP(-LN(2)/25)*AV142+(1-EXP(-LN(2)/25))/(LN(2)/25)*Calculateur!AQ143*Calculateur!AS143*VLOOKUP('Données projet'!$B$10,Paramètres!$A$1:$I$89,3,0)*0.475*44/12</f>
        <v>3.0987581028084081</v>
      </c>
      <c r="AW143" s="21">
        <f>EXP(-LN(2)/2)*AW142+(1-EXP(-LN(2)/2))/(LN(2)/2)*AQ143*AT143*VLOOKUP('Données projet'!$B$10,Paramètres!$A$1:$I$89,3,0)*0.475*44/12</f>
        <v>2.1801244670441609E-18</v>
      </c>
      <c r="AX143" s="21">
        <f t="shared" si="114"/>
        <v>35.531136968976149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68.66807725185754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-2.5006556825246661E-14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180.42749272334603</v>
      </c>
      <c r="BJ143" s="59">
        <f t="shared" si="146"/>
        <v>346.61476512497495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7.2395035328689685</v>
      </c>
      <c r="BQ143" s="21">
        <f>EXP(-LN(2)/25)*BQ142+(1-EXP(-LN(2)/25))/(LN(2)/25)*Calculateur!BL143*Calculateur!BN143*VLOOKUP('Données projet'!$B$11,Paramètres!$A$1:$I$89,3,0)*0.475*44/12</f>
        <v>0.78459264050370858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8.0240961733726763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68.66807725185754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19.8100000000004</v>
      </c>
      <c r="BZ143" s="13">
        <f>BY143*VLOOKUP('Données projet'!$B$12,Paramètres!$A$1:$I$89,3,0)*VLOOKUP('Données projet'!$B$12,Paramètres!$A$1:$I$89,5,0)</f>
        <v>17.924088000000364</v>
      </c>
      <c r="CA143" s="13">
        <f t="shared" si="147"/>
        <v>5.9032212091029486</v>
      </c>
      <c r="CB143" s="20">
        <f t="shared" si="118"/>
        <v>41.499230205854936</v>
      </c>
      <c r="CC143" s="59">
        <f t="shared" si="119"/>
        <v>329.94884679599926</v>
      </c>
      <c r="CD143" s="59">
        <f ca="1">AVERAGE(OFFSET($CC$3,0,0,'Données projet'!$E$12+1,1))-AVERAGE(OFFSET($H$3,0,0,'Données projet'!$E$12+1,1))</f>
        <v>553.16421218123958</v>
      </c>
      <c r="CE143" s="59">
        <f t="shared" si="148"/>
        <v>291.73668613844416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231.84725025383466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231.84725025383466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68.66807725185754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19.8100000000004</v>
      </c>
      <c r="CU143" s="17">
        <f>CT143*VLOOKUP('Données projet'!$B$13,Paramètres!$A$1:$I$89,3,0)*VLOOKUP('Données projet'!$B$13,Paramètres!$A$1:$I$89,5,0)</f>
        <v>20.08734000000041</v>
      </c>
      <c r="CV143" s="13">
        <f t="shared" si="149"/>
        <v>6.5285137703520215</v>
      </c>
      <c r="CW143" s="20">
        <f t="shared" si="121"/>
        <v>46.355945316697152</v>
      </c>
      <c r="CX143" s="59">
        <f t="shared" si="122"/>
        <v>334.80556190684149</v>
      </c>
      <c r="CY143" s="59">
        <f ca="1">AVERAGE(OFFSET($CX$3,0,0,'Données projet'!$E$13+1,1))-AVERAGE(OFFSET($H$3,0,0,'Données projet'!$E$13+1,1))</f>
        <v>611.82989382187804</v>
      </c>
      <c r="CZ143" s="59">
        <f t="shared" si="150"/>
        <v>320.34124600136363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259.82881493964231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259.82881493964231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68.66807725185754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19.8100000000004</v>
      </c>
      <c r="DP143" s="17">
        <f>DO143*VLOOKUP('Données projet'!$B$14,Paramètres!$A$1:$I$89,3,0)*VLOOKUP('Données projet'!$B$14,Paramètres!$A$1:$I$89,5,0)</f>
        <v>21.323484000000427</v>
      </c>
      <c r="DQ143" s="13">
        <f t="shared" si="151"/>
        <v>6.88226100850307</v>
      </c>
      <c r="DR143" s="20">
        <f t="shared" si="124"/>
        <v>49.125005889810261</v>
      </c>
      <c r="DS143" s="59">
        <f t="shared" si="125"/>
        <v>337.5746224799546</v>
      </c>
      <c r="DT143" s="59">
        <f ca="1">AVERAGE(OFFSET($DS$3,0,0,'Données projet'!$E$14+1,1))-AVERAGE(OFFSET($H$3,0,0,'Données projet'!$E$14+1,1))</f>
        <v>645.29541304800614</v>
      </c>
      <c r="DU143" s="59">
        <f t="shared" si="152"/>
        <v>336.65580771733323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275.8182804743895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275.8182804743895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68.66807725185754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319</v>
      </c>
      <c r="EK143" s="17">
        <f>EJ143*VLOOKUP('Données projet'!$B$15,Paramètres!$A$1:$I$89,3,0)*VLOOKUP('Données projet'!$B$15,Paramètres!$A$1:$I$89,5,0)</f>
        <v>233.89079999999998</v>
      </c>
      <c r="EL143" s="13">
        <f t="shared" si="153"/>
        <v>57.123140349023068</v>
      </c>
      <c r="EM143" s="20">
        <f t="shared" si="127"/>
        <v>506.84927944121517</v>
      </c>
      <c r="EN143" s="59">
        <f t="shared" si="128"/>
        <v>795.2988960313595</v>
      </c>
      <c r="EO143" s="59">
        <f ca="1">AVERAGE(OFFSET($EN$3,0,0,'Données projet'!$E$15+1,1))-AVERAGE(OFFSET($H$3,0,0,'Données projet'!$E$15+1,1))</f>
        <v>343.31122043016137</v>
      </c>
      <c r="EP143" s="59">
        <f t="shared" si="154"/>
        <v>333.61098411258877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12.114935652874486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12.114935652874486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68.66807725185754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319</v>
      </c>
      <c r="FF143" s="17">
        <f>FE143*VLOOKUP('Données projet'!$B$16,Paramètres!$A$1:$I$89,3,0)*VLOOKUP('Données projet'!$B$16,Paramètres!$A$1:$I$89,5,0)</f>
        <v>253.79640000000001</v>
      </c>
      <c r="FG143" s="13">
        <f t="shared" si="155"/>
        <v>61.39816832228076</v>
      </c>
      <c r="FH143" s="20">
        <f t="shared" si="130"/>
        <v>548.96387316130563</v>
      </c>
      <c r="FI143" s="59">
        <f t="shared" si="131"/>
        <v>837.41348975145002</v>
      </c>
      <c r="FJ143" s="59">
        <f ca="1">AVERAGE(OFFSET($FI$3,0,0,'Données projet'!$E$16+1,1))-AVERAGE(OFFSET($H$3,0,0,'Données projet'!$E$16+1,1))</f>
        <v>368.12945163484585</v>
      </c>
      <c r="FK143" s="59">
        <f t="shared" si="156"/>
        <v>357.27183934545121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16.203201914754931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16.203201914754931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68.66807725185754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68.66807725185754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3.0869565217391299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11.318840579710143</v>
      </c>
      <c r="H144" s="66">
        <f t="shared" si="110"/>
        <v>211.39130434782609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68.691183133804628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5.2499999999990337</v>
      </c>
      <c r="O144" s="13">
        <f>N144*VLOOKUP('Données projet'!$B$9,Paramètres!$A$1:$I$89,3,0)*VLOOKUP('Données projet'!$B$9,Paramètres!$A$1:$I$89,5,0)</f>
        <v>2.4569999999995478</v>
      </c>
      <c r="P144" s="13">
        <f t="shared" si="141"/>
        <v>1.0197977774625564</v>
      </c>
      <c r="Q144" s="20">
        <f t="shared" si="108"/>
        <v>6.0554227957464972</v>
      </c>
      <c r="R144" s="59">
        <f t="shared" si="109"/>
        <v>294.58976095303012</v>
      </c>
      <c r="S144" s="59">
        <f ca="1">AVERAGE(OFFSET($R$3,0,0,'Données projet'!$E$9+1,1))-AVERAGE(OFFSET($H$3,0,0,'Données projet'!$E$9+1,1))</f>
        <v>320.30433416149219</v>
      </c>
      <c r="T144" s="59">
        <f t="shared" si="142"/>
        <v>201.33422682092797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128.87855275959726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128.87855275959726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68.691183133804628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763.00000000000057</v>
      </c>
      <c r="AJ144" s="13">
        <f>AI144*VLOOKUP('Données projet'!$B$10,Paramètres!$A$1:$I$89,3,0)*VLOOKUP('Données projet'!$B$10,Paramètres!$A$1:$I$89,5,0)</f>
        <v>456.2740000000004</v>
      </c>
      <c r="AK144" s="13">
        <f t="shared" si="143"/>
        <v>103.09649786611838</v>
      </c>
      <c r="AL144" s="20">
        <f t="shared" si="112"/>
        <v>974.23695045015677</v>
      </c>
      <c r="AM144" s="59">
        <f t="shared" si="113"/>
        <v>1262.7712886074405</v>
      </c>
      <c r="AN144" s="59">
        <f ca="1">AVERAGE(OFFSET($AM$3,0,0,'Données projet'!$E$10+1,1))-AVERAGE(OFFSET($H$3,0,0,'Données projet'!$E$10+1,1))</f>
        <v>569.80473816957431</v>
      </c>
      <c r="AO144" s="59">
        <f t="shared" si="144"/>
        <v>495.56567790763199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31.796399698400005</v>
      </c>
      <c r="AV144" s="21">
        <f>EXP(-LN(2)/25)*AV143+(1-EXP(-LN(2)/25))/(LN(2)/25)*Calculateur!AQ144*Calculateur!AS144*VLOOKUP('Données projet'!$B$10,Paramètres!$A$1:$I$89,3,0)*0.475*44/12</f>
        <v>3.0140223995305058</v>
      </c>
      <c r="AW144" s="21">
        <f>EXP(-LN(2)/2)*AW143+(1-EXP(-LN(2)/2))/(LN(2)/2)*AQ144*AT144*VLOOKUP('Données projet'!$B$10,Paramètres!$A$1:$I$89,3,0)*0.475*44/12</f>
        <v>1.541580794477634E-18</v>
      </c>
      <c r="AX144" s="21">
        <f t="shared" si="114"/>
        <v>34.810422097930513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68.691183133804628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-2.5006556825246661E-14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180.42749272334603</v>
      </c>
      <c r="BJ144" s="59">
        <f t="shared" si="146"/>
        <v>346.61476512497495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7.0975412842505525</v>
      </c>
      <c r="BQ144" s="21">
        <f>EXP(-LN(2)/25)*BQ143+(1-EXP(-LN(2)/25))/(LN(2)/25)*Calculateur!BL144*Calculateur!BN144*VLOOKUP('Données projet'!$B$11,Paramètres!$A$1:$I$89,3,0)*0.475*44/12</f>
        <v>0.7631379134892009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7.8606791977397537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68.691183133804628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19.8100000000004</v>
      </c>
      <c r="BZ144" s="13">
        <f>BY144*VLOOKUP('Données projet'!$B$12,Paramètres!$A$1:$I$89,3,0)*VLOOKUP('Données projet'!$B$12,Paramètres!$A$1:$I$89,5,0)</f>
        <v>17.924088000000364</v>
      </c>
      <c r="CA144" s="13">
        <f t="shared" si="147"/>
        <v>5.9032212091029486</v>
      </c>
      <c r="CB144" s="20">
        <f t="shared" si="118"/>
        <v>41.499230205854936</v>
      </c>
      <c r="CC144" s="59">
        <f t="shared" si="119"/>
        <v>330.03356836313856</v>
      </c>
      <c r="CD144" s="59">
        <f ca="1">AVERAGE(OFFSET($CC$3,0,0,'Données projet'!$E$12+1,1))-AVERAGE(OFFSET($H$3,0,0,'Données projet'!$E$12+1,1))</f>
        <v>553.16421218123958</v>
      </c>
      <c r="CE144" s="59">
        <f t="shared" si="148"/>
        <v>291.73668613844416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227.30086708921627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227.30086708921627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68.691183133804628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19.8100000000004</v>
      </c>
      <c r="CU144" s="17">
        <f>CT144*VLOOKUP('Données projet'!$B$13,Paramètres!$A$1:$I$89,3,0)*VLOOKUP('Données projet'!$B$13,Paramètres!$A$1:$I$89,5,0)</f>
        <v>20.08734000000041</v>
      </c>
      <c r="CV144" s="13">
        <f t="shared" si="149"/>
        <v>6.5285137703520215</v>
      </c>
      <c r="CW144" s="20">
        <f t="shared" si="121"/>
        <v>46.355945316697152</v>
      </c>
      <c r="CX144" s="59">
        <f t="shared" si="122"/>
        <v>334.89028347398079</v>
      </c>
      <c r="CY144" s="59">
        <f ca="1">AVERAGE(OFFSET($CX$3,0,0,'Données projet'!$E$13+1,1))-AVERAGE(OFFSET($H$3,0,0,'Données projet'!$E$13+1,1))</f>
        <v>611.82989382187804</v>
      </c>
      <c r="CZ144" s="59">
        <f t="shared" si="150"/>
        <v>320.34124600136363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254.73373035860445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254.73373035860445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68.691183133804628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19.8100000000004</v>
      </c>
      <c r="DP144" s="17">
        <f>DO144*VLOOKUP('Données projet'!$B$14,Paramètres!$A$1:$I$89,3,0)*VLOOKUP('Données projet'!$B$14,Paramètres!$A$1:$I$89,5,0)</f>
        <v>21.323484000000427</v>
      </c>
      <c r="DQ144" s="13">
        <f t="shared" si="151"/>
        <v>6.88226100850307</v>
      </c>
      <c r="DR144" s="20">
        <f t="shared" si="124"/>
        <v>49.125005889810261</v>
      </c>
      <c r="DS144" s="59">
        <f t="shared" si="125"/>
        <v>337.6593440470939</v>
      </c>
      <c r="DT144" s="59">
        <f ca="1">AVERAGE(OFFSET($DS$3,0,0,'Données projet'!$E$14+1,1))-AVERAGE(OFFSET($H$3,0,0,'Données projet'!$E$14+1,1))</f>
        <v>645.29541304800614</v>
      </c>
      <c r="DU144" s="59">
        <f t="shared" si="152"/>
        <v>336.65580771733323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270.40965222682621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270.40965222682621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68.691183133804628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319</v>
      </c>
      <c r="EK144" s="17">
        <f>EJ144*VLOOKUP('Données projet'!$B$15,Paramètres!$A$1:$I$89,3,0)*VLOOKUP('Données projet'!$B$15,Paramètres!$A$1:$I$89,5,0)</f>
        <v>233.89079999999998</v>
      </c>
      <c r="EL144" s="13">
        <f t="shared" si="153"/>
        <v>57.123140349023068</v>
      </c>
      <c r="EM144" s="20">
        <f t="shared" si="127"/>
        <v>506.84927944121517</v>
      </c>
      <c r="EN144" s="59">
        <f t="shared" si="128"/>
        <v>795.38361759849886</v>
      </c>
      <c r="EO144" s="59">
        <f ca="1">AVERAGE(OFFSET($EN$3,0,0,'Données projet'!$E$15+1,1))-AVERAGE(OFFSET($H$3,0,0,'Données projet'!$E$15+1,1))</f>
        <v>343.31122043016137</v>
      </c>
      <c r="EP144" s="59">
        <f t="shared" si="154"/>
        <v>333.61098411258877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11.877369154102725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11.877369154102725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68.691183133804628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319</v>
      </c>
      <c r="FF144" s="17">
        <f>FE144*VLOOKUP('Données projet'!$B$16,Paramètres!$A$1:$I$89,3,0)*VLOOKUP('Données projet'!$B$16,Paramètres!$A$1:$I$89,5,0)</f>
        <v>253.79640000000001</v>
      </c>
      <c r="FG144" s="13">
        <f t="shared" si="155"/>
        <v>61.39816832228076</v>
      </c>
      <c r="FH144" s="20">
        <f t="shared" si="130"/>
        <v>548.96387316130563</v>
      </c>
      <c r="FI144" s="59">
        <f t="shared" si="131"/>
        <v>837.49821131858926</v>
      </c>
      <c r="FJ144" s="59">
        <f ca="1">AVERAGE(OFFSET($FI$3,0,0,'Données projet'!$E$16+1,1))-AVERAGE(OFFSET($H$3,0,0,'Données projet'!$E$16+1,1))</f>
        <v>368.12945163484585</v>
      </c>
      <c r="FK144" s="59">
        <f t="shared" si="156"/>
        <v>357.27183934545121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15.885467008183893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15.885467008183893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68.691183133804628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68.691183133804628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3.0869565217391299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11.318840579710143</v>
      </c>
      <c r="H145" s="66">
        <f t="shared" si="110"/>
        <v>211.39130434782609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68.713888180356975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5.2499999999990337</v>
      </c>
      <c r="O145" s="13">
        <f>N145*VLOOKUP('Données projet'!$B$9,Paramètres!$A$1:$I$89,3,0)*VLOOKUP('Données projet'!$B$9,Paramètres!$A$1:$I$89,5,0)</f>
        <v>2.4569999999995478</v>
      </c>
      <c r="P145" s="13">
        <f t="shared" si="141"/>
        <v>1.0197977774625564</v>
      </c>
      <c r="Q145" s="20">
        <f t="shared" si="108"/>
        <v>6.0554227957464972</v>
      </c>
      <c r="R145" s="59">
        <f t="shared" si="109"/>
        <v>294.67301279038873</v>
      </c>
      <c r="S145" s="59">
        <f ca="1">AVERAGE(OFFSET($R$3,0,0,'Données projet'!$E$9+1,1))-AVERAGE(OFFSET($H$3,0,0,'Données projet'!$E$9+1,1))</f>
        <v>320.30433416149219</v>
      </c>
      <c r="T145" s="59">
        <f t="shared" si="142"/>
        <v>201.33422682092797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126.35132294813683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126.35132294813683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68.713888180356975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763.00000000000057</v>
      </c>
      <c r="AJ145" s="13">
        <f>AI145*VLOOKUP('Données projet'!$B$10,Paramètres!$A$1:$I$89,3,0)*VLOOKUP('Données projet'!$B$10,Paramètres!$A$1:$I$89,5,0)</f>
        <v>456.2740000000004</v>
      </c>
      <c r="AK145" s="13">
        <f t="shared" si="143"/>
        <v>103.09649786611838</v>
      </c>
      <c r="AL145" s="20">
        <f t="shared" si="112"/>
        <v>974.23695045015677</v>
      </c>
      <c r="AM145" s="59">
        <f t="shared" si="113"/>
        <v>1262.8545404447991</v>
      </c>
      <c r="AN145" s="59">
        <f ca="1">AVERAGE(OFFSET($AM$3,0,0,'Données projet'!$E$10+1,1))-AVERAGE(OFFSET($H$3,0,0,'Données projet'!$E$10+1,1))</f>
        <v>569.80473816957431</v>
      </c>
      <c r="AO145" s="59">
        <f t="shared" si="144"/>
        <v>495.56567790763199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31.172891694203209</v>
      </c>
      <c r="AV145" s="21">
        <f>EXP(-LN(2)/25)*AV144+(1-EXP(-LN(2)/25))/(LN(2)/25)*Calculateur!AQ145*Calculateur!AS145*VLOOKUP('Données projet'!$B$10,Paramètres!$A$1:$I$89,3,0)*0.475*44/12</f>
        <v>2.9316037985147947</v>
      </c>
      <c r="AW145" s="21">
        <f>EXP(-LN(2)/2)*AW144+(1-EXP(-LN(2)/2))/(LN(2)/2)*AQ145*AT145*VLOOKUP('Données projet'!$B$10,Paramètres!$A$1:$I$89,3,0)*0.475*44/12</f>
        <v>1.0900622335220805E-18</v>
      </c>
      <c r="AX145" s="21">
        <f t="shared" si="114"/>
        <v>34.104495492718002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68.713888180356975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-2.5006556825246661E-14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180.42749272334603</v>
      </c>
      <c r="BJ145" s="59">
        <f t="shared" si="146"/>
        <v>346.61476512497495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6.9583628287391219</v>
      </c>
      <c r="BQ145" s="21">
        <f>EXP(-LN(2)/25)*BQ144+(1-EXP(-LN(2)/25))/(LN(2)/25)*Calculateur!BL145*Calculateur!BN145*VLOOKUP('Données projet'!$B$11,Paramètres!$A$1:$I$89,3,0)*0.475*44/12</f>
        <v>0.74226986711316001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7.7006326958522822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68.713888180356975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19.8100000000004</v>
      </c>
      <c r="BZ145" s="13">
        <f>BY145*VLOOKUP('Données projet'!$B$12,Paramètres!$A$1:$I$89,3,0)*VLOOKUP('Données projet'!$B$12,Paramètres!$A$1:$I$89,5,0)</f>
        <v>17.924088000000364</v>
      </c>
      <c r="CA145" s="13">
        <f t="shared" si="147"/>
        <v>5.9032212091029486</v>
      </c>
      <c r="CB145" s="20">
        <f t="shared" si="118"/>
        <v>41.499230205854936</v>
      </c>
      <c r="CC145" s="59">
        <f t="shared" si="119"/>
        <v>330.11682020049716</v>
      </c>
      <c r="CD145" s="59">
        <f ca="1">AVERAGE(OFFSET($CC$3,0,0,'Données projet'!$E$12+1,1))-AVERAGE(OFFSET($H$3,0,0,'Données projet'!$E$12+1,1))</f>
        <v>553.16421218123958</v>
      </c>
      <c r="CE145" s="59">
        <f t="shared" si="148"/>
        <v>291.73668613844416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222.84363572543612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222.84363572543612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68.713888180356975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19.8100000000004</v>
      </c>
      <c r="CU145" s="17">
        <f>CT145*VLOOKUP('Données projet'!$B$13,Paramètres!$A$1:$I$89,3,0)*VLOOKUP('Données projet'!$B$13,Paramètres!$A$1:$I$89,5,0)</f>
        <v>20.08734000000041</v>
      </c>
      <c r="CV145" s="13">
        <f t="shared" si="149"/>
        <v>6.5285137703520215</v>
      </c>
      <c r="CW145" s="20">
        <f t="shared" si="121"/>
        <v>46.355945316697152</v>
      </c>
      <c r="CX145" s="59">
        <f t="shared" si="122"/>
        <v>334.97353531133939</v>
      </c>
      <c r="CY145" s="59">
        <f ca="1">AVERAGE(OFFSET($CX$3,0,0,'Données projet'!$E$13+1,1))-AVERAGE(OFFSET($H$3,0,0,'Données projet'!$E$13+1,1))</f>
        <v>611.82989382187804</v>
      </c>
      <c r="CZ145" s="59">
        <f t="shared" si="150"/>
        <v>320.34124600136363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249.73855727850599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249.73855727850599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68.713888180356975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19.8100000000004</v>
      </c>
      <c r="DP145" s="17">
        <f>DO145*VLOOKUP('Données projet'!$B$14,Paramètres!$A$1:$I$89,3,0)*VLOOKUP('Données projet'!$B$14,Paramètres!$A$1:$I$89,5,0)</f>
        <v>21.323484000000427</v>
      </c>
      <c r="DQ145" s="13">
        <f t="shared" si="151"/>
        <v>6.88226100850307</v>
      </c>
      <c r="DR145" s="20">
        <f t="shared" si="124"/>
        <v>49.125005889810261</v>
      </c>
      <c r="DS145" s="59">
        <f t="shared" si="125"/>
        <v>337.7425958844525</v>
      </c>
      <c r="DT145" s="59">
        <f ca="1">AVERAGE(OFFSET($DS$3,0,0,'Données projet'!$E$14+1,1))-AVERAGE(OFFSET($H$3,0,0,'Données projet'!$E$14+1,1))</f>
        <v>645.29541304800614</v>
      </c>
      <c r="DU145" s="59">
        <f t="shared" si="152"/>
        <v>336.65580771733323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265.10708388026018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265.10708388026018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68.713888180356975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319</v>
      </c>
      <c r="EK145" s="17">
        <f>EJ145*VLOOKUP('Données projet'!$B$15,Paramètres!$A$1:$I$89,3,0)*VLOOKUP('Données projet'!$B$15,Paramètres!$A$1:$I$89,5,0)</f>
        <v>233.89079999999998</v>
      </c>
      <c r="EL145" s="13">
        <f t="shared" si="153"/>
        <v>57.123140349023068</v>
      </c>
      <c r="EM145" s="20">
        <f t="shared" si="127"/>
        <v>506.84927944121517</v>
      </c>
      <c r="EN145" s="59">
        <f t="shared" si="128"/>
        <v>795.46686943585746</v>
      </c>
      <c r="EO145" s="59">
        <f ca="1">AVERAGE(OFFSET($EN$3,0,0,'Données projet'!$E$15+1,1))-AVERAGE(OFFSET($H$3,0,0,'Données projet'!$E$15+1,1))</f>
        <v>343.31122043016137</v>
      </c>
      <c r="EP145" s="59">
        <f t="shared" si="154"/>
        <v>333.61098411258877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11.644461189470622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11.644461189470622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68.713888180356975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319</v>
      </c>
      <c r="FF145" s="17">
        <f>FE145*VLOOKUP('Données projet'!$B$16,Paramètres!$A$1:$I$89,3,0)*VLOOKUP('Données projet'!$B$16,Paramètres!$A$1:$I$89,5,0)</f>
        <v>253.79640000000001</v>
      </c>
      <c r="FG145" s="13">
        <f t="shared" si="155"/>
        <v>61.39816832228076</v>
      </c>
      <c r="FH145" s="20">
        <f t="shared" si="130"/>
        <v>548.96387316130563</v>
      </c>
      <c r="FI145" s="59">
        <f t="shared" si="131"/>
        <v>837.58146315594786</v>
      </c>
      <c r="FJ145" s="59">
        <f ca="1">AVERAGE(OFFSET($FI$3,0,0,'Données projet'!$E$16+1,1))-AVERAGE(OFFSET($H$3,0,0,'Données projet'!$E$16+1,1))</f>
        <v>368.12945163484585</v>
      </c>
      <c r="FK145" s="59">
        <f t="shared" si="156"/>
        <v>357.27183934545121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15.573962689331555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15.573962689331555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68.713888180356975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68.713888180356975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3.0869565217391299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11.318840579710143</v>
      </c>
      <c r="H146" s="66">
        <f t="shared" si="110"/>
        <v>211.39130434782609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68.73619934511251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5.2499999999990337</v>
      </c>
      <c r="O146" s="13">
        <f>N146*VLOOKUP('Données projet'!$B$9,Paramètres!$A$1:$I$89,3,0)*VLOOKUP('Données projet'!$B$9,Paramètres!$A$1:$I$89,5,0)</f>
        <v>2.4569999999995478</v>
      </c>
      <c r="P146" s="13">
        <f t="shared" si="141"/>
        <v>1.0197977774625564</v>
      </c>
      <c r="Q146" s="20">
        <f t="shared" si="108"/>
        <v>6.0554227957464972</v>
      </c>
      <c r="R146" s="59">
        <f t="shared" si="109"/>
        <v>294.75482039449236</v>
      </c>
      <c r="S146" s="59">
        <f ca="1">AVERAGE(OFFSET($R$3,0,0,'Données projet'!$E$9+1,1))-AVERAGE(OFFSET($H$3,0,0,'Données projet'!$E$9+1,1))</f>
        <v>320.30433416149219</v>
      </c>
      <c r="T146" s="59">
        <f t="shared" si="142"/>
        <v>201.33422682092797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123.87365057182116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123.87365057182116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68.73619934511251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763.00000000000057</v>
      </c>
      <c r="AJ146" s="13">
        <f>AI146*VLOOKUP('Données projet'!$B$10,Paramètres!$A$1:$I$89,3,0)*VLOOKUP('Données projet'!$B$10,Paramètres!$A$1:$I$89,5,0)</f>
        <v>456.2740000000004</v>
      </c>
      <c r="AK146" s="13">
        <f t="shared" si="143"/>
        <v>103.09649786611838</v>
      </c>
      <c r="AL146" s="20">
        <f t="shared" si="112"/>
        <v>974.23695045015677</v>
      </c>
      <c r="AM146" s="59">
        <f t="shared" si="113"/>
        <v>1262.9363480489026</v>
      </c>
      <c r="AN146" s="59">
        <f ca="1">AVERAGE(OFFSET($AM$3,0,0,'Données projet'!$E$10+1,1))-AVERAGE(OFFSET($H$3,0,0,'Données projet'!$E$10+1,1))</f>
        <v>569.80473816957431</v>
      </c>
      <c r="AO146" s="59">
        <f t="shared" si="144"/>
        <v>495.56567790763199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30.561610301666381</v>
      </c>
      <c r="AV146" s="21">
        <f>EXP(-LN(2)/25)*AV145+(1-EXP(-LN(2)/25))/(LN(2)/25)*Calculateur!AQ146*Calculateur!AS146*VLOOKUP('Données projet'!$B$10,Paramètres!$A$1:$I$89,3,0)*0.475*44/12</f>
        <v>2.8514389384780641</v>
      </c>
      <c r="AW146" s="21">
        <f>EXP(-LN(2)/2)*AW145+(1-EXP(-LN(2)/2))/(LN(2)/2)*AQ146*AT146*VLOOKUP('Données projet'!$B$10,Paramètres!$A$1:$I$89,3,0)*0.475*44/12</f>
        <v>7.7079039723881702E-19</v>
      </c>
      <c r="AX146" s="21">
        <f t="shared" si="114"/>
        <v>33.413049240144446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68.73619934511251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-2.5006556825246661E-14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180.42749272334603</v>
      </c>
      <c r="BJ146" s="59">
        <f t="shared" si="146"/>
        <v>346.61476512497495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6.821913577849795</v>
      </c>
      <c r="BQ146" s="21">
        <f>EXP(-LN(2)/25)*BQ145+(1-EXP(-LN(2)/25))/(LN(2)/25)*Calculateur!BL146*Calculateur!BN146*VLOOKUP('Données projet'!$B$11,Paramètres!$A$1:$I$89,3,0)*0.475*44/12</f>
        <v>0.72197245856267478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7.54388603641247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68.73619934511251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19.8100000000004</v>
      </c>
      <c r="BZ146" s="13">
        <f>BY146*VLOOKUP('Données projet'!$B$12,Paramètres!$A$1:$I$89,3,0)*VLOOKUP('Données projet'!$B$12,Paramètres!$A$1:$I$89,5,0)</f>
        <v>17.924088000000364</v>
      </c>
      <c r="CA146" s="13">
        <f t="shared" si="147"/>
        <v>5.9032212091029486</v>
      </c>
      <c r="CB146" s="20">
        <f t="shared" si="118"/>
        <v>41.499230205854936</v>
      </c>
      <c r="CC146" s="59">
        <f t="shared" si="119"/>
        <v>330.19862780460079</v>
      </c>
      <c r="CD146" s="59">
        <f ca="1">AVERAGE(OFFSET($CC$3,0,0,'Données projet'!$E$12+1,1))-AVERAGE(OFFSET($H$3,0,0,'Données projet'!$E$12+1,1))</f>
        <v>553.16421218123958</v>
      </c>
      <c r="CE146" s="59">
        <f t="shared" si="148"/>
        <v>291.73668613844416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218.47380795005699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218.47380795005699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68.73619934511251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19.8100000000004</v>
      </c>
      <c r="CU146" s="17">
        <f>CT146*VLOOKUP('Données projet'!$B$13,Paramètres!$A$1:$I$89,3,0)*VLOOKUP('Données projet'!$B$13,Paramètres!$A$1:$I$89,5,0)</f>
        <v>20.08734000000041</v>
      </c>
      <c r="CV146" s="13">
        <f t="shared" si="149"/>
        <v>6.5285137703520215</v>
      </c>
      <c r="CW146" s="20">
        <f t="shared" si="121"/>
        <v>46.355945316697152</v>
      </c>
      <c r="CX146" s="59">
        <f t="shared" si="122"/>
        <v>335.05534291544302</v>
      </c>
      <c r="CY146" s="59">
        <f ca="1">AVERAGE(OFFSET($CX$3,0,0,'Données projet'!$E$13+1,1))-AVERAGE(OFFSET($H$3,0,0,'Données projet'!$E$13+1,1))</f>
        <v>611.82989382187804</v>
      </c>
      <c r="CZ146" s="59">
        <f t="shared" si="150"/>
        <v>320.34124600136363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244.84133649575355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244.84133649575355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68.73619934511251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19.8100000000004</v>
      </c>
      <c r="DP146" s="17">
        <f>DO146*VLOOKUP('Données projet'!$B$14,Paramètres!$A$1:$I$89,3,0)*VLOOKUP('Données projet'!$B$14,Paramètres!$A$1:$I$89,5,0)</f>
        <v>21.323484000000427</v>
      </c>
      <c r="DQ146" s="13">
        <f t="shared" si="151"/>
        <v>6.88226100850307</v>
      </c>
      <c r="DR146" s="20">
        <f t="shared" si="124"/>
        <v>49.125005889810261</v>
      </c>
      <c r="DS146" s="59">
        <f t="shared" si="125"/>
        <v>337.82440348855613</v>
      </c>
      <c r="DT146" s="59">
        <f ca="1">AVERAGE(OFFSET($DS$3,0,0,'Données projet'!$E$14+1,1))-AVERAGE(OFFSET($H$3,0,0,'Données projet'!$E$14+1,1))</f>
        <v>645.29541304800614</v>
      </c>
      <c r="DU146" s="59">
        <f t="shared" si="152"/>
        <v>336.65580771733323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259.90849566472298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259.90849566472298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68.73619934511251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319</v>
      </c>
      <c r="EK146" s="17">
        <f>EJ146*VLOOKUP('Données projet'!$B$15,Paramètres!$A$1:$I$89,3,0)*VLOOKUP('Données projet'!$B$15,Paramètres!$A$1:$I$89,5,0)</f>
        <v>233.89079999999998</v>
      </c>
      <c r="EL146" s="13">
        <f t="shared" si="153"/>
        <v>57.123140349023068</v>
      </c>
      <c r="EM146" s="20">
        <f t="shared" si="127"/>
        <v>506.84927944121517</v>
      </c>
      <c r="EN146" s="59">
        <f t="shared" si="128"/>
        <v>795.54867703996104</v>
      </c>
      <c r="EO146" s="59">
        <f ca="1">AVERAGE(OFFSET($EN$3,0,0,'Données projet'!$E$15+1,1))-AVERAGE(OFFSET($H$3,0,0,'Données projet'!$E$15+1,1))</f>
        <v>343.31122043016137</v>
      </c>
      <c r="EP146" s="59">
        <f t="shared" si="154"/>
        <v>333.61098411258877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11.416120407965122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11.416120407965122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68.73619934511251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319</v>
      </c>
      <c r="FF146" s="17">
        <f>FE146*VLOOKUP('Données projet'!$B$16,Paramètres!$A$1:$I$89,3,0)*VLOOKUP('Données projet'!$B$16,Paramètres!$A$1:$I$89,5,0)</f>
        <v>253.79640000000001</v>
      </c>
      <c r="FG146" s="13">
        <f t="shared" si="155"/>
        <v>61.39816832228076</v>
      </c>
      <c r="FH146" s="20">
        <f t="shared" si="130"/>
        <v>548.96387316130563</v>
      </c>
      <c r="FI146" s="59">
        <f t="shared" si="131"/>
        <v>837.66327076005155</v>
      </c>
      <c r="FJ146" s="59">
        <f ca="1">AVERAGE(OFFSET($FI$3,0,0,'Données projet'!$E$16+1,1))-AVERAGE(OFFSET($H$3,0,0,'Données projet'!$E$16+1,1))</f>
        <v>368.12945163484585</v>
      </c>
      <c r="FK146" s="59">
        <f t="shared" si="156"/>
        <v>357.27183934545121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15.268566780173037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15.268566780173037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68.73619934511251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68.73619934511251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3.0869565217391299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11.318840579710143</v>
      </c>
      <c r="H147" s="66">
        <f t="shared" si="110"/>
        <v>211.39130434782609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68.758123461039816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5.2499999999990337</v>
      </c>
      <c r="O147" s="13">
        <f>N147*VLOOKUP('Données projet'!$B$9,Paramètres!$A$1:$I$89,3,0)*VLOOKUP('Données projet'!$B$9,Paramètres!$A$1:$I$89,5,0)</f>
        <v>2.4569999999995478</v>
      </c>
      <c r="P147" s="13">
        <f t="shared" si="141"/>
        <v>1.0197977774625564</v>
      </c>
      <c r="Q147" s="20">
        <f t="shared" si="108"/>
        <v>6.0554227957464972</v>
      </c>
      <c r="R147" s="59">
        <f t="shared" si="109"/>
        <v>294.83520881955917</v>
      </c>
      <c r="S147" s="59">
        <f ca="1">AVERAGE(OFFSET($R$3,0,0,'Données projet'!$E$9+1,1))-AVERAGE(OFFSET($H$3,0,0,'Données projet'!$E$9+1,1))</f>
        <v>320.30433416149219</v>
      </c>
      <c r="T147" s="59">
        <f t="shared" si="142"/>
        <v>201.33422682092797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121.44456383957412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121.44456383957412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68.758123461039816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763.00000000000057</v>
      </c>
      <c r="AJ147" s="13">
        <f>AI147*VLOOKUP('Données projet'!$B$10,Paramètres!$A$1:$I$89,3,0)*VLOOKUP('Données projet'!$B$10,Paramètres!$A$1:$I$89,5,0)</f>
        <v>456.2740000000004</v>
      </c>
      <c r="AK147" s="13">
        <f t="shared" si="143"/>
        <v>103.09649786611838</v>
      </c>
      <c r="AL147" s="20">
        <f t="shared" si="112"/>
        <v>974.23695045015677</v>
      </c>
      <c r="AM147" s="59">
        <f t="shared" si="113"/>
        <v>1263.0167364739696</v>
      </c>
      <c r="AN147" s="59">
        <f ca="1">AVERAGE(OFFSET($AM$3,0,0,'Données projet'!$E$10+1,1))-AVERAGE(OFFSET($H$3,0,0,'Données projet'!$E$10+1,1))</f>
        <v>569.80473816957431</v>
      </c>
      <c r="AO147" s="59">
        <f t="shared" si="144"/>
        <v>495.56567790763199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29.962315764392368</v>
      </c>
      <c r="AV147" s="21">
        <f>EXP(-LN(2)/25)*AV146+(1-EXP(-LN(2)/25))/(LN(2)/25)*Calculateur!AQ147*Calculateur!AS147*VLOOKUP('Données projet'!$B$10,Paramètres!$A$1:$I$89,3,0)*0.475*44/12</f>
        <v>2.7734661907547249</v>
      </c>
      <c r="AW147" s="21">
        <f>EXP(-LN(2)/2)*AW146+(1-EXP(-LN(2)/2))/(LN(2)/2)*AQ147*AT147*VLOOKUP('Données projet'!$B$10,Paramètres!$A$1:$I$89,3,0)*0.475*44/12</f>
        <v>5.4503111676104023E-19</v>
      </c>
      <c r="AX147" s="21">
        <f t="shared" si="114"/>
        <v>32.73578195514709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68.758123461039816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-2.5006556825246661E-14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180.42749272334603</v>
      </c>
      <c r="BJ147" s="59">
        <f t="shared" si="146"/>
        <v>346.61476512497495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6.688140013544583</v>
      </c>
      <c r="BQ147" s="21">
        <f>EXP(-LN(2)/25)*BQ146+(1-EXP(-LN(2)/25))/(LN(2)/25)*Calculateur!BL147*Calculateur!BN147*VLOOKUP('Données projet'!$B$11,Paramètres!$A$1:$I$89,3,0)*0.475*44/12</f>
        <v>0.70223008371639695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7.3903700972609796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68.758123461039816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19.8100000000004</v>
      </c>
      <c r="BZ147" s="13">
        <f>BY147*VLOOKUP('Données projet'!$B$12,Paramètres!$A$1:$I$89,3,0)*VLOOKUP('Données projet'!$B$12,Paramètres!$A$1:$I$89,5,0)</f>
        <v>17.924088000000364</v>
      </c>
      <c r="CA147" s="13">
        <f t="shared" si="147"/>
        <v>5.9032212091029486</v>
      </c>
      <c r="CB147" s="20">
        <f t="shared" si="118"/>
        <v>41.499230205854936</v>
      </c>
      <c r="CC147" s="59">
        <f t="shared" si="119"/>
        <v>330.2790162296676</v>
      </c>
      <c r="CD147" s="59">
        <f ca="1">AVERAGE(OFFSET($CC$3,0,0,'Données projet'!$E$12+1,1))-AVERAGE(OFFSET($H$3,0,0,'Données projet'!$E$12+1,1))</f>
        <v>553.16421218123958</v>
      </c>
      <c r="CE147" s="59">
        <f t="shared" si="148"/>
        <v>291.73668613844416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214.18966983202131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214.18966983202131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68.758123461039816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19.8100000000004</v>
      </c>
      <c r="CU147" s="17">
        <f>CT147*VLOOKUP('Données projet'!$B$13,Paramètres!$A$1:$I$89,3,0)*VLOOKUP('Données projet'!$B$13,Paramètres!$A$1:$I$89,5,0)</f>
        <v>20.08734000000041</v>
      </c>
      <c r="CV147" s="13">
        <f t="shared" si="149"/>
        <v>6.5285137703520215</v>
      </c>
      <c r="CW147" s="20">
        <f t="shared" si="121"/>
        <v>46.355945316697152</v>
      </c>
      <c r="CX147" s="59">
        <f t="shared" si="122"/>
        <v>335.13573134050984</v>
      </c>
      <c r="CY147" s="59">
        <f ca="1">AVERAGE(OFFSET($CX$3,0,0,'Données projet'!$E$13+1,1))-AVERAGE(OFFSET($H$3,0,0,'Données projet'!$E$13+1,1))</f>
        <v>611.82989382187804</v>
      </c>
      <c r="CZ147" s="59">
        <f t="shared" si="150"/>
        <v>320.34124600136363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240.04014722554115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240.04014722554115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68.758123461039816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19.8100000000004</v>
      </c>
      <c r="DP147" s="17">
        <f>DO147*VLOOKUP('Données projet'!$B$14,Paramètres!$A$1:$I$89,3,0)*VLOOKUP('Données projet'!$B$14,Paramètres!$A$1:$I$89,5,0)</f>
        <v>21.323484000000427</v>
      </c>
      <c r="DQ147" s="13">
        <f t="shared" si="151"/>
        <v>6.88226100850307</v>
      </c>
      <c r="DR147" s="20">
        <f t="shared" si="124"/>
        <v>49.125005889810261</v>
      </c>
      <c r="DS147" s="59">
        <f t="shared" si="125"/>
        <v>337.90479191362294</v>
      </c>
      <c r="DT147" s="59">
        <f ca="1">AVERAGE(OFFSET($DS$3,0,0,'Données projet'!$E$14+1,1))-AVERAGE(OFFSET($H$3,0,0,'Données projet'!$E$14+1,1))</f>
        <v>645.29541304800614</v>
      </c>
      <c r="DU147" s="59">
        <f t="shared" si="152"/>
        <v>336.65580771733323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254.81184859326672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254.81184859326672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68.758123461039816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319</v>
      </c>
      <c r="EK147" s="17">
        <f>EJ147*VLOOKUP('Données projet'!$B$15,Paramètres!$A$1:$I$89,3,0)*VLOOKUP('Données projet'!$B$15,Paramètres!$A$1:$I$89,5,0)</f>
        <v>233.89079999999998</v>
      </c>
      <c r="EL147" s="13">
        <f t="shared" si="153"/>
        <v>57.123140349023068</v>
      </c>
      <c r="EM147" s="20">
        <f t="shared" si="127"/>
        <v>506.84927944121517</v>
      </c>
      <c r="EN147" s="59">
        <f t="shared" si="128"/>
        <v>795.62906546502791</v>
      </c>
      <c r="EO147" s="59">
        <f ca="1">AVERAGE(OFFSET($EN$3,0,0,'Données projet'!$E$15+1,1))-AVERAGE(OFFSET($H$3,0,0,'Données projet'!$E$15+1,1))</f>
        <v>343.31122043016137</v>
      </c>
      <c r="EP147" s="59">
        <f t="shared" si="154"/>
        <v>333.61098411258877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11.192257249910822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11.192257249910822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68.758123461039816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319</v>
      </c>
      <c r="FF147" s="17">
        <f>FE147*VLOOKUP('Données projet'!$B$16,Paramètres!$A$1:$I$89,3,0)*VLOOKUP('Données projet'!$B$16,Paramètres!$A$1:$I$89,5,0)</f>
        <v>253.79640000000001</v>
      </c>
      <c r="FG147" s="13">
        <f t="shared" si="155"/>
        <v>61.39816832228076</v>
      </c>
      <c r="FH147" s="20">
        <f t="shared" si="130"/>
        <v>548.96387316130563</v>
      </c>
      <c r="FI147" s="59">
        <f t="shared" si="131"/>
        <v>837.7436591851183</v>
      </c>
      <c r="FJ147" s="59">
        <f ca="1">AVERAGE(OFFSET($FI$3,0,0,'Données projet'!$E$16+1,1))-AVERAGE(OFFSET($H$3,0,0,'Données projet'!$E$16+1,1))</f>
        <v>368.12945163484585</v>
      </c>
      <c r="FK147" s="59">
        <f t="shared" si="156"/>
        <v>357.27183934545121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14.969159498520007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14.969159498520007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68.758123461039816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68.758123461039816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3.0869565217391299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11.318840579710143</v>
      </c>
      <c r="H148" s="66">
        <f t="shared" si="110"/>
        <v>211.39130434782609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68.779667242570767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5.2499999999990337</v>
      </c>
      <c r="O148" s="13">
        <f>N148*VLOOKUP('Données projet'!$B$9,Paramètres!$A$1:$I$89,3,0)*VLOOKUP('Données projet'!$B$9,Paramètres!$A$1:$I$89,5,0)</f>
        <v>2.4569999999995478</v>
      </c>
      <c r="P148" s="13">
        <f t="shared" si="141"/>
        <v>1.0197977774625564</v>
      </c>
      <c r="Q148" s="20">
        <f t="shared" si="108"/>
        <v>6.0554227957464972</v>
      </c>
      <c r="R148" s="59">
        <f t="shared" si="109"/>
        <v>294.91420268517265</v>
      </c>
      <c r="S148" s="59">
        <f ca="1">AVERAGE(OFFSET($R$3,0,0,'Données projet'!$E$9+1,1))-AVERAGE(OFFSET($H$3,0,0,'Données projet'!$E$9+1,1))</f>
        <v>320.30433416149219</v>
      </c>
      <c r="T148" s="59">
        <f t="shared" si="142"/>
        <v>201.33422682092797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119.06311001654983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119.06311001654983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68.779667242570767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763.00000000000057</v>
      </c>
      <c r="AJ148" s="13">
        <f>AI148*VLOOKUP('Données projet'!$B$10,Paramètres!$A$1:$I$89,3,0)*VLOOKUP('Données projet'!$B$10,Paramètres!$A$1:$I$89,5,0)</f>
        <v>456.2740000000004</v>
      </c>
      <c r="AK148" s="13">
        <f t="shared" si="143"/>
        <v>103.09649786611838</v>
      </c>
      <c r="AL148" s="20">
        <f t="shared" si="112"/>
        <v>974.23695045015677</v>
      </c>
      <c r="AM148" s="59">
        <f t="shared" si="113"/>
        <v>1263.095730339583</v>
      </c>
      <c r="AN148" s="59">
        <f ca="1">AVERAGE(OFFSET($AM$3,0,0,'Données projet'!$E$10+1,1))-AVERAGE(OFFSET($H$3,0,0,'Données projet'!$E$10+1,1))</f>
        <v>569.80473816957431</v>
      </c>
      <c r="AO148" s="59">
        <f t="shared" si="144"/>
        <v>495.56567790763199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29.374773027460723</v>
      </c>
      <c r="AV148" s="21">
        <f>EXP(-LN(2)/25)*AV147+(1-EXP(-LN(2)/25))/(LN(2)/25)*Calculateur!AQ148*Calculateur!AS148*VLOOKUP('Données projet'!$B$10,Paramètres!$A$1:$I$89,3,0)*0.475*44/12</f>
        <v>2.6976256119182889</v>
      </c>
      <c r="AW148" s="21">
        <f>EXP(-LN(2)/2)*AW147+(1-EXP(-LN(2)/2))/(LN(2)/2)*AQ148*AT148*VLOOKUP('Données projet'!$B$10,Paramètres!$A$1:$I$89,3,0)*0.475*44/12</f>
        <v>3.8539519861940851E-19</v>
      </c>
      <c r="AX148" s="21">
        <f t="shared" si="114"/>
        <v>32.07239863937901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68.779667242570767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-2.5006556825246661E-14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180.42749272334603</v>
      </c>
      <c r="BJ148" s="59">
        <f t="shared" si="146"/>
        <v>346.61476512497495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6.5569896672415782</v>
      </c>
      <c r="BQ148" s="21">
        <f>EXP(-LN(2)/25)*BQ147+(1-EXP(-LN(2)/25))/(LN(2)/25)*Calculateur!BL148*Calculateur!BN148*VLOOKUP('Données projet'!$B$11,Paramètres!$A$1:$I$89,3,0)*0.475*44/12</f>
        <v>0.68302756514849694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7.2400172323900751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68.779667242570767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19.8100000000004</v>
      </c>
      <c r="BZ148" s="13">
        <f>BY148*VLOOKUP('Données projet'!$B$12,Paramètres!$A$1:$I$89,3,0)*VLOOKUP('Données projet'!$B$12,Paramètres!$A$1:$I$89,5,0)</f>
        <v>17.924088000000364</v>
      </c>
      <c r="CA148" s="13">
        <f t="shared" si="147"/>
        <v>5.9032212091029486</v>
      </c>
      <c r="CB148" s="20">
        <f t="shared" si="118"/>
        <v>41.499230205854936</v>
      </c>
      <c r="CC148" s="59">
        <f t="shared" si="119"/>
        <v>330.35801009528109</v>
      </c>
      <c r="CD148" s="59">
        <f ca="1">AVERAGE(OFFSET($CC$3,0,0,'Données projet'!$E$12+1,1))-AVERAGE(OFFSET($H$3,0,0,'Données projet'!$E$12+1,1))</f>
        <v>553.16421218123958</v>
      </c>
      <c r="CE148" s="59">
        <f t="shared" si="148"/>
        <v>291.73668613844416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209.98954104941407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209.98954104941407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68.779667242570767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19.8100000000004</v>
      </c>
      <c r="CU148" s="17">
        <f>CT148*VLOOKUP('Données projet'!$B$13,Paramètres!$A$1:$I$89,3,0)*VLOOKUP('Données projet'!$B$13,Paramètres!$A$1:$I$89,5,0)</f>
        <v>20.08734000000041</v>
      </c>
      <c r="CV148" s="13">
        <f t="shared" si="149"/>
        <v>6.5285137703520215</v>
      </c>
      <c r="CW148" s="20">
        <f t="shared" si="121"/>
        <v>46.355945316697152</v>
      </c>
      <c r="CX148" s="59">
        <f t="shared" si="122"/>
        <v>335.21472520612332</v>
      </c>
      <c r="CY148" s="59">
        <f ca="1">AVERAGE(OFFSET($CX$3,0,0,'Données projet'!$E$13+1,1))-AVERAGE(OFFSET($H$3,0,0,'Données projet'!$E$13+1,1))</f>
        <v>611.82989382187804</v>
      </c>
      <c r="CZ148" s="59">
        <f t="shared" si="150"/>
        <v>320.34124600136363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235.33310634848129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235.33310634848129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68.779667242570767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19.8100000000004</v>
      </c>
      <c r="DP148" s="17">
        <f>DO148*VLOOKUP('Données projet'!$B$14,Paramètres!$A$1:$I$89,3,0)*VLOOKUP('Données projet'!$B$14,Paramètres!$A$1:$I$89,5,0)</f>
        <v>21.323484000000427</v>
      </c>
      <c r="DQ148" s="13">
        <f t="shared" si="151"/>
        <v>6.88226100850307</v>
      </c>
      <c r="DR148" s="20">
        <f t="shared" si="124"/>
        <v>49.125005889810261</v>
      </c>
      <c r="DS148" s="59">
        <f t="shared" si="125"/>
        <v>337.98378577923643</v>
      </c>
      <c r="DT148" s="59">
        <f ca="1">AVERAGE(OFFSET($DS$3,0,0,'Données projet'!$E$14+1,1))-AVERAGE(OFFSET($H$3,0,0,'Données projet'!$E$14+1,1))</f>
        <v>645.29541304800614</v>
      </c>
      <c r="DU148" s="59">
        <f t="shared" si="152"/>
        <v>336.65580771733323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249.81514366223396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249.81514366223396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68.779667242570767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319</v>
      </c>
      <c r="EK148" s="17">
        <f>EJ148*VLOOKUP('Données projet'!$B$15,Paramètres!$A$1:$I$89,3,0)*VLOOKUP('Données projet'!$B$15,Paramètres!$A$1:$I$89,5,0)</f>
        <v>233.89079999999998</v>
      </c>
      <c r="EL148" s="13">
        <f t="shared" si="153"/>
        <v>57.123140349023068</v>
      </c>
      <c r="EM148" s="20">
        <f t="shared" si="127"/>
        <v>506.84927944121517</v>
      </c>
      <c r="EN148" s="59">
        <f t="shared" si="128"/>
        <v>795.70805933064139</v>
      </c>
      <c r="EO148" s="59">
        <f ca="1">AVERAGE(OFFSET($EN$3,0,0,'Données projet'!$E$15+1,1))-AVERAGE(OFFSET($H$3,0,0,'Données projet'!$E$15+1,1))</f>
        <v>343.31122043016137</v>
      </c>
      <c r="EP148" s="59">
        <f t="shared" si="154"/>
        <v>333.61098411258877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10.972783911842923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10.972783911842923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68.779667242570767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319</v>
      </c>
      <c r="FF148" s="17">
        <f>FE148*VLOOKUP('Données projet'!$B$16,Paramètres!$A$1:$I$89,3,0)*VLOOKUP('Données projet'!$B$16,Paramètres!$A$1:$I$89,5,0)</f>
        <v>253.79640000000001</v>
      </c>
      <c r="FG148" s="13">
        <f t="shared" si="155"/>
        <v>61.39816832228076</v>
      </c>
      <c r="FH148" s="20">
        <f t="shared" si="130"/>
        <v>548.96387316130563</v>
      </c>
      <c r="FI148" s="59">
        <f t="shared" si="131"/>
        <v>837.82265305073179</v>
      </c>
      <c r="FJ148" s="59">
        <f ca="1">AVERAGE(OFFSET($FI$3,0,0,'Données projet'!$E$16+1,1))-AVERAGE(OFFSET($H$3,0,0,'Données projet'!$E$16+1,1))</f>
        <v>368.12945163484585</v>
      </c>
      <c r="FK148" s="59">
        <f t="shared" si="156"/>
        <v>357.27183934545121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14.675623411039783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14.675623411039783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68.779667242570767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68.779667242570767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3.0869565217391299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11.318840579710143</v>
      </c>
      <c r="H149" s="66">
        <f t="shared" si="110"/>
        <v>211.39130434782609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68.800837287656847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5.2499999999990337</v>
      </c>
      <c r="O149" s="13">
        <f>N149*VLOOKUP('Données projet'!$B$9,Paramètres!$A$1:$I$89,3,0)*VLOOKUP('Données projet'!$B$9,Paramètres!$A$1:$I$89,5,0)</f>
        <v>2.4569999999995478</v>
      </c>
      <c r="P149" s="13">
        <f t="shared" si="141"/>
        <v>1.0197977774625564</v>
      </c>
      <c r="Q149" s="20">
        <f t="shared" si="108"/>
        <v>6.0554227957464972</v>
      </c>
      <c r="R149" s="59">
        <f t="shared" si="109"/>
        <v>294.99182618382162</v>
      </c>
      <c r="S149" s="59">
        <f ca="1">AVERAGE(OFFSET($R$3,0,0,'Données projet'!$E$9+1,1))-AVERAGE(OFFSET($H$3,0,0,'Données projet'!$E$9+1,1))</f>
        <v>320.30433416149219</v>
      </c>
      <c r="T149" s="59">
        <f t="shared" si="142"/>
        <v>201.33422682092797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116.72835505045164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116.72835505045164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68.800837287656847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763.00000000000057</v>
      </c>
      <c r="AJ149" s="13">
        <f>AI149*VLOOKUP('Données projet'!$B$10,Paramètres!$A$1:$I$89,3,0)*VLOOKUP('Données projet'!$B$10,Paramètres!$A$1:$I$89,5,0)</f>
        <v>456.2740000000004</v>
      </c>
      <c r="AK149" s="13">
        <f t="shared" si="143"/>
        <v>103.09649786611838</v>
      </c>
      <c r="AL149" s="20">
        <f t="shared" si="112"/>
        <v>974.23695045015677</v>
      </c>
      <c r="AM149" s="59">
        <f t="shared" si="113"/>
        <v>1263.1733538382318</v>
      </c>
      <c r="AN149" s="59">
        <f ca="1">AVERAGE(OFFSET($AM$3,0,0,'Données projet'!$E$10+1,1))-AVERAGE(OFFSET($H$3,0,0,'Données projet'!$E$10+1,1))</f>
        <v>569.80473816957431</v>
      </c>
      <c r="AO149" s="59">
        <f t="shared" si="144"/>
        <v>495.56567790763199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28.798751645234624</v>
      </c>
      <c r="AV149" s="21">
        <f>EXP(-LN(2)/25)*AV148+(1-EXP(-LN(2)/25))/(LN(2)/25)*Calculateur!AQ149*Calculateur!AS149*VLOOKUP('Données projet'!$B$10,Paramètres!$A$1:$I$89,3,0)*0.475*44/12</f>
        <v>2.6238588976984176</v>
      </c>
      <c r="AW149" s="21">
        <f>EXP(-LN(2)/2)*AW148+(1-EXP(-LN(2)/2))/(LN(2)/2)*AQ149*AT149*VLOOKUP('Données projet'!$B$10,Paramètres!$A$1:$I$89,3,0)*0.475*44/12</f>
        <v>2.7251555838052011E-19</v>
      </c>
      <c r="AX149" s="21">
        <f t="shared" si="114"/>
        <v>31.422610542933043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68.800837287656847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-2.5006556825246661E-14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180.42749272334603</v>
      </c>
      <c r="BJ149" s="59">
        <f t="shared" si="146"/>
        <v>346.61476512497495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6.4284110992357633</v>
      </c>
      <c r="BQ149" s="21">
        <f>EXP(-LN(2)/25)*BQ148+(1-EXP(-LN(2)/25))/(LN(2)/25)*Calculateur!BL149*Calculateur!BN149*VLOOKUP('Données projet'!$B$11,Paramètres!$A$1:$I$89,3,0)*0.475*44/12</f>
        <v>0.66435014046065277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7.0927612396964159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68.800837287656847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19.8100000000004</v>
      </c>
      <c r="BZ149" s="13">
        <f>BY149*VLOOKUP('Données projet'!$B$12,Paramètres!$A$1:$I$89,3,0)*VLOOKUP('Données projet'!$B$12,Paramètres!$A$1:$I$89,5,0)</f>
        <v>17.924088000000364</v>
      </c>
      <c r="CA149" s="13">
        <f t="shared" si="147"/>
        <v>5.9032212091029486</v>
      </c>
      <c r="CB149" s="20">
        <f t="shared" si="118"/>
        <v>41.499230205854936</v>
      </c>
      <c r="CC149" s="59">
        <f t="shared" si="119"/>
        <v>330.43563359393005</v>
      </c>
      <c r="CD149" s="59">
        <f ca="1">AVERAGE(OFFSET($CC$3,0,0,'Données projet'!$E$12+1,1))-AVERAGE(OFFSET($H$3,0,0,'Données projet'!$E$12+1,1))</f>
        <v>553.16421218123958</v>
      </c>
      <c r="CE149" s="59">
        <f t="shared" si="148"/>
        <v>291.73668613844416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205.87177423040816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205.87177423040816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68.800837287656847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19.8100000000004</v>
      </c>
      <c r="CU149" s="17">
        <f>CT149*VLOOKUP('Données projet'!$B$13,Paramètres!$A$1:$I$89,3,0)*VLOOKUP('Données projet'!$B$13,Paramètres!$A$1:$I$89,5,0)</f>
        <v>20.08734000000041</v>
      </c>
      <c r="CV149" s="13">
        <f t="shared" si="149"/>
        <v>6.5285137703520215</v>
      </c>
      <c r="CW149" s="20">
        <f t="shared" si="121"/>
        <v>46.355945316697152</v>
      </c>
      <c r="CX149" s="59">
        <f t="shared" si="122"/>
        <v>335.29234870477228</v>
      </c>
      <c r="CY149" s="59">
        <f ca="1">AVERAGE(OFFSET($CX$3,0,0,'Données projet'!$E$13+1,1))-AVERAGE(OFFSET($H$3,0,0,'Données projet'!$E$13+1,1))</f>
        <v>611.82989382187804</v>
      </c>
      <c r="CZ149" s="59">
        <f t="shared" si="150"/>
        <v>320.34124600136363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230.71836767200915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230.71836767200915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68.800837287656847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19.8100000000004</v>
      </c>
      <c r="DP149" s="17">
        <f>DO149*VLOOKUP('Données projet'!$B$14,Paramètres!$A$1:$I$89,3,0)*VLOOKUP('Données projet'!$B$14,Paramètres!$A$1:$I$89,5,0)</f>
        <v>21.323484000000427</v>
      </c>
      <c r="DQ149" s="13">
        <f t="shared" si="151"/>
        <v>6.88226100850307</v>
      </c>
      <c r="DR149" s="20">
        <f t="shared" si="124"/>
        <v>49.125005889810261</v>
      </c>
      <c r="DS149" s="59">
        <f t="shared" si="125"/>
        <v>338.06140927788539</v>
      </c>
      <c r="DT149" s="59">
        <f ca="1">AVERAGE(OFFSET($DS$3,0,0,'Données projet'!$E$14+1,1))-AVERAGE(OFFSET($H$3,0,0,'Données projet'!$E$14+1,1))</f>
        <v>645.29541304800614</v>
      </c>
      <c r="DU149" s="59">
        <f t="shared" si="152"/>
        <v>336.65580771733323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244.91642106720968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244.91642106720968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68.800837287656847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319</v>
      </c>
      <c r="EK149" s="17">
        <f>EJ149*VLOOKUP('Données projet'!$B$15,Paramètres!$A$1:$I$89,3,0)*VLOOKUP('Données projet'!$B$15,Paramètres!$A$1:$I$89,5,0)</f>
        <v>233.89079999999998</v>
      </c>
      <c r="EL149" s="13">
        <f t="shared" si="153"/>
        <v>57.123140349023068</v>
      </c>
      <c r="EM149" s="20">
        <f t="shared" si="127"/>
        <v>506.84927944121517</v>
      </c>
      <c r="EN149" s="59">
        <f t="shared" si="128"/>
        <v>795.78568282929029</v>
      </c>
      <c r="EO149" s="59">
        <f ca="1">AVERAGE(OFFSET($EN$3,0,0,'Données projet'!$E$15+1,1))-AVERAGE(OFFSET($H$3,0,0,'Données projet'!$E$15+1,1))</f>
        <v>343.31122043016137</v>
      </c>
      <c r="EP149" s="59">
        <f t="shared" si="154"/>
        <v>333.61098411258877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10.757614312069016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10.757614312069016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68.800837287656847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319</v>
      </c>
      <c r="FF149" s="17">
        <f>FE149*VLOOKUP('Données projet'!$B$16,Paramètres!$A$1:$I$89,3,0)*VLOOKUP('Données projet'!$B$16,Paramètres!$A$1:$I$89,5,0)</f>
        <v>253.79640000000001</v>
      </c>
      <c r="FG149" s="13">
        <f t="shared" si="155"/>
        <v>61.39816832228076</v>
      </c>
      <c r="FH149" s="20">
        <f t="shared" si="130"/>
        <v>548.96387316130563</v>
      </c>
      <c r="FI149" s="59">
        <f t="shared" si="131"/>
        <v>837.90027654938081</v>
      </c>
      <c r="FJ149" s="59">
        <f ca="1">AVERAGE(OFFSET($FI$3,0,0,'Données projet'!$E$16+1,1))-AVERAGE(OFFSET($H$3,0,0,'Données projet'!$E$16+1,1))</f>
        <v>368.12945163484585</v>
      </c>
      <c r="FK149" s="59">
        <f t="shared" si="156"/>
        <v>357.27183934545121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14.387843387195712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14.387843387195712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68.800837287656847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68.800837287656847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3.0869565217391299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11.318840579710143</v>
      </c>
      <c r="H150" s="66">
        <f t="shared" si="110"/>
        <v>211.39130434782609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68.821640079789802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5.2499999999990337</v>
      </c>
      <c r="O150" s="13">
        <f>N150*VLOOKUP('Données projet'!$B$9,Paramètres!$A$1:$I$89,3,0)*VLOOKUP('Données projet'!$B$9,Paramètres!$A$1:$I$89,5,0)</f>
        <v>2.4569999999995478</v>
      </c>
      <c r="P150" s="13">
        <f t="shared" si="141"/>
        <v>1.0197977774625564</v>
      </c>
      <c r="Q150" s="20">
        <f t="shared" si="108"/>
        <v>6.0554227957464972</v>
      </c>
      <c r="R150" s="59">
        <f t="shared" si="109"/>
        <v>295.0681030883091</v>
      </c>
      <c r="S150" s="59">
        <f ca="1">AVERAGE(OFFSET($R$3,0,0,'Données projet'!$E$9+1,1))-AVERAGE(OFFSET($H$3,0,0,'Données projet'!$E$9+1,1))</f>
        <v>320.30433416149219</v>
      </c>
      <c r="T150" s="59">
        <f t="shared" si="142"/>
        <v>201.33422682092797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114.43938320517871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114.43938320517871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68.821640079789802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763.00000000000057</v>
      </c>
      <c r="AJ150" s="13">
        <f>AI150*VLOOKUP('Données projet'!$B$10,Paramètres!$A$1:$I$89,3,0)*VLOOKUP('Données projet'!$B$10,Paramètres!$A$1:$I$89,5,0)</f>
        <v>456.2740000000004</v>
      </c>
      <c r="AK150" s="13">
        <f t="shared" si="143"/>
        <v>103.09649786611838</v>
      </c>
      <c r="AL150" s="20">
        <f t="shared" si="112"/>
        <v>974.23695045015677</v>
      </c>
      <c r="AM150" s="59">
        <f t="shared" si="113"/>
        <v>1263.2496307427193</v>
      </c>
      <c r="AN150" s="59">
        <f ca="1">AVERAGE(OFFSET($AM$3,0,0,'Données projet'!$E$10+1,1))-AVERAGE(OFFSET($H$3,0,0,'Données projet'!$E$10+1,1))</f>
        <v>569.80473816957431</v>
      </c>
      <c r="AO150" s="59">
        <f t="shared" si="144"/>
        <v>495.56567790763199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28.234025690975628</v>
      </c>
      <c r="AV150" s="21">
        <f>EXP(-LN(2)/25)*AV149+(1-EXP(-LN(2)/25))/(LN(2)/25)*Calculateur!AQ150*Calculateur!AS150*VLOOKUP('Données projet'!$B$10,Paramètres!$A$1:$I$89,3,0)*0.475*44/12</f>
        <v>2.5521093381581119</v>
      </c>
      <c r="AW150" s="21">
        <f>EXP(-LN(2)/2)*AW149+(1-EXP(-LN(2)/2))/(LN(2)/2)*AQ150*AT150*VLOOKUP('Données projet'!$B$10,Paramètres!$A$1:$I$89,3,0)*0.475*44/12</f>
        <v>1.9269759930970426E-19</v>
      </c>
      <c r="AX150" s="21">
        <f t="shared" si="114"/>
        <v>30.786135029133739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68.821640079789802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-2.5006556825246661E-14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180.42749272334603</v>
      </c>
      <c r="BJ150" s="59">
        <f t="shared" si="146"/>
        <v>346.61476512497495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6.302353878523359</v>
      </c>
      <c r="BQ150" s="21">
        <f>EXP(-LN(2)/25)*BQ149+(1-EXP(-LN(2)/25))/(LN(2)/25)*Calculateur!BL150*Calculateur!BN150*VLOOKUP('Données projet'!$B$11,Paramètres!$A$1:$I$89,3,0)*0.475*44/12</f>
        <v>0.6461834509331007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6.9485373294564594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68.821640079789802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19.8100000000004</v>
      </c>
      <c r="BZ150" s="13">
        <f>BY150*VLOOKUP('Données projet'!$B$12,Paramètres!$A$1:$I$89,3,0)*VLOOKUP('Données projet'!$B$12,Paramètres!$A$1:$I$89,5,0)</f>
        <v>17.924088000000364</v>
      </c>
      <c r="CA150" s="13">
        <f t="shared" si="147"/>
        <v>5.9032212091029486</v>
      </c>
      <c r="CB150" s="20">
        <f t="shared" si="118"/>
        <v>41.499230205854936</v>
      </c>
      <c r="CC150" s="59">
        <f t="shared" si="119"/>
        <v>330.51191049841754</v>
      </c>
      <c r="CD150" s="59">
        <f ca="1">AVERAGE(OFFSET($CC$3,0,0,'Données projet'!$E$12+1,1))-AVERAGE(OFFSET($H$3,0,0,'Données projet'!$E$12+1,1))</f>
        <v>553.16421218123958</v>
      </c>
      <c r="CE150" s="59">
        <f t="shared" si="148"/>
        <v>291.73668613844416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201.83475430713318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201.83475430713318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68.821640079789802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19.8100000000004</v>
      </c>
      <c r="CU150" s="17">
        <f>CT150*VLOOKUP('Données projet'!$B$13,Paramètres!$A$1:$I$89,3,0)*VLOOKUP('Données projet'!$B$13,Paramètres!$A$1:$I$89,5,0)</f>
        <v>20.08734000000041</v>
      </c>
      <c r="CV150" s="13">
        <f t="shared" si="149"/>
        <v>6.5285137703520215</v>
      </c>
      <c r="CW150" s="20">
        <f t="shared" si="121"/>
        <v>46.355945316697152</v>
      </c>
      <c r="CX150" s="59">
        <f t="shared" si="122"/>
        <v>335.36862560925977</v>
      </c>
      <c r="CY150" s="59">
        <f ca="1">AVERAGE(OFFSET($CX$3,0,0,'Données projet'!$E$13+1,1))-AVERAGE(OFFSET($H$3,0,0,'Données projet'!$E$13+1,1))</f>
        <v>611.82989382187804</v>
      </c>
      <c r="CZ150" s="59">
        <f t="shared" si="150"/>
        <v>320.34124600136363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226.19412120626995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226.19412120626995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68.821640079789802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19.8100000000004</v>
      </c>
      <c r="DP150" s="17">
        <f>DO150*VLOOKUP('Données projet'!$B$14,Paramètres!$A$1:$I$89,3,0)*VLOOKUP('Données projet'!$B$14,Paramètres!$A$1:$I$89,5,0)</f>
        <v>21.323484000000427</v>
      </c>
      <c r="DQ150" s="13">
        <f t="shared" si="151"/>
        <v>6.88226100850307</v>
      </c>
      <c r="DR150" s="20">
        <f t="shared" si="124"/>
        <v>49.125005889810261</v>
      </c>
      <c r="DS150" s="59">
        <f t="shared" si="125"/>
        <v>338.13768618237287</v>
      </c>
      <c r="DT150" s="59">
        <f ca="1">AVERAGE(OFFSET($DS$3,0,0,'Données projet'!$E$14+1,1))-AVERAGE(OFFSET($H$3,0,0,'Données projet'!$E$14+1,1))</f>
        <v>645.29541304800614</v>
      </c>
      <c r="DU150" s="59">
        <f t="shared" si="152"/>
        <v>336.65580771733323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240.11375943434808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240.11375943434808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68.821640079789802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319</v>
      </c>
      <c r="EK150" s="17">
        <f>EJ150*VLOOKUP('Données projet'!$B$15,Paramètres!$A$1:$I$89,3,0)*VLOOKUP('Données projet'!$B$15,Paramètres!$A$1:$I$89,5,0)</f>
        <v>233.89079999999998</v>
      </c>
      <c r="EL150" s="13">
        <f t="shared" si="153"/>
        <v>57.123140349023068</v>
      </c>
      <c r="EM150" s="20">
        <f t="shared" si="127"/>
        <v>506.84927944121517</v>
      </c>
      <c r="EN150" s="59">
        <f t="shared" si="128"/>
        <v>795.86195973377778</v>
      </c>
      <c r="EO150" s="59">
        <f ca="1">AVERAGE(OFFSET($EN$3,0,0,'Données projet'!$E$15+1,1))-AVERAGE(OFFSET($H$3,0,0,'Données projet'!$E$15+1,1))</f>
        <v>343.31122043016137</v>
      </c>
      <c r="EP150" s="59">
        <f t="shared" si="154"/>
        <v>333.61098411258877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10.546664056906179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10.546664056906179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68.821640079789802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319</v>
      </c>
      <c r="FF150" s="17">
        <f>FE150*VLOOKUP('Données projet'!$B$16,Paramètres!$A$1:$I$89,3,0)*VLOOKUP('Données projet'!$B$16,Paramètres!$A$1:$I$89,5,0)</f>
        <v>253.79640000000001</v>
      </c>
      <c r="FG150" s="13">
        <f t="shared" si="155"/>
        <v>61.39816832228076</v>
      </c>
      <c r="FH150" s="20">
        <f t="shared" si="130"/>
        <v>548.96387316130563</v>
      </c>
      <c r="FI150" s="59">
        <f t="shared" si="131"/>
        <v>837.97655345386829</v>
      </c>
      <c r="FJ150" s="59">
        <f ca="1">AVERAGE(OFFSET($FI$3,0,0,'Données projet'!$E$16+1,1))-AVERAGE(OFFSET($H$3,0,0,'Données projet'!$E$16+1,1))</f>
        <v>368.12945163484585</v>
      </c>
      <c r="FK150" s="59">
        <f t="shared" si="156"/>
        <v>357.27183934545121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14.105706554090741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14.105706554090741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68.821640079789802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68.821640079789802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3.0869565217391299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11.318840579710143</v>
      </c>
      <c r="H151" s="66">
        <f t="shared" si="110"/>
        <v>211.39130434782609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68.842081989987335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5.2499999999990337</v>
      </c>
      <c r="O151" s="13">
        <f>N151*VLOOKUP('Données projet'!$B$9,Paramètres!$A$1:$I$89,3,0)*VLOOKUP('Données projet'!$B$9,Paramètres!$A$1:$I$89,5,0)</f>
        <v>2.4569999999995478</v>
      </c>
      <c r="P151" s="13">
        <f t="shared" si="141"/>
        <v>1.0197977774625564</v>
      </c>
      <c r="Q151" s="20">
        <f t="shared" si="108"/>
        <v>6.0554227957464972</v>
      </c>
      <c r="R151" s="59">
        <f t="shared" si="109"/>
        <v>295.14305675903341</v>
      </c>
      <c r="S151" s="59">
        <f ca="1">AVERAGE(OFFSET($R$3,0,0,'Données projet'!$E$9+1,1))-AVERAGE(OFFSET($H$3,0,0,'Données projet'!$E$9+1,1))</f>
        <v>320.30433416149219</v>
      </c>
      <c r="T151" s="59">
        <f t="shared" si="142"/>
        <v>201.33422682092797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112.19529670165663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112.19529670165663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68.842081989987335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763.00000000000057</v>
      </c>
      <c r="AJ151" s="13">
        <f>AI151*VLOOKUP('Données projet'!$B$10,Paramètres!$A$1:$I$89,3,0)*VLOOKUP('Données projet'!$B$10,Paramètres!$A$1:$I$89,5,0)</f>
        <v>456.2740000000004</v>
      </c>
      <c r="AK151" s="13">
        <f t="shared" si="143"/>
        <v>103.09649786611838</v>
      </c>
      <c r="AL151" s="20">
        <f t="shared" si="112"/>
        <v>974.23695045015677</v>
      </c>
      <c r="AM151" s="59">
        <f t="shared" si="113"/>
        <v>1263.3245844134437</v>
      </c>
      <c r="AN151" s="59">
        <f ca="1">AVERAGE(OFFSET($AM$3,0,0,'Données projet'!$E$10+1,1))-AVERAGE(OFFSET($H$3,0,0,'Données projet'!$E$10+1,1))</f>
        <v>569.80473816957431</v>
      </c>
      <c r="AO151" s="59">
        <f t="shared" si="144"/>
        <v>495.56567790763199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27.680373668230828</v>
      </c>
      <c r="AV151" s="21">
        <f>EXP(-LN(2)/25)*AV150+(1-EXP(-LN(2)/25))/(LN(2)/25)*Calculateur!AQ151*Calculateur!AS151*VLOOKUP('Données projet'!$B$10,Paramètres!$A$1:$I$89,3,0)*0.475*44/12</f>
        <v>2.4823217740965813</v>
      </c>
      <c r="AW151" s="21">
        <f>EXP(-LN(2)/2)*AW150+(1-EXP(-LN(2)/2))/(LN(2)/2)*AQ151*AT151*VLOOKUP('Données projet'!$B$10,Paramètres!$A$1:$I$89,3,0)*0.475*44/12</f>
        <v>1.3625777919026006E-19</v>
      </c>
      <c r="AX151" s="21">
        <f t="shared" si="114"/>
        <v>30.162695442327411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68.842081989987335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-2.5006556825246661E-14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180.42749272334603</v>
      </c>
      <c r="BJ151" s="59">
        <f t="shared" si="146"/>
        <v>346.61476512497495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6.178768563021813</v>
      </c>
      <c r="BQ151" s="21">
        <f>EXP(-LN(2)/25)*BQ150+(1-EXP(-LN(2)/25))/(LN(2)/25)*Calculateur!BL151*Calculateur!BN151*VLOOKUP('Données projet'!$B$11,Paramètres!$A$1:$I$89,3,0)*0.475*44/12</f>
        <v>0.62851353048602421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6.8072820935078369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68.842081989987335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19.8100000000004</v>
      </c>
      <c r="BZ151" s="13">
        <f>BY151*VLOOKUP('Données projet'!$B$12,Paramètres!$A$1:$I$89,3,0)*VLOOKUP('Données projet'!$B$12,Paramètres!$A$1:$I$89,5,0)</f>
        <v>17.924088000000364</v>
      </c>
      <c r="CA151" s="13">
        <f t="shared" si="147"/>
        <v>5.9032212091029486</v>
      </c>
      <c r="CB151" s="20">
        <f t="shared" si="118"/>
        <v>41.499230205854936</v>
      </c>
      <c r="CC151" s="59">
        <f t="shared" si="119"/>
        <v>330.58686416914185</v>
      </c>
      <c r="CD151" s="59">
        <f ca="1">AVERAGE(OFFSET($CC$3,0,0,'Données projet'!$E$12+1,1))-AVERAGE(OFFSET($H$3,0,0,'Données projet'!$E$12+1,1))</f>
        <v>553.16421218123958</v>
      </c>
      <c r="CE151" s="59">
        <f t="shared" si="148"/>
        <v>291.73668613844416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197.87689788221462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197.87689788221462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68.842081989987335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19.8100000000004</v>
      </c>
      <c r="CU151" s="17">
        <f>CT151*VLOOKUP('Données projet'!$B$13,Paramètres!$A$1:$I$89,3,0)*VLOOKUP('Données projet'!$B$13,Paramètres!$A$1:$I$89,5,0)</f>
        <v>20.08734000000041</v>
      </c>
      <c r="CV151" s="13">
        <f t="shared" si="149"/>
        <v>6.5285137703520215</v>
      </c>
      <c r="CW151" s="20">
        <f t="shared" si="121"/>
        <v>46.355945316697152</v>
      </c>
      <c r="CX151" s="59">
        <f t="shared" si="122"/>
        <v>335.44357927998408</v>
      </c>
      <c r="CY151" s="59">
        <f ca="1">AVERAGE(OFFSET($CX$3,0,0,'Données projet'!$E$13+1,1))-AVERAGE(OFFSET($H$3,0,0,'Données projet'!$E$13+1,1))</f>
        <v>611.82989382187804</v>
      </c>
      <c r="CZ151" s="59">
        <f t="shared" si="150"/>
        <v>320.34124600136363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221.75859245420605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221.75859245420605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68.842081989987335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19.8100000000004</v>
      </c>
      <c r="DP151" s="17">
        <f>DO151*VLOOKUP('Données projet'!$B$14,Paramètres!$A$1:$I$89,3,0)*VLOOKUP('Données projet'!$B$14,Paramètres!$A$1:$I$89,5,0)</f>
        <v>21.323484000000427</v>
      </c>
      <c r="DQ151" s="13">
        <f t="shared" si="151"/>
        <v>6.88226100850307</v>
      </c>
      <c r="DR151" s="20">
        <f t="shared" si="124"/>
        <v>49.125005889810261</v>
      </c>
      <c r="DS151" s="59">
        <f t="shared" si="125"/>
        <v>338.21263985309719</v>
      </c>
      <c r="DT151" s="59">
        <f ca="1">AVERAGE(OFFSET($DS$3,0,0,'Données projet'!$E$14+1,1))-AVERAGE(OFFSET($H$3,0,0,'Données projet'!$E$14+1,1))</f>
        <v>645.29541304800614</v>
      </c>
      <c r="DU151" s="59">
        <f t="shared" si="152"/>
        <v>336.65580771733323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235.40527506677256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235.40527506677256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68.842081989987335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319</v>
      </c>
      <c r="EK151" s="17">
        <f>EJ151*VLOOKUP('Données projet'!$B$15,Paramètres!$A$1:$I$89,3,0)*VLOOKUP('Données projet'!$B$15,Paramètres!$A$1:$I$89,5,0)</f>
        <v>233.89079999999998</v>
      </c>
      <c r="EL151" s="13">
        <f t="shared" si="153"/>
        <v>57.123140349023068</v>
      </c>
      <c r="EM151" s="20">
        <f t="shared" si="127"/>
        <v>506.84927944121517</v>
      </c>
      <c r="EN151" s="59">
        <f t="shared" si="128"/>
        <v>795.93691340450209</v>
      </c>
      <c r="EO151" s="59">
        <f ca="1">AVERAGE(OFFSET($EN$3,0,0,'Données projet'!$E$15+1,1))-AVERAGE(OFFSET($H$3,0,0,'Données projet'!$E$15+1,1))</f>
        <v>343.31122043016137</v>
      </c>
      <c r="EP151" s="59">
        <f t="shared" si="154"/>
        <v>333.61098411258877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10.339850407580135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10.339850407580135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68.842081989987335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319</v>
      </c>
      <c r="FF151" s="17">
        <f>FE151*VLOOKUP('Données projet'!$B$16,Paramètres!$A$1:$I$89,3,0)*VLOOKUP('Données projet'!$B$16,Paramètres!$A$1:$I$89,5,0)</f>
        <v>253.79640000000001</v>
      </c>
      <c r="FG151" s="13">
        <f t="shared" si="155"/>
        <v>61.39816832228076</v>
      </c>
      <c r="FH151" s="20">
        <f t="shared" si="130"/>
        <v>548.96387316130563</v>
      </c>
      <c r="FI151" s="59">
        <f t="shared" si="131"/>
        <v>838.05150712459249</v>
      </c>
      <c r="FJ151" s="59">
        <f ca="1">AVERAGE(OFFSET($FI$3,0,0,'Données projet'!$E$16+1,1))-AVERAGE(OFFSET($H$3,0,0,'Données projet'!$E$16+1,1))</f>
        <v>368.12945163484585</v>
      </c>
      <c r="FK151" s="59">
        <f t="shared" si="156"/>
        <v>357.27183934545121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13.829102252196481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13.829102252196481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68.842081989987335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68.842081989987335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3.0869565217391299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11.318840579710143</v>
      </c>
      <c r="H152" s="66">
        <f t="shared" si="110"/>
        <v>211.39130434782609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68.862169278744204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5.2499999999990337</v>
      </c>
      <c r="O152" s="13">
        <f>N152*VLOOKUP('Données projet'!$B$9,Paramètres!$A$1:$I$89,3,0)*VLOOKUP('Données projet'!$B$9,Paramètres!$A$1:$I$89,5,0)</f>
        <v>2.4569999999995478</v>
      </c>
      <c r="P152" s="13">
        <f t="shared" si="141"/>
        <v>1.0197977774625564</v>
      </c>
      <c r="Q152" s="20">
        <f t="shared" si="108"/>
        <v>6.0554227957464972</v>
      </c>
      <c r="R152" s="59">
        <f t="shared" si="109"/>
        <v>295.21671015114191</v>
      </c>
      <c r="S152" s="59">
        <f ca="1">AVERAGE(OFFSET($R$3,0,0,'Données projet'!$E$9+1,1))-AVERAGE(OFFSET($H$3,0,0,'Données projet'!$E$9+1,1))</f>
        <v>320.30433416149219</v>
      </c>
      <c r="T152" s="59">
        <f t="shared" si="142"/>
        <v>201.33422682092797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109.99521536571099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109.99521536571099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68.862169278744204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763.00000000000057</v>
      </c>
      <c r="AJ152" s="13">
        <f>AI152*VLOOKUP('Données projet'!$B$10,Paramètres!$A$1:$I$89,3,0)*VLOOKUP('Données projet'!$B$10,Paramètres!$A$1:$I$89,5,0)</f>
        <v>456.2740000000004</v>
      </c>
      <c r="AK152" s="13">
        <f t="shared" si="143"/>
        <v>103.09649786611838</v>
      </c>
      <c r="AL152" s="20">
        <f t="shared" si="112"/>
        <v>974.23695045015677</v>
      </c>
      <c r="AM152" s="59">
        <f t="shared" si="113"/>
        <v>1263.3982378055521</v>
      </c>
      <c r="AN152" s="59">
        <f ca="1">AVERAGE(OFFSET($AM$3,0,0,'Données projet'!$E$10+1,1))-AVERAGE(OFFSET($H$3,0,0,'Données projet'!$E$10+1,1))</f>
        <v>569.80473816957431</v>
      </c>
      <c r="AO152" s="59">
        <f t="shared" si="144"/>
        <v>495.56567790763199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27.137578423957667</v>
      </c>
      <c r="AV152" s="21">
        <f>EXP(-LN(2)/25)*AV151+(1-EXP(-LN(2)/25))/(LN(2)/25)*Calculateur!AQ152*Calculateur!AS152*VLOOKUP('Données projet'!$B$10,Paramètres!$A$1:$I$89,3,0)*0.475*44/12</f>
        <v>2.4144425546442814</v>
      </c>
      <c r="AW152" s="21">
        <f>EXP(-LN(2)/2)*AW151+(1-EXP(-LN(2)/2))/(LN(2)/2)*AQ152*AT152*VLOOKUP('Données projet'!$B$10,Paramètres!$A$1:$I$89,3,0)*0.475*44/12</f>
        <v>9.6348799654852128E-20</v>
      </c>
      <c r="AX152" s="21">
        <f t="shared" si="114"/>
        <v>29.552020978601949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68.862169278744204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-2.5006556825246661E-14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180.42749272334603</v>
      </c>
      <c r="BJ152" s="59">
        <f t="shared" si="146"/>
        <v>346.61476512497495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6.0576066801776527</v>
      </c>
      <c r="BQ152" s="21">
        <f>EXP(-LN(2)/25)*BQ151+(1-EXP(-LN(2)/25))/(LN(2)/25)*Calculateur!BL152*Calculateur!BN152*VLOOKUP('Données projet'!$B$11,Paramètres!$A$1:$I$89,3,0)*0.475*44/12</f>
        <v>0.61132679494279385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6.668933475120447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68.862169278744204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19.8100000000004</v>
      </c>
      <c r="BZ152" s="13">
        <f>BY152*VLOOKUP('Données projet'!$B$12,Paramètres!$A$1:$I$89,3,0)*VLOOKUP('Données projet'!$B$12,Paramètres!$A$1:$I$89,5,0)</f>
        <v>17.924088000000364</v>
      </c>
      <c r="CA152" s="13">
        <f t="shared" si="147"/>
        <v>5.9032212091029486</v>
      </c>
      <c r="CB152" s="20">
        <f t="shared" si="118"/>
        <v>41.499230205854936</v>
      </c>
      <c r="CC152" s="59">
        <f t="shared" si="119"/>
        <v>330.66051756125034</v>
      </c>
      <c r="CD152" s="59">
        <f ca="1">AVERAGE(OFFSET($CC$3,0,0,'Données projet'!$E$12+1,1))-AVERAGE(OFFSET($H$3,0,0,'Données projet'!$E$12+1,1))</f>
        <v>553.16421218123958</v>
      </c>
      <c r="CE152" s="59">
        <f t="shared" si="148"/>
        <v>291.73668613844416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193.99665260773466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193.99665260773466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68.862169278744204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19.8100000000004</v>
      </c>
      <c r="CU152" s="17">
        <f>CT152*VLOOKUP('Données projet'!$B$13,Paramètres!$A$1:$I$89,3,0)*VLOOKUP('Données projet'!$B$13,Paramètres!$A$1:$I$89,5,0)</f>
        <v>20.08734000000041</v>
      </c>
      <c r="CV152" s="13">
        <f t="shared" si="149"/>
        <v>6.5285137703520215</v>
      </c>
      <c r="CW152" s="20">
        <f t="shared" si="121"/>
        <v>46.355945316697152</v>
      </c>
      <c r="CX152" s="59">
        <f t="shared" si="122"/>
        <v>335.51723267209258</v>
      </c>
      <c r="CY152" s="59">
        <f ca="1">AVERAGE(OFFSET($CX$3,0,0,'Données projet'!$E$13+1,1))-AVERAGE(OFFSET($H$3,0,0,'Données projet'!$E$13+1,1))</f>
        <v>611.82989382187804</v>
      </c>
      <c r="CZ152" s="59">
        <f t="shared" si="150"/>
        <v>320.34124600136363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217.41004171556472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217.41004171556472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68.862169278744204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19.8100000000004</v>
      </c>
      <c r="DP152" s="17">
        <f>DO152*VLOOKUP('Données projet'!$B$14,Paramètres!$A$1:$I$89,3,0)*VLOOKUP('Données projet'!$B$14,Paramètres!$A$1:$I$89,5,0)</f>
        <v>21.323484000000427</v>
      </c>
      <c r="DQ152" s="13">
        <f t="shared" si="151"/>
        <v>6.88226100850307</v>
      </c>
      <c r="DR152" s="20">
        <f t="shared" si="124"/>
        <v>49.125005889810261</v>
      </c>
      <c r="DS152" s="59">
        <f t="shared" si="125"/>
        <v>338.28629324520568</v>
      </c>
      <c r="DT152" s="59">
        <f ca="1">AVERAGE(OFFSET($DS$3,0,0,'Données projet'!$E$14+1,1))-AVERAGE(OFFSET($H$3,0,0,'Données projet'!$E$14+1,1))</f>
        <v>645.29541304800614</v>
      </c>
      <c r="DU152" s="59">
        <f t="shared" si="152"/>
        <v>336.65580771733323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230.7891212057533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230.7891212057533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68.862169278744204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319</v>
      </c>
      <c r="EK152" s="17">
        <f>EJ152*VLOOKUP('Données projet'!$B$15,Paramètres!$A$1:$I$89,3,0)*VLOOKUP('Données projet'!$B$15,Paramètres!$A$1:$I$89,5,0)</f>
        <v>233.89079999999998</v>
      </c>
      <c r="EL152" s="13">
        <f t="shared" si="153"/>
        <v>57.123140349023068</v>
      </c>
      <c r="EM152" s="20">
        <f t="shared" si="127"/>
        <v>506.84927944121517</v>
      </c>
      <c r="EN152" s="59">
        <f t="shared" si="128"/>
        <v>796.01056679661065</v>
      </c>
      <c r="EO152" s="59">
        <f ca="1">AVERAGE(OFFSET($EN$3,0,0,'Données projet'!$E$15+1,1))-AVERAGE(OFFSET($H$3,0,0,'Données projet'!$E$15+1,1))</f>
        <v>343.31122043016137</v>
      </c>
      <c r="EP152" s="59">
        <f t="shared" si="154"/>
        <v>333.61098411258877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10.137092247773504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10.137092247773504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68.862169278744204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319</v>
      </c>
      <c r="FF152" s="17">
        <f>FE152*VLOOKUP('Données projet'!$B$16,Paramètres!$A$1:$I$89,3,0)*VLOOKUP('Données projet'!$B$16,Paramètres!$A$1:$I$89,5,0)</f>
        <v>253.79640000000001</v>
      </c>
      <c r="FG152" s="13">
        <f t="shared" si="155"/>
        <v>61.39816832228076</v>
      </c>
      <c r="FH152" s="20">
        <f t="shared" si="130"/>
        <v>548.96387316130563</v>
      </c>
      <c r="FI152" s="59">
        <f t="shared" si="131"/>
        <v>838.12516051670104</v>
      </c>
      <c r="FJ152" s="59">
        <f ca="1">AVERAGE(OFFSET($FI$3,0,0,'Données projet'!$E$16+1,1))-AVERAGE(OFFSET($H$3,0,0,'Données projet'!$E$16+1,1))</f>
        <v>368.12945163484585</v>
      </c>
      <c r="FK152" s="59">
        <f t="shared" si="156"/>
        <v>357.27183934545121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13.557921991950403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13.557921991950403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68.862169278744204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68.862169278744204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3.0869565217391299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11.318840579710143</v>
      </c>
      <c r="H153" s="66">
        <f t="shared" si="110"/>
        <v>211.39130434782609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68.881908097949591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5.2499999999990337</v>
      </c>
      <c r="O153" s="13">
        <f>N153*VLOOKUP('Données projet'!$B$9,Paramètres!$A$1:$I$89,3,0)*VLOOKUP('Données projet'!$B$9,Paramètres!$A$1:$I$89,5,0)</f>
        <v>2.4569999999995478</v>
      </c>
      <c r="P153" s="13">
        <f t="shared" si="141"/>
        <v>1.0197977774625564</v>
      </c>
      <c r="Q153" s="20">
        <f t="shared" si="108"/>
        <v>6.0554227957464972</v>
      </c>
      <c r="R153" s="59">
        <f t="shared" si="109"/>
        <v>295.28908582156163</v>
      </c>
      <c r="S153" s="59">
        <f ca="1">AVERAGE(OFFSET($R$3,0,0,'Données projet'!$E$9+1,1))-AVERAGE(OFFSET($H$3,0,0,'Données projet'!$E$9+1,1))</f>
        <v>320.30433416149219</v>
      </c>
      <c r="T153" s="59">
        <f t="shared" si="142"/>
        <v>201.33422682092797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107.83827628284614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107.83827628284614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68.881908097949591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763.00000000000057</v>
      </c>
      <c r="AJ153" s="13">
        <f>AI153*VLOOKUP('Données projet'!$B$10,Paramètres!$A$1:$I$89,3,0)*VLOOKUP('Données projet'!$B$10,Paramètres!$A$1:$I$89,5,0)</f>
        <v>456.2740000000004</v>
      </c>
      <c r="AK153" s="13">
        <f t="shared" si="143"/>
        <v>103.09649786611838</v>
      </c>
      <c r="AL153" s="20">
        <f t="shared" si="112"/>
        <v>974.23695045015677</v>
      </c>
      <c r="AM153" s="59">
        <f t="shared" si="113"/>
        <v>1263.470613475972</v>
      </c>
      <c r="AN153" s="59">
        <f ca="1">AVERAGE(OFFSET($AM$3,0,0,'Données projet'!$E$10+1,1))-AVERAGE(OFFSET($H$3,0,0,'Données projet'!$E$10+1,1))</f>
        <v>569.80473816957431</v>
      </c>
      <c r="AO153" s="59">
        <f t="shared" si="144"/>
        <v>495.56567790763199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26.605427063352291</v>
      </c>
      <c r="AV153" s="21">
        <f>EXP(-LN(2)/25)*AV152+(1-EXP(-LN(2)/25))/(LN(2)/25)*Calculateur!AQ153*Calculateur!AS153*VLOOKUP('Données projet'!$B$10,Paramètres!$A$1:$I$89,3,0)*0.475*44/12</f>
        <v>2.348419496017518</v>
      </c>
      <c r="AW153" s="21">
        <f>EXP(-LN(2)/2)*AW152+(1-EXP(-LN(2)/2))/(LN(2)/2)*AQ153*AT153*VLOOKUP('Données projet'!$B$10,Paramètres!$A$1:$I$89,3,0)*0.475*44/12</f>
        <v>6.8128889595130028E-20</v>
      </c>
      <c r="AX153" s="21">
        <f t="shared" si="114"/>
        <v>28.953846559369808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68.881908097949591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-2.5006556825246661E-14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180.42749272334603</v>
      </c>
      <c r="BJ153" s="59">
        <f t="shared" si="146"/>
        <v>346.61476512497495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5.9388207079546147</v>
      </c>
      <c r="BQ153" s="21">
        <f>EXP(-LN(2)/25)*BQ152+(1-EXP(-LN(2)/25))/(LN(2)/25)*Calculateur!BL153*Calculateur!BN153*VLOOKUP('Données projet'!$B$11,Paramètres!$A$1:$I$89,3,0)*0.475*44/12</f>
        <v>0.59461003158680426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6.5334307395414193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68.881908097949591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19.8100000000004</v>
      </c>
      <c r="BZ153" s="13">
        <f>BY153*VLOOKUP('Données projet'!$B$12,Paramètres!$A$1:$I$89,3,0)*VLOOKUP('Données projet'!$B$12,Paramètres!$A$1:$I$89,5,0)</f>
        <v>17.924088000000364</v>
      </c>
      <c r="CA153" s="13">
        <f t="shared" si="147"/>
        <v>5.9032212091029486</v>
      </c>
      <c r="CB153" s="20">
        <f t="shared" si="118"/>
        <v>41.499230205854936</v>
      </c>
      <c r="CC153" s="59">
        <f t="shared" si="119"/>
        <v>330.73289323167006</v>
      </c>
      <c r="CD153" s="59">
        <f ca="1">AVERAGE(OFFSET($CC$3,0,0,'Données projet'!$E$12+1,1))-AVERAGE(OFFSET($H$3,0,0,'Données projet'!$E$12+1,1))</f>
        <v>553.16421218123958</v>
      </c>
      <c r="CE153" s="59">
        <f t="shared" si="148"/>
        <v>291.73668613844416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190.19249657637133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190.19249657637133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68.881908097949591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19.8100000000004</v>
      </c>
      <c r="CU153" s="17">
        <f>CT153*VLOOKUP('Données projet'!$B$13,Paramètres!$A$1:$I$89,3,0)*VLOOKUP('Données projet'!$B$13,Paramètres!$A$1:$I$89,5,0)</f>
        <v>20.08734000000041</v>
      </c>
      <c r="CV153" s="13">
        <f t="shared" si="149"/>
        <v>6.5285137703520215</v>
      </c>
      <c r="CW153" s="20">
        <f t="shared" si="121"/>
        <v>46.355945316697152</v>
      </c>
      <c r="CX153" s="59">
        <f t="shared" si="122"/>
        <v>335.58960834251229</v>
      </c>
      <c r="CY153" s="59">
        <f ca="1">AVERAGE(OFFSET($CX$3,0,0,'Données projet'!$E$13+1,1))-AVERAGE(OFFSET($H$3,0,0,'Données projet'!$E$13+1,1))</f>
        <v>611.82989382187804</v>
      </c>
      <c r="CZ153" s="59">
        <f t="shared" si="150"/>
        <v>320.34124600136363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213.14676340455409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213.14676340455409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68.881908097949591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19.8100000000004</v>
      </c>
      <c r="DP153" s="17">
        <f>DO153*VLOOKUP('Données projet'!$B$14,Paramètres!$A$1:$I$89,3,0)*VLOOKUP('Données projet'!$B$14,Paramètres!$A$1:$I$89,5,0)</f>
        <v>21.323484000000427</v>
      </c>
      <c r="DQ153" s="13">
        <f t="shared" si="151"/>
        <v>6.88226100850307</v>
      </c>
      <c r="DR153" s="20">
        <f t="shared" si="124"/>
        <v>49.125005889810261</v>
      </c>
      <c r="DS153" s="59">
        <f t="shared" si="125"/>
        <v>338.3586689156254</v>
      </c>
      <c r="DT153" s="59">
        <f ca="1">AVERAGE(OFFSET($DS$3,0,0,'Données projet'!$E$14+1,1))-AVERAGE(OFFSET($H$3,0,0,'Données projet'!$E$14+1,1))</f>
        <v>645.29541304800614</v>
      </c>
      <c r="DU153" s="59">
        <f t="shared" si="152"/>
        <v>336.65580771733323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226.26348730637278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226.26348730637278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68.881908097949591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319</v>
      </c>
      <c r="EK153" s="17">
        <f>EJ153*VLOOKUP('Données projet'!$B$15,Paramètres!$A$1:$I$89,3,0)*VLOOKUP('Données projet'!$B$15,Paramètres!$A$1:$I$89,5,0)</f>
        <v>233.89079999999998</v>
      </c>
      <c r="EL153" s="13">
        <f t="shared" si="153"/>
        <v>57.123140349023068</v>
      </c>
      <c r="EM153" s="20">
        <f t="shared" si="127"/>
        <v>506.84927944121517</v>
      </c>
      <c r="EN153" s="59">
        <f t="shared" si="128"/>
        <v>796.08294246703031</v>
      </c>
      <c r="EO153" s="59">
        <f ca="1">AVERAGE(OFFSET($EN$3,0,0,'Données projet'!$E$15+1,1))-AVERAGE(OFFSET($H$3,0,0,'Données projet'!$E$15+1,1))</f>
        <v>343.31122043016137</v>
      </c>
      <c r="EP153" s="59">
        <f t="shared" si="154"/>
        <v>333.61098411258877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9.938310051810415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9.938310051810415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68.881908097949591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319</v>
      </c>
      <c r="FF153" s="17">
        <f>FE153*VLOOKUP('Données projet'!$B$16,Paramètres!$A$1:$I$89,3,0)*VLOOKUP('Données projet'!$B$16,Paramètres!$A$1:$I$89,5,0)</f>
        <v>253.79640000000001</v>
      </c>
      <c r="FG153" s="13">
        <f t="shared" si="155"/>
        <v>61.39816832228076</v>
      </c>
      <c r="FH153" s="20">
        <f t="shared" si="130"/>
        <v>548.96387316130563</v>
      </c>
      <c r="FI153" s="59">
        <f t="shared" si="131"/>
        <v>838.1975361871207</v>
      </c>
      <c r="FJ153" s="59">
        <f ca="1">AVERAGE(OFFSET($FI$3,0,0,'Données projet'!$E$16+1,1))-AVERAGE(OFFSET($H$3,0,0,'Données projet'!$E$16+1,1))</f>
        <v>368.12945163484585</v>
      </c>
      <c r="FK153" s="59">
        <f t="shared" si="156"/>
        <v>357.27183934545121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13.292059411204123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13.292059411204123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68.881908097949591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68.881908097949591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3.0869565217391299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11.318840579710143</v>
      </c>
      <c r="H154" s="66">
        <f t="shared" si="110"/>
        <v>211.39130434782609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68.901304492771146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5.2499999999990337</v>
      </c>
      <c r="O154" s="13">
        <f>N154*VLOOKUP('Données projet'!$B$9,Paramètres!$A$1:$I$89,3,0)*VLOOKUP('Données projet'!$B$9,Paramètres!$A$1:$I$89,5,0)</f>
        <v>2.4569999999995478</v>
      </c>
      <c r="P154" s="13">
        <f t="shared" si="141"/>
        <v>1.0197977774625564</v>
      </c>
      <c r="Q154" s="20">
        <f t="shared" ref="Q154:Q203" si="162">(O154+P154)*0.475*44/12</f>
        <v>6.0554227957464972</v>
      </c>
      <c r="R154" s="59">
        <f t="shared" si="109"/>
        <v>295.36020593590735</v>
      </c>
      <c r="S154" s="59">
        <f ca="1">AVERAGE(OFFSET($R$3,0,0,'Données projet'!$E$9+1,1))-AVERAGE(OFFSET($H$3,0,0,'Données projet'!$E$9+1,1))</f>
        <v>320.30433416149219</v>
      </c>
      <c r="T154" s="59">
        <f t="shared" si="142"/>
        <v>201.33422682092797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105.72363345979333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105.72363345979333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68.901304492771146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763.00000000000057</v>
      </c>
      <c r="AJ154" s="13">
        <f>AI154*VLOOKUP('Données projet'!$B$10,Paramètres!$A$1:$I$89,3,0)*VLOOKUP('Données projet'!$B$10,Paramètres!$A$1:$I$89,5,0)</f>
        <v>456.2740000000004</v>
      </c>
      <c r="AK154" s="13">
        <f t="shared" ref="AK154:AK203" si="164">EXP(-1.0587+0.8836*LN(AJ154)+0.284)</f>
        <v>103.09649786611838</v>
      </c>
      <c r="AL154" s="20">
        <f t="shared" ref="AL154:AL203" si="165">(AJ154+AK154)*0.475*44/12</f>
        <v>974.23695045015677</v>
      </c>
      <c r="AM154" s="59">
        <f t="shared" si="113"/>
        <v>1263.5417335903176</v>
      </c>
      <c r="AN154" s="59">
        <f ca="1">AVERAGE(OFFSET($AM$3,0,0,'Données projet'!$E$10+1,1))-AVERAGE(OFFSET($H$3,0,0,'Données projet'!$E$10+1,1))</f>
        <v>569.80473816957431</v>
      </c>
      <c r="AO154" s="59">
        <f t="shared" si="144"/>
        <v>495.56567790763199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26.08371086634811</v>
      </c>
      <c r="AV154" s="21">
        <f>EXP(-LN(2)/25)*AV153+(1-EXP(-LN(2)/25))/(LN(2)/25)*Calculateur!AQ154*Calculateur!AS154*VLOOKUP('Données projet'!$B$10,Paramètres!$A$1:$I$89,3,0)*0.475*44/12</f>
        <v>2.2842018414009049</v>
      </c>
      <c r="AW154" s="21">
        <f>EXP(-LN(2)/2)*AW153+(1-EXP(-LN(2)/2))/(LN(2)/2)*AQ154*AT154*VLOOKUP('Données projet'!$B$10,Paramètres!$A$1:$I$89,3,0)*0.475*44/12</f>
        <v>4.8174399827426064E-20</v>
      </c>
      <c r="AX154" s="21">
        <f t="shared" ref="AX154:AX203" si="166">SUM(AU154:AW154)</f>
        <v>28.367912707749014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68.901304492771146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-2.5006556825246661E-14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180.42749272334603</v>
      </c>
      <c r="BJ154" s="59">
        <f t="shared" si="146"/>
        <v>346.61476512497495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5.8223640561945817</v>
      </c>
      <c r="BQ154" s="21">
        <f>EXP(-LN(2)/25)*BQ153+(1-EXP(-LN(2)/25))/(LN(2)/25)*Calculateur!BL154*Calculateur!BN154*VLOOKUP('Données projet'!$B$11,Paramètres!$A$1:$I$89,3,0)*0.475*44/12</f>
        <v>0.57835038900388058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6.4007144451984619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68.901304492771146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19.8100000000004</v>
      </c>
      <c r="BZ154" s="13">
        <f>BY154*VLOOKUP('Données projet'!$B$12,Paramètres!$A$1:$I$89,3,0)*VLOOKUP('Données projet'!$B$12,Paramètres!$A$1:$I$89,5,0)</f>
        <v>17.924088000000364</v>
      </c>
      <c r="CA154" s="13">
        <f t="shared" ref="CA154:CA203" si="170">EXP(-1.0587+0.8836*LN(BZ154)+0.284)</f>
        <v>5.9032212091029486</v>
      </c>
      <c r="CB154" s="20">
        <f t="shared" ref="CB154:CB203" si="171">(BZ154+CA154)*0.475*44/12</f>
        <v>41.499230205854936</v>
      </c>
      <c r="CC154" s="59">
        <f t="shared" si="119"/>
        <v>330.80401334601578</v>
      </c>
      <c r="CD154" s="59">
        <f ca="1">AVERAGE(OFFSET($CC$3,0,0,'Données projet'!$E$12+1,1))-AVERAGE(OFFSET($H$3,0,0,'Données projet'!$E$12+1,1))</f>
        <v>553.16421218123958</v>
      </c>
      <c r="CE154" s="59">
        <f t="shared" si="148"/>
        <v>291.73668613844416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186.46293772447694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186.46293772447694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68.901304492771146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19.8100000000004</v>
      </c>
      <c r="CU154" s="17">
        <f>CT154*VLOOKUP('Données projet'!$B$13,Paramètres!$A$1:$I$89,3,0)*VLOOKUP('Données projet'!$B$13,Paramètres!$A$1:$I$89,5,0)</f>
        <v>20.08734000000041</v>
      </c>
      <c r="CV154" s="13">
        <f t="shared" ref="CV154:CV203" si="173">EXP(-1.0587+0.8836*LN(CU154)+0.284)</f>
        <v>6.5285137703520215</v>
      </c>
      <c r="CW154" s="20">
        <f t="shared" ref="CW154:CW203" si="174">(CU154+CV154)*0.475*44/12</f>
        <v>46.355945316697152</v>
      </c>
      <c r="CX154" s="59">
        <f t="shared" si="122"/>
        <v>335.66072845685801</v>
      </c>
      <c r="CY154" s="59">
        <f ca="1">AVERAGE(OFFSET($CX$3,0,0,'Données projet'!$E$13+1,1))-AVERAGE(OFFSET($H$3,0,0,'Données projet'!$E$13+1,1))</f>
        <v>611.82989382187804</v>
      </c>
      <c r="CZ154" s="59">
        <f t="shared" si="150"/>
        <v>320.34124600136363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208.96708538087938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208.96708538087938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68.901304492771146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19.8100000000004</v>
      </c>
      <c r="DP154" s="17">
        <f>DO154*VLOOKUP('Données projet'!$B$14,Paramètres!$A$1:$I$89,3,0)*VLOOKUP('Données projet'!$B$14,Paramètres!$A$1:$I$89,5,0)</f>
        <v>21.323484000000427</v>
      </c>
      <c r="DQ154" s="13">
        <f t="shared" ref="DQ154:DQ203" si="176">EXP(-1.0587+0.8836*LN(DP154)+0.284)</f>
        <v>6.88226100850307</v>
      </c>
      <c r="DR154" s="20">
        <f t="shared" ref="DR154:DR203" si="177">(DP154+DQ154)*0.475*44/12</f>
        <v>49.125005889810261</v>
      </c>
      <c r="DS154" s="59">
        <f t="shared" si="125"/>
        <v>338.42978902997112</v>
      </c>
      <c r="DT154" s="59">
        <f ca="1">AVERAGE(OFFSET($DS$3,0,0,'Données projet'!$E$14+1,1))-AVERAGE(OFFSET($H$3,0,0,'Données projet'!$E$14+1,1))</f>
        <v>645.29541304800614</v>
      </c>
      <c r="DU154" s="59">
        <f t="shared" si="152"/>
        <v>336.65580771733323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221.826598327395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221.826598327395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68.901304492771146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319</v>
      </c>
      <c r="EK154" s="17">
        <f>EJ154*VLOOKUP('Données projet'!$B$15,Paramètres!$A$1:$I$89,3,0)*VLOOKUP('Données projet'!$B$15,Paramètres!$A$1:$I$89,5,0)</f>
        <v>233.89079999999998</v>
      </c>
      <c r="EL154" s="13">
        <f t="shared" ref="EL154:EL203" si="179">EXP(-1.0587+0.8836*LN(EK154)+0.284)</f>
        <v>57.123140349023068</v>
      </c>
      <c r="EM154" s="20">
        <f t="shared" ref="EM154:EM203" si="180">(EK154+EL154)*0.475*44/12</f>
        <v>506.84927944121517</v>
      </c>
      <c r="EN154" s="59">
        <f t="shared" si="128"/>
        <v>796.15406258137602</v>
      </c>
      <c r="EO154" s="59">
        <f ca="1">AVERAGE(OFFSET($EN$3,0,0,'Données projet'!$E$15+1,1))-AVERAGE(OFFSET($H$3,0,0,'Données projet'!$E$15+1,1))</f>
        <v>343.31122043016137</v>
      </c>
      <c r="EP154" s="59">
        <f t="shared" si="154"/>
        <v>333.61098411258877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9.7434258534649949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9.7434258534649949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68.901304492771146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319</v>
      </c>
      <c r="FF154" s="17">
        <f>FE154*VLOOKUP('Données projet'!$B$16,Paramètres!$A$1:$I$89,3,0)*VLOOKUP('Données projet'!$B$16,Paramètres!$A$1:$I$89,5,0)</f>
        <v>253.79640000000001</v>
      </c>
      <c r="FG154" s="13">
        <f t="shared" ref="FG154:FG203" si="182">EXP(-1.0587+0.8836*LN(FF154)+0.284)</f>
        <v>61.39816832228076</v>
      </c>
      <c r="FH154" s="20">
        <f t="shared" ref="FH154:FH203" si="183">(FF154+FG154)*0.475*44/12</f>
        <v>548.96387316130563</v>
      </c>
      <c r="FI154" s="59">
        <f t="shared" si="131"/>
        <v>838.26865630146654</v>
      </c>
      <c r="FJ154" s="59">
        <f ca="1">AVERAGE(OFFSET($FI$3,0,0,'Données projet'!$E$16+1,1))-AVERAGE(OFFSET($H$3,0,0,'Données projet'!$E$16+1,1))</f>
        <v>368.12945163484585</v>
      </c>
      <c r="FK154" s="59">
        <f t="shared" si="156"/>
        <v>357.27183934545121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13.031410233506117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13.031410233506117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68.901304492771146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68.901304492771146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3.0869565217391299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11.318840579710143</v>
      </c>
      <c r="H155" s="66">
        <f t="shared" si="110"/>
        <v>211.39130434782609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68.920364403506397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5.2499999999990337</v>
      </c>
      <c r="O155" s="13">
        <f>N155*VLOOKUP('Données projet'!$B$9,Paramètres!$A$1:$I$89,3,0)*VLOOKUP('Données projet'!$B$9,Paramètres!$A$1:$I$89,5,0)</f>
        <v>2.4569999999995478</v>
      </c>
      <c r="P155" s="13">
        <f t="shared" si="141"/>
        <v>1.0197977774625564</v>
      </c>
      <c r="Q155" s="20">
        <f t="shared" si="162"/>
        <v>6.0554227957464972</v>
      </c>
      <c r="R155" s="59">
        <f t="shared" si="109"/>
        <v>295.43009227526994</v>
      </c>
      <c r="S155" s="59">
        <f ca="1">AVERAGE(OFFSET($R$3,0,0,'Données projet'!$E$9+1,1))-AVERAGE(OFFSET($H$3,0,0,'Données projet'!$E$9+1,1))</f>
        <v>320.30433416149219</v>
      </c>
      <c r="T155" s="59">
        <f t="shared" si="142"/>
        <v>201.33422682092797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103.65045749269582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103.65045749269582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68.920364403506397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763.00000000000057</v>
      </c>
      <c r="AJ155" s="13">
        <f>AI155*VLOOKUP('Données projet'!$B$10,Paramètres!$A$1:$I$89,3,0)*VLOOKUP('Données projet'!$B$10,Paramètres!$A$1:$I$89,5,0)</f>
        <v>456.2740000000004</v>
      </c>
      <c r="AK155" s="13">
        <f t="shared" si="164"/>
        <v>103.09649786611838</v>
      </c>
      <c r="AL155" s="20">
        <f t="shared" si="165"/>
        <v>974.23695045015677</v>
      </c>
      <c r="AM155" s="59">
        <f t="shared" si="113"/>
        <v>1263.6116199296803</v>
      </c>
      <c r="AN155" s="59">
        <f ca="1">AVERAGE(OFFSET($AM$3,0,0,'Données projet'!$E$10+1,1))-AVERAGE(OFFSET($H$3,0,0,'Données projet'!$E$10+1,1))</f>
        <v>569.80473816957431</v>
      </c>
      <c r="AO155" s="59">
        <f t="shared" si="144"/>
        <v>495.56567790763199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25.572225205751721</v>
      </c>
      <c r="AV155" s="21">
        <f>EXP(-LN(2)/25)*AV154+(1-EXP(-LN(2)/25))/(LN(2)/25)*Calculateur!AQ155*Calculateur!AS155*VLOOKUP('Données projet'!$B$10,Paramètres!$A$1:$I$89,3,0)*0.475*44/12</f>
        <v>2.2217402219268427</v>
      </c>
      <c r="AW155" s="21">
        <f>EXP(-LN(2)/2)*AW154+(1-EXP(-LN(2)/2))/(LN(2)/2)*AQ155*AT155*VLOOKUP('Données projet'!$B$10,Paramètres!$A$1:$I$89,3,0)*0.475*44/12</f>
        <v>3.4064444797565014E-20</v>
      </c>
      <c r="AX155" s="21">
        <f t="shared" si="166"/>
        <v>27.793965427678565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68.920364403506397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-2.5006556825246661E-14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180.42749272334603</v>
      </c>
      <c r="BJ155" s="59">
        <f t="shared" si="146"/>
        <v>346.61476512497495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5.7081910483440197</v>
      </c>
      <c r="BQ155" s="21">
        <f>EXP(-LN(2)/25)*BQ154+(1-EXP(-LN(2)/25))/(LN(2)/25)*Calculateur!BL155*Calculateur!BN155*VLOOKUP('Données projet'!$B$11,Paramètres!$A$1:$I$89,3,0)*0.475*44/12</f>
        <v>0.56253536720244435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6.2707264155464637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68.920364403506397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19.8100000000004</v>
      </c>
      <c r="BZ155" s="13">
        <f>BY155*VLOOKUP('Données projet'!$B$12,Paramètres!$A$1:$I$89,3,0)*VLOOKUP('Données projet'!$B$12,Paramètres!$A$1:$I$89,5,0)</f>
        <v>17.924088000000364</v>
      </c>
      <c r="CA155" s="13">
        <f t="shared" si="170"/>
        <v>5.9032212091029486</v>
      </c>
      <c r="CB155" s="20">
        <f t="shared" si="171"/>
        <v>41.499230205854936</v>
      </c>
      <c r="CC155" s="59">
        <f t="shared" si="119"/>
        <v>330.87389968537838</v>
      </c>
      <c r="CD155" s="59">
        <f ca="1">AVERAGE(OFFSET($CC$3,0,0,'Données projet'!$E$12+1,1))-AVERAGE(OFFSET($H$3,0,0,'Données projet'!$E$12+1,1))</f>
        <v>553.16421218123958</v>
      </c>
      <c r="CE155" s="59">
        <f t="shared" si="148"/>
        <v>291.73668613844416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182.80651324686195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182.80651324686195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68.920364403506397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19.8100000000004</v>
      </c>
      <c r="CU155" s="17">
        <f>CT155*VLOOKUP('Données projet'!$B$13,Paramètres!$A$1:$I$89,3,0)*VLOOKUP('Données projet'!$B$13,Paramètres!$A$1:$I$89,5,0)</f>
        <v>20.08734000000041</v>
      </c>
      <c r="CV155" s="13">
        <f t="shared" si="173"/>
        <v>6.5285137703520215</v>
      </c>
      <c r="CW155" s="20">
        <f t="shared" si="174"/>
        <v>46.355945316697152</v>
      </c>
      <c r="CX155" s="59">
        <f t="shared" si="122"/>
        <v>335.73061479622061</v>
      </c>
      <c r="CY155" s="59">
        <f ca="1">AVERAGE(OFFSET($CX$3,0,0,'Données projet'!$E$13+1,1))-AVERAGE(OFFSET($H$3,0,0,'Données projet'!$E$13+1,1))</f>
        <v>611.82989382187804</v>
      </c>
      <c r="CZ155" s="59">
        <f t="shared" si="150"/>
        <v>320.34124600136363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204.86936829389705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204.86936829389705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68.920364403506397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19.8100000000004</v>
      </c>
      <c r="DP155" s="17">
        <f>DO155*VLOOKUP('Données projet'!$B$14,Paramètres!$A$1:$I$89,3,0)*VLOOKUP('Données projet'!$B$14,Paramètres!$A$1:$I$89,5,0)</f>
        <v>21.323484000000427</v>
      </c>
      <c r="DQ155" s="13">
        <f t="shared" si="176"/>
        <v>6.88226100850307</v>
      </c>
      <c r="DR155" s="20">
        <f t="shared" si="177"/>
        <v>49.125005889810261</v>
      </c>
      <c r="DS155" s="59">
        <f t="shared" si="125"/>
        <v>338.49967536933372</v>
      </c>
      <c r="DT155" s="59">
        <f ca="1">AVERAGE(OFFSET($DS$3,0,0,'Données projet'!$E$14+1,1))-AVERAGE(OFFSET($H$3,0,0,'Données projet'!$E$14+1,1))</f>
        <v>645.29541304800614</v>
      </c>
      <c r="DU155" s="59">
        <f t="shared" si="152"/>
        <v>336.65580771733323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217.47671403505993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217.47671403505993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68.920364403506397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319</v>
      </c>
      <c r="EK155" s="17">
        <f>EJ155*VLOOKUP('Données projet'!$B$15,Paramètres!$A$1:$I$89,3,0)*VLOOKUP('Données projet'!$B$15,Paramètres!$A$1:$I$89,5,0)</f>
        <v>233.89079999999998</v>
      </c>
      <c r="EL155" s="13">
        <f t="shared" si="179"/>
        <v>57.123140349023068</v>
      </c>
      <c r="EM155" s="20">
        <f t="shared" si="180"/>
        <v>506.84927944121517</v>
      </c>
      <c r="EN155" s="59">
        <f t="shared" si="128"/>
        <v>796.22394892073862</v>
      </c>
      <c r="EO155" s="59">
        <f ca="1">AVERAGE(OFFSET($EN$3,0,0,'Données projet'!$E$15+1,1))-AVERAGE(OFFSET($H$3,0,0,'Données projet'!$E$15+1,1))</f>
        <v>343.31122043016137</v>
      </c>
      <c r="EP155" s="59">
        <f t="shared" si="154"/>
        <v>333.61098411258877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9.5523632153815043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9.5523632153815043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68.920364403506397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319</v>
      </c>
      <c r="FF155" s="17">
        <f>FE155*VLOOKUP('Données projet'!$B$16,Paramètres!$A$1:$I$89,3,0)*VLOOKUP('Données projet'!$B$16,Paramètres!$A$1:$I$89,5,0)</f>
        <v>253.79640000000001</v>
      </c>
      <c r="FG155" s="13">
        <f t="shared" si="182"/>
        <v>61.39816832228076</v>
      </c>
      <c r="FH155" s="20">
        <f t="shared" si="183"/>
        <v>548.96387316130563</v>
      </c>
      <c r="FI155" s="59">
        <f t="shared" si="131"/>
        <v>838.33854264082902</v>
      </c>
      <c r="FJ155" s="59">
        <f ca="1">AVERAGE(OFFSET($FI$3,0,0,'Données projet'!$E$16+1,1))-AVERAGE(OFFSET($H$3,0,0,'Données projet'!$E$16+1,1))</f>
        <v>368.12945163484585</v>
      </c>
      <c r="FK155" s="59">
        <f t="shared" si="156"/>
        <v>357.27183934545121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12.775872227202468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12.775872227202468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68.920364403506397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68.920364403506397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3.0869565217391299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11.318840579710143</v>
      </c>
      <c r="H156" s="66">
        <f t="shared" si="110"/>
        <v>211.39130434782609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68.939093667401977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5.2499999999990337</v>
      </c>
      <c r="O156" s="13">
        <f>N156*VLOOKUP('Données projet'!$B$9,Paramètres!$A$1:$I$89,3,0)*VLOOKUP('Données projet'!$B$9,Paramètres!$A$1:$I$89,5,0)</f>
        <v>2.4569999999995478</v>
      </c>
      <c r="P156" s="13">
        <f t="shared" si="141"/>
        <v>1.0197977774625564</v>
      </c>
      <c r="Q156" s="20">
        <f t="shared" si="162"/>
        <v>6.0554227957464972</v>
      </c>
      <c r="R156" s="59">
        <f t="shared" si="109"/>
        <v>295.49876624288709</v>
      </c>
      <c r="S156" s="59">
        <f ca="1">AVERAGE(OFFSET($R$3,0,0,'Données projet'!$E$9+1,1))-AVERAGE(OFFSET($H$3,0,0,'Données projet'!$E$9+1,1))</f>
        <v>320.30433416149219</v>
      </c>
      <c r="T156" s="59">
        <f t="shared" si="142"/>
        <v>201.33422682092797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101.61793524180062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101.61793524180062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68.939093667401977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763.00000000000057</v>
      </c>
      <c r="AJ156" s="13">
        <f>AI156*VLOOKUP('Données projet'!$B$10,Paramètres!$A$1:$I$89,3,0)*VLOOKUP('Données projet'!$B$10,Paramètres!$A$1:$I$89,5,0)</f>
        <v>456.2740000000004</v>
      </c>
      <c r="AK156" s="13">
        <f t="shared" si="164"/>
        <v>103.09649786611838</v>
      </c>
      <c r="AL156" s="20">
        <f t="shared" si="165"/>
        <v>974.23695045015677</v>
      </c>
      <c r="AM156" s="59">
        <f t="shared" si="113"/>
        <v>1263.6802938972974</v>
      </c>
      <c r="AN156" s="59">
        <f ca="1">AVERAGE(OFFSET($AM$3,0,0,'Données projet'!$E$10+1,1))-AVERAGE(OFFSET($H$3,0,0,'Données projet'!$E$10+1,1))</f>
        <v>569.80473816957431</v>
      </c>
      <c r="AO156" s="59">
        <f t="shared" si="144"/>
        <v>495.56567790763199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25.070769466984178</v>
      </c>
      <c r="AV156" s="21">
        <f>EXP(-LN(2)/25)*AV155+(1-EXP(-LN(2)/25))/(LN(2)/25)*Calculateur!AQ156*Calculateur!AS156*VLOOKUP('Données projet'!$B$10,Paramètres!$A$1:$I$89,3,0)*0.475*44/12</f>
        <v>2.1609866187220126</v>
      </c>
      <c r="AW156" s="21">
        <f>EXP(-LN(2)/2)*AW155+(1-EXP(-LN(2)/2))/(LN(2)/2)*AQ156*AT156*VLOOKUP('Données projet'!$B$10,Paramètres!$A$1:$I$89,3,0)*0.475*44/12</f>
        <v>2.4087199913713032E-20</v>
      </c>
      <c r="AX156" s="21">
        <f t="shared" si="166"/>
        <v>27.231756085706191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68.939093667401977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-2.5006556825246661E-14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180.42749272334603</v>
      </c>
      <c r="BJ156" s="59">
        <f t="shared" si="146"/>
        <v>346.61476512497495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5.5962569035387482</v>
      </c>
      <c r="BQ156" s="21">
        <f>EXP(-LN(2)/25)*BQ155+(1-EXP(-LN(2)/25))/(LN(2)/25)*Calculateur!BL156*Calculateur!BN156*VLOOKUP('Données projet'!$B$11,Paramètres!$A$1:$I$89,3,0)*0.475*44/12</f>
        <v>0.54715280800384425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6.1434097115425921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68.939093667401977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19.8100000000004</v>
      </c>
      <c r="BZ156" s="13">
        <f>BY156*VLOOKUP('Données projet'!$B$12,Paramètres!$A$1:$I$89,3,0)*VLOOKUP('Données projet'!$B$12,Paramètres!$A$1:$I$89,5,0)</f>
        <v>17.924088000000364</v>
      </c>
      <c r="CA156" s="13">
        <f t="shared" si="170"/>
        <v>5.9032212091029486</v>
      </c>
      <c r="CB156" s="20">
        <f t="shared" si="171"/>
        <v>41.499230205854936</v>
      </c>
      <c r="CC156" s="59">
        <f t="shared" si="119"/>
        <v>330.94257365299552</v>
      </c>
      <c r="CD156" s="59">
        <f ca="1">AVERAGE(OFFSET($CC$3,0,0,'Données projet'!$E$12+1,1))-AVERAGE(OFFSET($H$3,0,0,'Données projet'!$E$12+1,1))</f>
        <v>553.16421218123958</v>
      </c>
      <c r="CE156" s="59">
        <f t="shared" si="148"/>
        <v>291.73668613844416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179.22178902305427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179.22178902305427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68.939093667401977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19.8100000000004</v>
      </c>
      <c r="CU156" s="17">
        <f>CT156*VLOOKUP('Données projet'!$B$13,Paramètres!$A$1:$I$89,3,0)*VLOOKUP('Données projet'!$B$13,Paramètres!$A$1:$I$89,5,0)</f>
        <v>20.08734000000041</v>
      </c>
      <c r="CV156" s="13">
        <f t="shared" si="173"/>
        <v>6.5285137703520215</v>
      </c>
      <c r="CW156" s="20">
        <f t="shared" si="174"/>
        <v>46.355945316697152</v>
      </c>
      <c r="CX156" s="59">
        <f t="shared" si="122"/>
        <v>335.79928876383775</v>
      </c>
      <c r="CY156" s="59">
        <f ca="1">AVERAGE(OFFSET($CX$3,0,0,'Données projet'!$E$13+1,1))-AVERAGE(OFFSET($H$3,0,0,'Données projet'!$E$13+1,1))</f>
        <v>611.82989382187804</v>
      </c>
      <c r="CZ156" s="59">
        <f t="shared" si="150"/>
        <v>320.34124600136363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200.85200493962981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200.85200493962981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68.939093667401977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19.8100000000004</v>
      </c>
      <c r="DP156" s="17">
        <f>DO156*VLOOKUP('Données projet'!$B$14,Paramètres!$A$1:$I$89,3,0)*VLOOKUP('Données projet'!$B$14,Paramètres!$A$1:$I$89,5,0)</f>
        <v>21.323484000000427</v>
      </c>
      <c r="DQ156" s="13">
        <f t="shared" si="176"/>
        <v>6.88226100850307</v>
      </c>
      <c r="DR156" s="20">
        <f t="shared" si="177"/>
        <v>49.125005889810261</v>
      </c>
      <c r="DS156" s="59">
        <f t="shared" si="125"/>
        <v>338.56834933695086</v>
      </c>
      <c r="DT156" s="59">
        <f ca="1">AVERAGE(OFFSET($DS$3,0,0,'Données projet'!$E$14+1,1))-AVERAGE(OFFSET($H$3,0,0,'Données projet'!$E$14+1,1))</f>
        <v>645.29541304800614</v>
      </c>
      <c r="DU156" s="59">
        <f t="shared" si="152"/>
        <v>336.65580771733323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213.2121283205301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213.2121283205301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68.939093667401977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319</v>
      </c>
      <c r="EK156" s="17">
        <f>EJ156*VLOOKUP('Données projet'!$B$15,Paramètres!$A$1:$I$89,3,0)*VLOOKUP('Données projet'!$B$15,Paramètres!$A$1:$I$89,5,0)</f>
        <v>233.89079999999998</v>
      </c>
      <c r="EL156" s="13">
        <f t="shared" si="179"/>
        <v>57.123140349023068</v>
      </c>
      <c r="EM156" s="20">
        <f t="shared" si="180"/>
        <v>506.84927944121517</v>
      </c>
      <c r="EN156" s="59">
        <f t="shared" si="128"/>
        <v>796.29262288835571</v>
      </c>
      <c r="EO156" s="59">
        <f ca="1">AVERAGE(OFFSET($EN$3,0,0,'Données projet'!$E$15+1,1))-AVERAGE(OFFSET($H$3,0,0,'Données projet'!$E$15+1,1))</f>
        <v>343.31122043016137</v>
      </c>
      <c r="EP156" s="59">
        <f t="shared" si="154"/>
        <v>333.61098411258877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9.3650471990941284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9.3650471990941284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68.939093667401977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319</v>
      </c>
      <c r="FF156" s="17">
        <f>FE156*VLOOKUP('Données projet'!$B$16,Paramètres!$A$1:$I$89,3,0)*VLOOKUP('Données projet'!$B$16,Paramètres!$A$1:$I$89,5,0)</f>
        <v>253.79640000000001</v>
      </c>
      <c r="FG156" s="13">
        <f t="shared" si="182"/>
        <v>61.39816832228076</v>
      </c>
      <c r="FH156" s="20">
        <f t="shared" si="183"/>
        <v>548.96387316130563</v>
      </c>
      <c r="FI156" s="59">
        <f t="shared" si="131"/>
        <v>838.40721660844622</v>
      </c>
      <c r="FJ156" s="59">
        <f ca="1">AVERAGE(OFFSET($FI$3,0,0,'Données projet'!$E$16+1,1))-AVERAGE(OFFSET($H$3,0,0,'Données projet'!$E$16+1,1))</f>
        <v>368.12945163484585</v>
      </c>
      <c r="FK156" s="59">
        <f t="shared" si="156"/>
        <v>357.27183934545121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12.52534516533964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12.52534516533964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68.939093667401977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68.939093667401977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3.0869565217391299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11.318840579710143</v>
      </c>
      <c r="H157" s="66">
        <f t="shared" si="110"/>
        <v>211.39130434782609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68.957498020441307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5.2499999999990337</v>
      </c>
      <c r="O157" s="13">
        <f>N157*VLOOKUP('Données projet'!$B$9,Paramètres!$A$1:$I$89,3,0)*VLOOKUP('Données projet'!$B$9,Paramètres!$A$1:$I$89,5,0)</f>
        <v>2.4569999999995478</v>
      </c>
      <c r="P157" s="13">
        <f t="shared" si="141"/>
        <v>1.0197977774625564</v>
      </c>
      <c r="Q157" s="20">
        <f t="shared" si="162"/>
        <v>6.0554227957464972</v>
      </c>
      <c r="R157" s="59">
        <f t="shared" si="109"/>
        <v>295.56624887069796</v>
      </c>
      <c r="S157" s="59">
        <f ca="1">AVERAGE(OFFSET($R$3,0,0,'Données projet'!$E$9+1,1))-AVERAGE(OFFSET($H$3,0,0,'Données projet'!$E$9+1,1))</f>
        <v>320.30433416149219</v>
      </c>
      <c r="T157" s="59">
        <f t="shared" si="142"/>
        <v>201.33422682092797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99.625269512529314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99.625269512529314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68.957498020441307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763.00000000000057</v>
      </c>
      <c r="AJ157" s="13">
        <f>AI157*VLOOKUP('Données projet'!$B$10,Paramètres!$A$1:$I$89,3,0)*VLOOKUP('Données projet'!$B$10,Paramètres!$A$1:$I$89,5,0)</f>
        <v>456.2740000000004</v>
      </c>
      <c r="AK157" s="13">
        <f t="shared" si="164"/>
        <v>103.09649786611838</v>
      </c>
      <c r="AL157" s="20">
        <f t="shared" si="165"/>
        <v>974.23695045015677</v>
      </c>
      <c r="AM157" s="59">
        <f t="shared" si="113"/>
        <v>1263.7477765251083</v>
      </c>
      <c r="AN157" s="59">
        <f ca="1">AVERAGE(OFFSET($AM$3,0,0,'Données projet'!$E$10+1,1))-AVERAGE(OFFSET($H$3,0,0,'Données projet'!$E$10+1,1))</f>
        <v>569.80473816957431</v>
      </c>
      <c r="AO157" s="59">
        <f t="shared" si="144"/>
        <v>495.56567790763199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24.579146969396067</v>
      </c>
      <c r="AV157" s="21">
        <f>EXP(-LN(2)/25)*AV156+(1-EXP(-LN(2)/25))/(LN(2)/25)*Calculateur!AQ157*Calculateur!AS157*VLOOKUP('Données projet'!$B$10,Paramètres!$A$1:$I$89,3,0)*0.475*44/12</f>
        <v>2.101894325991712</v>
      </c>
      <c r="AW157" s="21">
        <f>EXP(-LN(2)/2)*AW156+(1-EXP(-LN(2)/2))/(LN(2)/2)*AQ157*AT157*VLOOKUP('Données projet'!$B$10,Paramètres!$A$1:$I$89,3,0)*0.475*44/12</f>
        <v>1.7032222398782507E-20</v>
      </c>
      <c r="AX157" s="21">
        <f t="shared" si="166"/>
        <v>26.681041295387779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68.957498020441307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-2.5006556825246661E-14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180.42749272334603</v>
      </c>
      <c r="BJ157" s="59">
        <f t="shared" si="146"/>
        <v>346.61476512497495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5.4865177190400214</v>
      </c>
      <c r="BQ157" s="21">
        <f>EXP(-LN(2)/25)*BQ156+(1-EXP(-LN(2)/25))/(LN(2)/25)*Calculateur!BL157*Calculateur!BN157*VLOOKUP('Données projet'!$B$11,Paramètres!$A$1:$I$89,3,0)*0.475*44/12</f>
        <v>0.53219088569546347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6.018708604735485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68.957498020441307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19.8100000000004</v>
      </c>
      <c r="BZ157" s="13">
        <f>BY157*VLOOKUP('Données projet'!$B$12,Paramètres!$A$1:$I$89,3,0)*VLOOKUP('Données projet'!$B$12,Paramètres!$A$1:$I$89,5,0)</f>
        <v>17.924088000000364</v>
      </c>
      <c r="CA157" s="13">
        <f t="shared" si="170"/>
        <v>5.9032212091029486</v>
      </c>
      <c r="CB157" s="20">
        <f t="shared" si="171"/>
        <v>41.499230205854936</v>
      </c>
      <c r="CC157" s="59">
        <f t="shared" si="119"/>
        <v>331.0100562808064</v>
      </c>
      <c r="CD157" s="59">
        <f ca="1">AVERAGE(OFFSET($CC$3,0,0,'Données projet'!$E$12+1,1))-AVERAGE(OFFSET($H$3,0,0,'Données projet'!$E$12+1,1))</f>
        <v>553.16421218123958</v>
      </c>
      <c r="CE157" s="59">
        <f t="shared" si="148"/>
        <v>291.73668613844416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175.70735905480956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175.70735905480956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68.957498020441307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19.8100000000004</v>
      </c>
      <c r="CU157" s="17">
        <f>CT157*VLOOKUP('Données projet'!$B$13,Paramètres!$A$1:$I$89,3,0)*VLOOKUP('Données projet'!$B$13,Paramètres!$A$1:$I$89,5,0)</f>
        <v>20.08734000000041</v>
      </c>
      <c r="CV157" s="13">
        <f t="shared" si="173"/>
        <v>6.5285137703520215</v>
      </c>
      <c r="CW157" s="20">
        <f t="shared" si="174"/>
        <v>46.355945316697152</v>
      </c>
      <c r="CX157" s="59">
        <f t="shared" si="122"/>
        <v>335.86677139164863</v>
      </c>
      <c r="CY157" s="59">
        <f ca="1">AVERAGE(OFFSET($CX$3,0,0,'Données projet'!$E$13+1,1))-AVERAGE(OFFSET($H$3,0,0,'Données projet'!$E$13+1,1))</f>
        <v>611.82989382187804</v>
      </c>
      <c r="CZ157" s="59">
        <f t="shared" si="150"/>
        <v>320.34124600136363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196.91341963039005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196.91341963039005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68.957498020441307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19.8100000000004</v>
      </c>
      <c r="DP157" s="17">
        <f>DO157*VLOOKUP('Données projet'!$B$14,Paramètres!$A$1:$I$89,3,0)*VLOOKUP('Données projet'!$B$14,Paramètres!$A$1:$I$89,5,0)</f>
        <v>21.323484000000427</v>
      </c>
      <c r="DQ157" s="13">
        <f t="shared" si="176"/>
        <v>6.88226100850307</v>
      </c>
      <c r="DR157" s="20">
        <f t="shared" si="177"/>
        <v>49.125005889810261</v>
      </c>
      <c r="DS157" s="59">
        <f t="shared" si="125"/>
        <v>338.63583196476173</v>
      </c>
      <c r="DT157" s="59">
        <f ca="1">AVERAGE(OFFSET($DS$3,0,0,'Données projet'!$E$14+1,1))-AVERAGE(OFFSET($H$3,0,0,'Données projet'!$E$14+1,1))</f>
        <v>645.29541304800614</v>
      </c>
      <c r="DU157" s="59">
        <f t="shared" si="152"/>
        <v>336.65580771733323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209.03116853072174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209.03116853072174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68.957498020441307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319</v>
      </c>
      <c r="EK157" s="17">
        <f>EJ157*VLOOKUP('Données projet'!$B$15,Paramètres!$A$1:$I$89,3,0)*VLOOKUP('Données projet'!$B$15,Paramètres!$A$1:$I$89,5,0)</f>
        <v>233.89079999999998</v>
      </c>
      <c r="EL157" s="13">
        <f t="shared" si="179"/>
        <v>57.123140349023068</v>
      </c>
      <c r="EM157" s="20">
        <f t="shared" si="180"/>
        <v>506.84927944121517</v>
      </c>
      <c r="EN157" s="59">
        <f t="shared" si="128"/>
        <v>796.36010551616664</v>
      </c>
      <c r="EO157" s="59">
        <f ca="1">AVERAGE(OFFSET($EN$3,0,0,'Données projet'!$E$15+1,1))-AVERAGE(OFFSET($H$3,0,0,'Données projet'!$E$15+1,1))</f>
        <v>343.31122043016137</v>
      </c>
      <c r="EP157" s="59">
        <f t="shared" si="154"/>
        <v>333.61098411258877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9.1814043356346602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9.1814043356346602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68.957498020441307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319</v>
      </c>
      <c r="FF157" s="17">
        <f>FE157*VLOOKUP('Données projet'!$B$16,Paramètres!$A$1:$I$89,3,0)*VLOOKUP('Données projet'!$B$16,Paramètres!$A$1:$I$89,5,0)</f>
        <v>253.79640000000001</v>
      </c>
      <c r="FG157" s="13">
        <f t="shared" si="182"/>
        <v>61.39816832228076</v>
      </c>
      <c r="FH157" s="20">
        <f t="shared" si="183"/>
        <v>548.96387316130563</v>
      </c>
      <c r="FI157" s="59">
        <f t="shared" si="131"/>
        <v>838.47469923625704</v>
      </c>
      <c r="FJ157" s="59">
        <f ca="1">AVERAGE(OFFSET($FI$3,0,0,'Données projet'!$E$16+1,1))-AVERAGE(OFFSET($H$3,0,0,'Données projet'!$E$16+1,1))</f>
        <v>368.12945163484585</v>
      </c>
      <c r="FK157" s="59">
        <f t="shared" si="156"/>
        <v>357.27183934545121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12.279730786353522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12.279730786353522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68.957498020441307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68.957498020441307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3.0869565217391299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11.318840579710143</v>
      </c>
      <c r="H158" s="66">
        <f t="shared" si="110"/>
        <v>211.39130434782609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68.975583099101385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5.2499999999990337</v>
      </c>
      <c r="O158" s="13">
        <f>N158*VLOOKUP('Données projet'!$B$9,Paramètres!$A$1:$I$89,3,0)*VLOOKUP('Données projet'!$B$9,Paramètres!$A$1:$I$89,5,0)</f>
        <v>2.4569999999995478</v>
      </c>
      <c r="P158" s="13">
        <f t="shared" si="141"/>
        <v>1.0197977774625564</v>
      </c>
      <c r="Q158" s="20">
        <f t="shared" si="162"/>
        <v>6.0554227957464972</v>
      </c>
      <c r="R158" s="59">
        <f t="shared" si="109"/>
        <v>295.63256082578488</v>
      </c>
      <c r="S158" s="59">
        <f ca="1">AVERAGE(OFFSET($R$3,0,0,'Données projet'!$E$9+1,1))-AVERAGE(OFFSET($H$3,0,0,'Données projet'!$E$9+1,1))</f>
        <v>320.30433416149219</v>
      </c>
      <c r="T158" s="59">
        <f t="shared" si="142"/>
        <v>201.33422682092797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97.671678742802925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97.671678742802925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68.975583099101385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763.00000000000057</v>
      </c>
      <c r="AJ158" s="13">
        <f>AI158*VLOOKUP('Données projet'!$B$10,Paramètres!$A$1:$I$89,3,0)*VLOOKUP('Données projet'!$B$10,Paramètres!$A$1:$I$89,5,0)</f>
        <v>456.2740000000004</v>
      </c>
      <c r="AK158" s="13">
        <f t="shared" si="164"/>
        <v>103.09649786611838</v>
      </c>
      <c r="AL158" s="20">
        <f t="shared" si="165"/>
        <v>974.23695045015677</v>
      </c>
      <c r="AM158" s="59">
        <f t="shared" si="113"/>
        <v>1263.8140884801951</v>
      </c>
      <c r="AN158" s="59">
        <f ca="1">AVERAGE(OFFSET($AM$3,0,0,'Données projet'!$E$10+1,1))-AVERAGE(OFFSET($H$3,0,0,'Données projet'!$E$10+1,1))</f>
        <v>569.80473816957431</v>
      </c>
      <c r="AO158" s="59">
        <f t="shared" si="144"/>
        <v>495.56567790763199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24.097164889125544</v>
      </c>
      <c r="AV158" s="21">
        <f>EXP(-LN(2)/25)*AV157+(1-EXP(-LN(2)/25))/(LN(2)/25)*Calculateur!AQ158*Calculateur!AS158*VLOOKUP('Données projet'!$B$10,Paramètres!$A$1:$I$89,3,0)*0.475*44/12</f>
        <v>2.0444179151136499</v>
      </c>
      <c r="AW158" s="21">
        <f>EXP(-LN(2)/2)*AW157+(1-EXP(-LN(2)/2))/(LN(2)/2)*AQ158*AT158*VLOOKUP('Données projet'!$B$10,Paramètres!$A$1:$I$89,3,0)*0.475*44/12</f>
        <v>1.2043599956856516E-20</v>
      </c>
      <c r="AX158" s="21">
        <f t="shared" si="166"/>
        <v>26.141582804239192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68.975583099101385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-2.5006556825246661E-14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180.42749272334603</v>
      </c>
      <c r="BJ158" s="59">
        <f t="shared" si="146"/>
        <v>346.61476512497495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5.3789304530150215</v>
      </c>
      <c r="BQ158" s="21">
        <f>EXP(-LN(2)/25)*BQ157+(1-EXP(-LN(2)/25))/(LN(2)/25)*Calculateur!BL158*Calculateur!BN158*VLOOKUP('Données projet'!$B$11,Paramètres!$A$1:$I$89,3,0)*0.475*44/12</f>
        <v>0.51763809793941873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5.8965685509544405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68.975583099101385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19.8100000000004</v>
      </c>
      <c r="BZ158" s="13">
        <f>BY158*VLOOKUP('Données projet'!$B$12,Paramètres!$A$1:$I$89,3,0)*VLOOKUP('Données projet'!$B$12,Paramètres!$A$1:$I$89,5,0)</f>
        <v>17.924088000000364</v>
      </c>
      <c r="CA158" s="13">
        <f t="shared" si="170"/>
        <v>5.9032212091029486</v>
      </c>
      <c r="CB158" s="20">
        <f t="shared" si="171"/>
        <v>41.499230205854936</v>
      </c>
      <c r="CC158" s="59">
        <f t="shared" si="119"/>
        <v>331.07636823589331</v>
      </c>
      <c r="CD158" s="59">
        <f ca="1">AVERAGE(OFFSET($CC$3,0,0,'Données projet'!$E$12+1,1))-AVERAGE(OFFSET($H$3,0,0,'Données projet'!$E$12+1,1))</f>
        <v>553.16421218123958</v>
      </c>
      <c r="CE158" s="59">
        <f t="shared" si="148"/>
        <v>291.73668613844416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172.2618449146515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172.2618449146515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68.975583099101385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19.8100000000004</v>
      </c>
      <c r="CU158" s="17">
        <f>CT158*VLOOKUP('Données projet'!$B$13,Paramètres!$A$1:$I$89,3,0)*VLOOKUP('Données projet'!$B$13,Paramètres!$A$1:$I$89,5,0)</f>
        <v>20.08734000000041</v>
      </c>
      <c r="CV158" s="13">
        <f t="shared" si="173"/>
        <v>6.5285137703520215</v>
      </c>
      <c r="CW158" s="20">
        <f t="shared" si="174"/>
        <v>46.355945316697152</v>
      </c>
      <c r="CX158" s="59">
        <f t="shared" si="122"/>
        <v>335.93308334673554</v>
      </c>
      <c r="CY158" s="59">
        <f ca="1">AVERAGE(OFFSET($CX$3,0,0,'Données projet'!$E$13+1,1))-AVERAGE(OFFSET($H$3,0,0,'Données projet'!$E$13+1,1))</f>
        <v>611.82989382187804</v>
      </c>
      <c r="CZ158" s="59">
        <f t="shared" si="150"/>
        <v>320.34124600136363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193.05206757676467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193.05206757676467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68.975583099101385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19.8100000000004</v>
      </c>
      <c r="DP158" s="17">
        <f>DO158*VLOOKUP('Données projet'!$B$14,Paramètres!$A$1:$I$89,3,0)*VLOOKUP('Données projet'!$B$14,Paramètres!$A$1:$I$89,5,0)</f>
        <v>21.323484000000427</v>
      </c>
      <c r="DQ158" s="13">
        <f t="shared" si="176"/>
        <v>6.88226100850307</v>
      </c>
      <c r="DR158" s="20">
        <f t="shared" si="177"/>
        <v>49.125005889810261</v>
      </c>
      <c r="DS158" s="59">
        <f t="shared" si="125"/>
        <v>338.70214391984865</v>
      </c>
      <c r="DT158" s="59">
        <f ca="1">AVERAGE(OFFSET($DS$3,0,0,'Données projet'!$E$14+1,1))-AVERAGE(OFFSET($H$3,0,0,'Données projet'!$E$14+1,1))</f>
        <v>645.29541304800614</v>
      </c>
      <c r="DU158" s="59">
        <f t="shared" si="152"/>
        <v>336.65580771733323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204.93219481225788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204.93219481225788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68.975583099101385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319</v>
      </c>
      <c r="EK158" s="17">
        <f>EJ158*VLOOKUP('Données projet'!$B$15,Paramètres!$A$1:$I$89,3,0)*VLOOKUP('Données projet'!$B$15,Paramètres!$A$1:$I$89,5,0)</f>
        <v>233.89079999999998</v>
      </c>
      <c r="EL158" s="13">
        <f t="shared" si="179"/>
        <v>57.123140349023068</v>
      </c>
      <c r="EM158" s="20">
        <f t="shared" si="180"/>
        <v>506.84927944121517</v>
      </c>
      <c r="EN158" s="59">
        <f t="shared" si="128"/>
        <v>796.42641747125356</v>
      </c>
      <c r="EO158" s="59">
        <f ca="1">AVERAGE(OFFSET($EN$3,0,0,'Données projet'!$E$15+1,1))-AVERAGE(OFFSET($H$3,0,0,'Données projet'!$E$15+1,1))</f>
        <v>343.31122043016137</v>
      </c>
      <c r="EP158" s="59">
        <f t="shared" si="154"/>
        <v>333.61098411258877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9.0013625967165449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9.0013625967165449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68.975583099101385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319</v>
      </c>
      <c r="FF158" s="17">
        <f>FE158*VLOOKUP('Données projet'!$B$16,Paramètres!$A$1:$I$89,3,0)*VLOOKUP('Données projet'!$B$16,Paramètres!$A$1:$I$89,5,0)</f>
        <v>253.79640000000001</v>
      </c>
      <c r="FG158" s="13">
        <f t="shared" si="182"/>
        <v>61.39816832228076</v>
      </c>
      <c r="FH158" s="20">
        <f t="shared" si="183"/>
        <v>548.96387316130563</v>
      </c>
      <c r="FI158" s="59">
        <f t="shared" si="131"/>
        <v>838.54101119134407</v>
      </c>
      <c r="FJ158" s="59">
        <f ca="1">AVERAGE(OFFSET($FI$3,0,0,'Données projet'!$E$16+1,1))-AVERAGE(OFFSET($H$3,0,0,'Données projet'!$E$16+1,1))</f>
        <v>368.12945163484585</v>
      </c>
      <c r="FK158" s="59">
        <f t="shared" si="156"/>
        <v>357.27183934545121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12.038932755529343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12.038932755529343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68.975583099101385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68.975583099101385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3.0869565217391299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11.318840579710143</v>
      </c>
      <c r="H159" s="66">
        <f t="shared" si="110"/>
        <v>211.39130434782609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68.993354442078896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5.2499999999990337</v>
      </c>
      <c r="O159" s="13">
        <f>N159*VLOOKUP('Données projet'!$B$9,Paramètres!$A$1:$I$89,3,0)*VLOOKUP('Données projet'!$B$9,Paramètres!$A$1:$I$89,5,0)</f>
        <v>2.4569999999995478</v>
      </c>
      <c r="P159" s="13">
        <f t="shared" si="141"/>
        <v>1.0197977774625564</v>
      </c>
      <c r="Q159" s="20">
        <f t="shared" si="162"/>
        <v>6.0554227957464972</v>
      </c>
      <c r="R159" s="59">
        <f t="shared" si="109"/>
        <v>295.69772241670245</v>
      </c>
      <c r="S159" s="59">
        <f ca="1">AVERAGE(OFFSET($R$3,0,0,'Données projet'!$E$9+1,1))-AVERAGE(OFFSET($H$3,0,0,'Données projet'!$E$9+1,1))</f>
        <v>320.30433416149219</v>
      </c>
      <c r="T159" s="59">
        <f t="shared" si="142"/>
        <v>201.33422682092797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95.756396696498157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95.756396696498157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68.993354442078896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763.00000000000057</v>
      </c>
      <c r="AJ159" s="13">
        <f>AI159*VLOOKUP('Données projet'!$B$10,Paramètres!$A$1:$I$89,3,0)*VLOOKUP('Données projet'!$B$10,Paramètres!$A$1:$I$89,5,0)</f>
        <v>456.2740000000004</v>
      </c>
      <c r="AK159" s="13">
        <f t="shared" si="164"/>
        <v>103.09649786611838</v>
      </c>
      <c r="AL159" s="20">
        <f t="shared" si="165"/>
        <v>974.23695045015677</v>
      </c>
      <c r="AM159" s="59">
        <f t="shared" si="113"/>
        <v>1263.8792500711127</v>
      </c>
      <c r="AN159" s="59">
        <f ca="1">AVERAGE(OFFSET($AM$3,0,0,'Données projet'!$E$10+1,1))-AVERAGE(OFFSET($H$3,0,0,'Données projet'!$E$10+1,1))</f>
        <v>569.80473816957431</v>
      </c>
      <c r="AO159" s="59">
        <f t="shared" si="144"/>
        <v>495.56567790763199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23.624634183469084</v>
      </c>
      <c r="AV159" s="21">
        <f>EXP(-LN(2)/25)*AV158+(1-EXP(-LN(2)/25))/(LN(2)/25)*Calculateur!AQ159*Calculateur!AS159*VLOOKUP('Données projet'!$B$10,Paramètres!$A$1:$I$89,3,0)*0.475*44/12</f>
        <v>1.9885131997136016</v>
      </c>
      <c r="AW159" s="21">
        <f>EXP(-LN(2)/2)*AW158+(1-EXP(-LN(2)/2))/(LN(2)/2)*AQ159*AT159*VLOOKUP('Données projet'!$B$10,Paramètres!$A$1:$I$89,3,0)*0.475*44/12</f>
        <v>8.5161111993912535E-21</v>
      </c>
      <c r="AX159" s="21">
        <f t="shared" si="166"/>
        <v>25.613147383182685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68.993354442078896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-2.5006556825246661E-14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180.42749272334603</v>
      </c>
      <c r="BJ159" s="59">
        <f t="shared" si="146"/>
        <v>346.61476512497495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5.2734529076550185</v>
      </c>
      <c r="BQ159" s="21">
        <f>EXP(-LN(2)/25)*BQ158+(1-EXP(-LN(2)/25))/(LN(2)/25)*Calculateur!BL159*Calculateur!BN159*VLOOKUP('Données projet'!$B$11,Paramètres!$A$1:$I$89,3,0)*0.475*44/12</f>
        <v>0.50348325692986085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5.7769361645848791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68.993354442078896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19.8100000000004</v>
      </c>
      <c r="BZ159" s="13">
        <f>BY159*VLOOKUP('Données projet'!$B$12,Paramètres!$A$1:$I$89,3,0)*VLOOKUP('Données projet'!$B$12,Paramètres!$A$1:$I$89,5,0)</f>
        <v>17.924088000000364</v>
      </c>
      <c r="CA159" s="13">
        <f t="shared" si="170"/>
        <v>5.9032212091029486</v>
      </c>
      <c r="CB159" s="20">
        <f t="shared" si="171"/>
        <v>41.499230205854936</v>
      </c>
      <c r="CC159" s="59">
        <f t="shared" si="119"/>
        <v>331.14152982681088</v>
      </c>
      <c r="CD159" s="59">
        <f ca="1">AVERAGE(OFFSET($CC$3,0,0,'Données projet'!$E$12+1,1))-AVERAGE(OFFSET($H$3,0,0,'Données projet'!$E$12+1,1))</f>
        <v>553.16421218123958</v>
      </c>
      <c r="CE159" s="59">
        <f t="shared" si="148"/>
        <v>291.73668613844416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168.88389520522585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168.88389520522585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68.993354442078896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19.8100000000004</v>
      </c>
      <c r="CU159" s="17">
        <f>CT159*VLOOKUP('Données projet'!$B$13,Paramètres!$A$1:$I$89,3,0)*VLOOKUP('Données projet'!$B$13,Paramètres!$A$1:$I$89,5,0)</f>
        <v>20.08734000000041</v>
      </c>
      <c r="CV159" s="13">
        <f t="shared" si="173"/>
        <v>6.5285137703520215</v>
      </c>
      <c r="CW159" s="20">
        <f t="shared" si="174"/>
        <v>46.355945316697152</v>
      </c>
      <c r="CX159" s="59">
        <f t="shared" si="122"/>
        <v>335.99824493765311</v>
      </c>
      <c r="CY159" s="59">
        <f ca="1">AVERAGE(OFFSET($CX$3,0,0,'Données projet'!$E$13+1,1))-AVERAGE(OFFSET($H$3,0,0,'Données projet'!$E$13+1,1))</f>
        <v>611.82989382187804</v>
      </c>
      <c r="CZ159" s="59">
        <f t="shared" si="150"/>
        <v>320.34124600136363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189.26643428171869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189.26643428171869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68.993354442078896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19.8100000000004</v>
      </c>
      <c r="DP159" s="17">
        <f>DO159*VLOOKUP('Données projet'!$B$14,Paramètres!$A$1:$I$89,3,0)*VLOOKUP('Données projet'!$B$14,Paramètres!$A$1:$I$89,5,0)</f>
        <v>21.323484000000427</v>
      </c>
      <c r="DQ159" s="13">
        <f t="shared" si="176"/>
        <v>6.88226100850307</v>
      </c>
      <c r="DR159" s="20">
        <f t="shared" si="177"/>
        <v>49.125005889810261</v>
      </c>
      <c r="DS159" s="59">
        <f t="shared" si="125"/>
        <v>338.76730551076622</v>
      </c>
      <c r="DT159" s="59">
        <f ca="1">AVERAGE(OFFSET($DS$3,0,0,'Données projet'!$E$14+1,1))-AVERAGE(OFFSET($H$3,0,0,'Données projet'!$E$14+1,1))</f>
        <v>645.29541304800614</v>
      </c>
      <c r="DU159" s="59">
        <f t="shared" si="152"/>
        <v>336.65580771733323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200.91359946828598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200.91359946828598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68.993354442078896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319</v>
      </c>
      <c r="EK159" s="17">
        <f>EJ159*VLOOKUP('Données projet'!$B$15,Paramètres!$A$1:$I$89,3,0)*VLOOKUP('Données projet'!$B$15,Paramètres!$A$1:$I$89,5,0)</f>
        <v>233.89079999999998</v>
      </c>
      <c r="EL159" s="13">
        <f t="shared" si="179"/>
        <v>57.123140349023068</v>
      </c>
      <c r="EM159" s="20">
        <f t="shared" si="180"/>
        <v>506.84927944121517</v>
      </c>
      <c r="EN159" s="59">
        <f t="shared" si="128"/>
        <v>796.49157906217113</v>
      </c>
      <c r="EO159" s="59">
        <f ca="1">AVERAGE(OFFSET($EN$3,0,0,'Données projet'!$E$15+1,1))-AVERAGE(OFFSET($H$3,0,0,'Données projet'!$E$15+1,1))</f>
        <v>343.31122043016137</v>
      </c>
      <c r="EP159" s="59">
        <f t="shared" si="154"/>
        <v>333.61098411258877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8.8248513664839958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8.8248513664839958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68.993354442078896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319</v>
      </c>
      <c r="FF159" s="17">
        <f>FE159*VLOOKUP('Données projet'!$B$16,Paramètres!$A$1:$I$89,3,0)*VLOOKUP('Données projet'!$B$16,Paramètres!$A$1:$I$89,5,0)</f>
        <v>253.79640000000001</v>
      </c>
      <c r="FG159" s="13">
        <f t="shared" si="182"/>
        <v>61.39816832228076</v>
      </c>
      <c r="FH159" s="20">
        <f t="shared" si="183"/>
        <v>548.96387316130563</v>
      </c>
      <c r="FI159" s="59">
        <f t="shared" si="131"/>
        <v>838.60617278226164</v>
      </c>
      <c r="FJ159" s="59">
        <f ca="1">AVERAGE(OFFSET($FI$3,0,0,'Données projet'!$E$16+1,1))-AVERAGE(OFFSET($H$3,0,0,'Données projet'!$E$16+1,1))</f>
        <v>368.12945163484585</v>
      </c>
      <c r="FK159" s="59">
        <f t="shared" si="156"/>
        <v>357.27183934545121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11.802856627217331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11.802856627217331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68.993354442078896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68.993354442078896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3.0869565217391299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11.318840579710143</v>
      </c>
      <c r="H160" s="66">
        <f t="shared" si="110"/>
        <v>211.39130434782609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69.010817491986501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5.2499999999990337</v>
      </c>
      <c r="O160" s="13">
        <f>N160*VLOOKUP('Données projet'!$B$9,Paramètres!$A$1:$I$89,3,0)*VLOOKUP('Données projet'!$B$9,Paramètres!$A$1:$I$89,5,0)</f>
        <v>2.4569999999995478</v>
      </c>
      <c r="P160" s="13">
        <f t="shared" si="141"/>
        <v>1.0197977774625564</v>
      </c>
      <c r="Q160" s="20">
        <f t="shared" si="162"/>
        <v>6.0554227957464972</v>
      </c>
      <c r="R160" s="59">
        <f t="shared" si="109"/>
        <v>295.76175359969699</v>
      </c>
      <c r="S160" s="59">
        <f ca="1">AVERAGE(OFFSET($R$3,0,0,'Données projet'!$E$9+1,1))-AVERAGE(OFFSET($H$3,0,0,'Données projet'!$E$9+1,1))</f>
        <v>320.30433416149219</v>
      </c>
      <c r="T160" s="59">
        <f t="shared" si="142"/>
        <v>201.33422682092797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93.878672162914739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93.878672162914739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69.010817491986501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763.00000000000057</v>
      </c>
      <c r="AJ160" s="13">
        <f>AI160*VLOOKUP('Données projet'!$B$10,Paramètres!$A$1:$I$89,3,0)*VLOOKUP('Données projet'!$B$10,Paramètres!$A$1:$I$89,5,0)</f>
        <v>456.2740000000004</v>
      </c>
      <c r="AK160" s="13">
        <f t="shared" si="164"/>
        <v>103.09649786611838</v>
      </c>
      <c r="AL160" s="20">
        <f t="shared" si="165"/>
        <v>974.23695045015677</v>
      </c>
      <c r="AM160" s="59">
        <f t="shared" si="113"/>
        <v>1263.9432812541072</v>
      </c>
      <c r="AN160" s="59">
        <f ca="1">AVERAGE(OFFSET($AM$3,0,0,'Données projet'!$E$10+1,1))-AVERAGE(OFFSET($H$3,0,0,'Données projet'!$E$10+1,1))</f>
        <v>569.80473816957431</v>
      </c>
      <c r="AO160" s="59">
        <f t="shared" si="144"/>
        <v>495.56567790763199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23.161369516735277</v>
      </c>
      <c r="AV160" s="21">
        <f>EXP(-LN(2)/25)*AV159+(1-EXP(-LN(2)/25))/(LN(2)/25)*Calculateur!AQ160*Calculateur!AS160*VLOOKUP('Données projet'!$B$10,Paramètres!$A$1:$I$89,3,0)*0.475*44/12</f>
        <v>1.9341372016960687</v>
      </c>
      <c r="AW160" s="21">
        <f>EXP(-LN(2)/2)*AW159+(1-EXP(-LN(2)/2))/(LN(2)/2)*AQ160*AT160*VLOOKUP('Données projet'!$B$10,Paramètres!$A$1:$I$89,3,0)*0.475*44/12</f>
        <v>6.021799978428258E-21</v>
      </c>
      <c r="AX160" s="21">
        <f t="shared" si="166"/>
        <v>25.095506718431345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69.010817491986501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-2.5006556825246661E-14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180.42749272334603</v>
      </c>
      <c r="BJ160" s="59">
        <f t="shared" si="146"/>
        <v>346.61476512497495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5.1700437126245751</v>
      </c>
      <c r="BQ160" s="21">
        <f>EXP(-LN(2)/25)*BQ159+(1-EXP(-LN(2)/25))/(LN(2)/25)*Calculateur!BL160*Calculateur!BN160*VLOOKUP('Données projet'!$B$11,Paramètres!$A$1:$I$89,3,0)*0.475*44/12</f>
        <v>0.48971548079208005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5.6597591934166553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69.010817491986501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19.8100000000004</v>
      </c>
      <c r="BZ160" s="13">
        <f>BY160*VLOOKUP('Données projet'!$B$12,Paramètres!$A$1:$I$89,3,0)*VLOOKUP('Données projet'!$B$12,Paramètres!$A$1:$I$89,5,0)</f>
        <v>17.924088000000364</v>
      </c>
      <c r="CA160" s="13">
        <f t="shared" si="170"/>
        <v>5.9032212091029486</v>
      </c>
      <c r="CB160" s="20">
        <f t="shared" si="171"/>
        <v>41.499230205854936</v>
      </c>
      <c r="CC160" s="59">
        <f t="shared" si="119"/>
        <v>331.20556100980542</v>
      </c>
      <c r="CD160" s="59">
        <f ca="1">AVERAGE(OFFSET($CC$3,0,0,'Données projet'!$E$12+1,1))-AVERAGE(OFFSET($H$3,0,0,'Données projet'!$E$12+1,1))</f>
        <v>553.16421218123958</v>
      </c>
      <c r="CE160" s="59">
        <f t="shared" si="148"/>
        <v>291.73668613844416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165.57218502925616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165.57218502925616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69.010817491986501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19.8100000000004</v>
      </c>
      <c r="CU160" s="17">
        <f>CT160*VLOOKUP('Données projet'!$B$13,Paramètres!$A$1:$I$89,3,0)*VLOOKUP('Données projet'!$B$13,Paramètres!$A$1:$I$89,5,0)</f>
        <v>20.08734000000041</v>
      </c>
      <c r="CV160" s="13">
        <f t="shared" si="173"/>
        <v>6.5285137703520215</v>
      </c>
      <c r="CW160" s="20">
        <f t="shared" si="174"/>
        <v>46.355945316697152</v>
      </c>
      <c r="CX160" s="59">
        <f t="shared" si="122"/>
        <v>336.06227612064765</v>
      </c>
      <c r="CY160" s="59">
        <f ca="1">AVERAGE(OFFSET($CX$3,0,0,'Données projet'!$E$13+1,1))-AVERAGE(OFFSET($H$3,0,0,'Données projet'!$E$13+1,1))</f>
        <v>611.82989382187804</v>
      </c>
      <c r="CZ160" s="59">
        <f t="shared" si="150"/>
        <v>320.34124600136363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185.55503494658024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185.55503494658024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69.010817491986501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19.8100000000004</v>
      </c>
      <c r="DP160" s="17">
        <f>DO160*VLOOKUP('Données projet'!$B$14,Paramètres!$A$1:$I$89,3,0)*VLOOKUP('Données projet'!$B$14,Paramètres!$A$1:$I$89,5,0)</f>
        <v>21.323484000000427</v>
      </c>
      <c r="DQ160" s="13">
        <f t="shared" si="176"/>
        <v>6.88226100850307</v>
      </c>
      <c r="DR160" s="20">
        <f t="shared" si="177"/>
        <v>49.125005889810261</v>
      </c>
      <c r="DS160" s="59">
        <f t="shared" si="125"/>
        <v>338.83133669376076</v>
      </c>
      <c r="DT160" s="59">
        <f ca="1">AVERAGE(OFFSET($DS$3,0,0,'Données projet'!$E$14+1,1))-AVERAGE(OFFSET($H$3,0,0,'Données projet'!$E$14+1,1))</f>
        <v>645.29541304800614</v>
      </c>
      <c r="DU160" s="59">
        <f t="shared" si="152"/>
        <v>336.65580771733323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196.97380632790822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196.97380632790822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69.010817491986501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319</v>
      </c>
      <c r="EK160" s="17">
        <f>EJ160*VLOOKUP('Données projet'!$B$15,Paramètres!$A$1:$I$89,3,0)*VLOOKUP('Données projet'!$B$15,Paramètres!$A$1:$I$89,5,0)</f>
        <v>233.89079999999998</v>
      </c>
      <c r="EL160" s="13">
        <f t="shared" si="179"/>
        <v>57.123140349023068</v>
      </c>
      <c r="EM160" s="20">
        <f t="shared" si="180"/>
        <v>506.84927944121517</v>
      </c>
      <c r="EN160" s="59">
        <f t="shared" si="128"/>
        <v>796.55561024516567</v>
      </c>
      <c r="EO160" s="59">
        <f ca="1">AVERAGE(OFFSET($EN$3,0,0,'Données projet'!$E$15+1,1))-AVERAGE(OFFSET($H$3,0,0,'Données projet'!$E$15+1,1))</f>
        <v>343.31122043016137</v>
      </c>
      <c r="EP160" s="59">
        <f t="shared" si="154"/>
        <v>333.61098411258877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8.6518014138150878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8.6518014138150878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69.010817491986501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319</v>
      </c>
      <c r="FF160" s="17">
        <f>FE160*VLOOKUP('Données projet'!$B$16,Paramètres!$A$1:$I$89,3,0)*VLOOKUP('Données projet'!$B$16,Paramètres!$A$1:$I$89,5,0)</f>
        <v>253.79640000000001</v>
      </c>
      <c r="FG160" s="13">
        <f t="shared" si="182"/>
        <v>61.39816832228076</v>
      </c>
      <c r="FH160" s="20">
        <f t="shared" si="183"/>
        <v>548.96387316130563</v>
      </c>
      <c r="FI160" s="59">
        <f t="shared" si="131"/>
        <v>838.67020396525618</v>
      </c>
      <c r="FJ160" s="59">
        <f ca="1">AVERAGE(OFFSET($FI$3,0,0,'Données projet'!$E$16+1,1))-AVERAGE(OFFSET($H$3,0,0,'Données projet'!$E$16+1,1))</f>
        <v>368.12945163484585</v>
      </c>
      <c r="FK160" s="59">
        <f t="shared" si="156"/>
        <v>357.27183934545121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11.571409807789296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11.571409807789296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69.010817491986501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69.010817491986501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3.0869565217391299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11.318840579710143</v>
      </c>
      <c r="H161" s="66">
        <f t="shared" si="110"/>
        <v>211.39130434782609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69.02797759701977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5.2499999999990337</v>
      </c>
      <c r="O161" s="13">
        <f>N161*VLOOKUP('Données projet'!$B$9,Paramètres!$A$1:$I$89,3,0)*VLOOKUP('Données projet'!$B$9,Paramètres!$A$1:$I$89,5,0)</f>
        <v>2.4569999999995478</v>
      </c>
      <c r="P161" s="13">
        <f t="shared" si="141"/>
        <v>1.0197977774625564</v>
      </c>
      <c r="Q161" s="20">
        <f t="shared" si="162"/>
        <v>6.0554227957464972</v>
      </c>
      <c r="R161" s="59">
        <f t="shared" si="109"/>
        <v>295.82467398481896</v>
      </c>
      <c r="S161" s="59">
        <f ca="1">AVERAGE(OFFSET($R$3,0,0,'Données projet'!$E$9+1,1))-AVERAGE(OFFSET($H$3,0,0,'Données projet'!$E$9+1,1))</f>
        <v>320.30433416149219</v>
      </c>
      <c r="T161" s="59">
        <f t="shared" si="142"/>
        <v>201.33422682092797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92.037768662136017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92.037768662136017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69.02797759701977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763.00000000000057</v>
      </c>
      <c r="AJ161" s="13">
        <f>AI161*VLOOKUP('Données projet'!$B$10,Paramètres!$A$1:$I$89,3,0)*VLOOKUP('Données projet'!$B$10,Paramètres!$A$1:$I$89,5,0)</f>
        <v>456.2740000000004</v>
      </c>
      <c r="AK161" s="13">
        <f t="shared" si="164"/>
        <v>103.09649786611838</v>
      </c>
      <c r="AL161" s="20">
        <f t="shared" si="165"/>
        <v>974.23695045015677</v>
      </c>
      <c r="AM161" s="59">
        <f t="shared" si="113"/>
        <v>1264.0062016392292</v>
      </c>
      <c r="AN161" s="59">
        <f ca="1">AVERAGE(OFFSET($AM$3,0,0,'Données projet'!$E$10+1,1))-AVERAGE(OFFSET($H$3,0,0,'Données projet'!$E$10+1,1))</f>
        <v>569.80473816957431</v>
      </c>
      <c r="AO161" s="59">
        <f t="shared" si="144"/>
        <v>495.56567790763199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22.707189187552576</v>
      </c>
      <c r="AV161" s="21">
        <f>EXP(-LN(2)/25)*AV160+(1-EXP(-LN(2)/25))/(LN(2)/25)*Calculateur!AQ161*Calculateur!AS161*VLOOKUP('Données projet'!$B$10,Paramètres!$A$1:$I$89,3,0)*0.475*44/12</f>
        <v>1.8812481182038348</v>
      </c>
      <c r="AW161" s="21">
        <f>EXP(-LN(2)/2)*AW160+(1-EXP(-LN(2)/2))/(LN(2)/2)*AQ161*AT161*VLOOKUP('Données projet'!$B$10,Paramètres!$A$1:$I$89,3,0)*0.475*44/12</f>
        <v>4.2580555996956268E-21</v>
      </c>
      <c r="AX161" s="21">
        <f t="shared" si="166"/>
        <v>24.588437305756411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69.02797759701977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-2.5006556825246661E-14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180.42749272334603</v>
      </c>
      <c r="BJ161" s="59">
        <f t="shared" si="146"/>
        <v>346.61476512497495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5.0686623088352976</v>
      </c>
      <c r="BQ161" s="21">
        <f>EXP(-LN(2)/25)*BQ160+(1-EXP(-LN(2)/25))/(LN(2)/25)*Calculateur!BL161*Calculateur!BN161*VLOOKUP('Données projet'!$B$11,Paramètres!$A$1:$I$89,3,0)*0.475*44/12</f>
        <v>0.47632418521680275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5.5449864940521003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69.02797759701977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19.8100000000004</v>
      </c>
      <c r="BZ161" s="13">
        <f>BY161*VLOOKUP('Données projet'!$B$12,Paramètres!$A$1:$I$89,3,0)*VLOOKUP('Données projet'!$B$12,Paramètres!$A$1:$I$89,5,0)</f>
        <v>17.924088000000364</v>
      </c>
      <c r="CA161" s="13">
        <f t="shared" si="170"/>
        <v>5.9032212091029486</v>
      </c>
      <c r="CB161" s="20">
        <f t="shared" si="171"/>
        <v>41.499230205854936</v>
      </c>
      <c r="CC161" s="59">
        <f t="shared" si="119"/>
        <v>331.26848139492739</v>
      </c>
      <c r="CD161" s="59">
        <f ca="1">AVERAGE(OFFSET($CC$3,0,0,'Données projet'!$E$12+1,1))-AVERAGE(OFFSET($H$3,0,0,'Données projet'!$E$12+1,1))</f>
        <v>553.16421218123958</v>
      </c>
      <c r="CE161" s="59">
        <f t="shared" si="148"/>
        <v>291.73668613844416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162.32541546989347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162.32541546989347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69.02797759701977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19.8100000000004</v>
      </c>
      <c r="CU161" s="17">
        <f>CT161*VLOOKUP('Données projet'!$B$13,Paramètres!$A$1:$I$89,3,0)*VLOOKUP('Données projet'!$B$13,Paramètres!$A$1:$I$89,5,0)</f>
        <v>20.08734000000041</v>
      </c>
      <c r="CV161" s="13">
        <f t="shared" si="173"/>
        <v>6.5285137703520215</v>
      </c>
      <c r="CW161" s="20">
        <f t="shared" si="174"/>
        <v>46.355945316697152</v>
      </c>
      <c r="CX161" s="59">
        <f t="shared" si="122"/>
        <v>336.12519650576962</v>
      </c>
      <c r="CY161" s="59">
        <f ca="1">AVERAGE(OFFSET($CX$3,0,0,'Données projet'!$E$13+1,1))-AVERAGE(OFFSET($H$3,0,0,'Données projet'!$E$13+1,1))</f>
        <v>611.82989382187804</v>
      </c>
      <c r="CZ161" s="59">
        <f t="shared" si="150"/>
        <v>320.34124600136363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181.91641388867379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181.91641388867379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69.02797759701977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19.8100000000004</v>
      </c>
      <c r="DP161" s="17">
        <f>DO161*VLOOKUP('Données projet'!$B$14,Paramètres!$A$1:$I$89,3,0)*VLOOKUP('Données projet'!$B$14,Paramètres!$A$1:$I$89,5,0)</f>
        <v>21.323484000000427</v>
      </c>
      <c r="DQ161" s="13">
        <f t="shared" si="176"/>
        <v>6.88226100850307</v>
      </c>
      <c r="DR161" s="20">
        <f t="shared" si="177"/>
        <v>49.125005889810261</v>
      </c>
      <c r="DS161" s="59">
        <f t="shared" si="125"/>
        <v>338.89425707888273</v>
      </c>
      <c r="DT161" s="59">
        <f ca="1">AVERAGE(OFFSET($DS$3,0,0,'Données projet'!$E$14+1,1))-AVERAGE(OFFSET($H$3,0,0,'Données projet'!$E$14+1,1))</f>
        <v>645.29541304800614</v>
      </c>
      <c r="DU161" s="59">
        <f t="shared" si="152"/>
        <v>336.65580771733323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193.11127012797675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193.11127012797675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69.02797759701977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319</v>
      </c>
      <c r="EK161" s="17">
        <f>EJ161*VLOOKUP('Données projet'!$B$15,Paramètres!$A$1:$I$89,3,0)*VLOOKUP('Données projet'!$B$15,Paramètres!$A$1:$I$89,5,0)</f>
        <v>233.89079999999998</v>
      </c>
      <c r="EL161" s="13">
        <f t="shared" si="179"/>
        <v>57.123140349023068</v>
      </c>
      <c r="EM161" s="20">
        <f t="shared" si="180"/>
        <v>506.84927944121517</v>
      </c>
      <c r="EN161" s="59">
        <f t="shared" si="128"/>
        <v>796.61853063028764</v>
      </c>
      <c r="EO161" s="59">
        <f ca="1">AVERAGE(OFFSET($EN$3,0,0,'Données projet'!$E$15+1,1))-AVERAGE(OFFSET($H$3,0,0,'Données projet'!$E$15+1,1))</f>
        <v>343.31122043016137</v>
      </c>
      <c r="EP161" s="59">
        <f t="shared" si="154"/>
        <v>333.61098411258877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8.4821448651679674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8.4821448651679674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69.02797759701977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319</v>
      </c>
      <c r="FF161" s="17">
        <f>FE161*VLOOKUP('Données projet'!$B$16,Paramètres!$A$1:$I$89,3,0)*VLOOKUP('Données projet'!$B$16,Paramètres!$A$1:$I$89,5,0)</f>
        <v>253.79640000000001</v>
      </c>
      <c r="FG161" s="13">
        <f t="shared" si="182"/>
        <v>61.39816832228076</v>
      </c>
      <c r="FH161" s="20">
        <f t="shared" si="183"/>
        <v>548.96387316130563</v>
      </c>
      <c r="FI161" s="59">
        <f t="shared" si="131"/>
        <v>838.73312435037815</v>
      </c>
      <c r="FJ161" s="59">
        <f ca="1">AVERAGE(OFFSET($FI$3,0,0,'Données projet'!$E$16+1,1))-AVERAGE(OFFSET($H$3,0,0,'Données projet'!$E$16+1,1))</f>
        <v>368.12945163484585</v>
      </c>
      <c r="FK161" s="59">
        <f t="shared" si="156"/>
        <v>357.27183934545121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11.344501519321625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11.344501519321625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69.02797759701977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69.02797759701977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3.0869565217391299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11.318840579710143</v>
      </c>
      <c r="H162" s="66">
        <f t="shared" si="110"/>
        <v>211.39130434782609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69.044840012594932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5.2499999999990337</v>
      </c>
      <c r="O162" s="13">
        <f>N162*VLOOKUP('Données projet'!$B$9,Paramètres!$A$1:$I$89,3,0)*VLOOKUP('Données projet'!$B$9,Paramètres!$A$1:$I$89,5,0)</f>
        <v>2.4569999999995478</v>
      </c>
      <c r="P162" s="13">
        <f t="shared" si="141"/>
        <v>1.0197977774625564</v>
      </c>
      <c r="Q162" s="20">
        <f t="shared" si="162"/>
        <v>6.0554227957464972</v>
      </c>
      <c r="R162" s="59">
        <f t="shared" si="109"/>
        <v>295.88650284192789</v>
      </c>
      <c r="S162" s="59">
        <f ca="1">AVERAGE(OFFSET($R$3,0,0,'Données projet'!$E$9+1,1))-AVERAGE(OFFSET($H$3,0,0,'Données projet'!$E$9+1,1))</f>
        <v>320.30433416149219</v>
      </c>
      <c r="T162" s="59">
        <f t="shared" si="142"/>
        <v>201.33422682092797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90.232964156167299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90.232964156167299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69.044840012594932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763.00000000000057</v>
      </c>
      <c r="AJ162" s="13">
        <f>AI162*VLOOKUP('Données projet'!$B$10,Paramètres!$A$1:$I$89,3,0)*VLOOKUP('Données projet'!$B$10,Paramètres!$A$1:$I$89,5,0)</f>
        <v>456.2740000000004</v>
      </c>
      <c r="AK162" s="13">
        <f t="shared" si="164"/>
        <v>103.09649786611838</v>
      </c>
      <c r="AL162" s="20">
        <f t="shared" si="165"/>
        <v>974.23695045015677</v>
      </c>
      <c r="AM162" s="59">
        <f t="shared" si="113"/>
        <v>1264.0680304963382</v>
      </c>
      <c r="AN162" s="59">
        <f ca="1">AVERAGE(OFFSET($AM$3,0,0,'Données projet'!$E$10+1,1))-AVERAGE(OFFSET($H$3,0,0,'Données projet'!$E$10+1,1))</f>
        <v>569.80473816957431</v>
      </c>
      <c r="AO162" s="59">
        <f t="shared" si="144"/>
        <v>495.56567790763199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22.261915057602497</v>
      </c>
      <c r="AV162" s="21">
        <f>EXP(-LN(2)/25)*AV161+(1-EXP(-LN(2)/25))/(LN(2)/25)*Calculateur!AQ162*Calculateur!AS162*VLOOKUP('Données projet'!$B$10,Paramètres!$A$1:$I$89,3,0)*0.475*44/12</f>
        <v>1.829805289481012</v>
      </c>
      <c r="AW162" s="21">
        <f>EXP(-LN(2)/2)*AW161+(1-EXP(-LN(2)/2))/(LN(2)/2)*AQ162*AT162*VLOOKUP('Données projet'!$B$10,Paramètres!$A$1:$I$89,3,0)*0.475*44/12</f>
        <v>3.010899989214129E-21</v>
      </c>
      <c r="AX162" s="21">
        <f t="shared" si="166"/>
        <v>24.091720347083509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69.044840012594932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-2.5006556825246661E-14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180.42749272334603</v>
      </c>
      <c r="BJ162" s="59">
        <f t="shared" si="146"/>
        <v>346.61476512497495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4.9692689325377781</v>
      </c>
      <c r="BQ162" s="21">
        <f>EXP(-LN(2)/25)*BQ161+(1-EXP(-LN(2)/25))/(LN(2)/25)*Calculateur!BL162*Calculateur!BN162*VLOOKUP('Données projet'!$B$11,Paramètres!$A$1:$I$89,3,0)*0.475*44/12</f>
        <v>0.46329907532324904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5.4325680078610272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69.044840012594932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19.8100000000004</v>
      </c>
      <c r="BZ162" s="13">
        <f>BY162*VLOOKUP('Données projet'!$B$12,Paramètres!$A$1:$I$89,3,0)*VLOOKUP('Données projet'!$B$12,Paramètres!$A$1:$I$89,5,0)</f>
        <v>17.924088000000364</v>
      </c>
      <c r="CA162" s="13">
        <f t="shared" si="170"/>
        <v>5.9032212091029486</v>
      </c>
      <c r="CB162" s="20">
        <f t="shared" si="171"/>
        <v>41.499230205854936</v>
      </c>
      <c r="CC162" s="59">
        <f t="shared" si="119"/>
        <v>331.33031025203633</v>
      </c>
      <c r="CD162" s="59">
        <f ca="1">AVERAGE(OFFSET($CC$3,0,0,'Données projet'!$E$12+1,1))-AVERAGE(OFFSET($H$3,0,0,'Données projet'!$E$12+1,1))</f>
        <v>553.16421218123958</v>
      </c>
      <c r="CE162" s="59">
        <f t="shared" si="148"/>
        <v>291.73668613844416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159.14231308125599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159.14231308125599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69.044840012594932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19.8100000000004</v>
      </c>
      <c r="CU162" s="17">
        <f>CT162*VLOOKUP('Données projet'!$B$13,Paramètres!$A$1:$I$89,3,0)*VLOOKUP('Données projet'!$B$13,Paramètres!$A$1:$I$89,5,0)</f>
        <v>20.08734000000041</v>
      </c>
      <c r="CV162" s="13">
        <f t="shared" si="173"/>
        <v>6.5285137703520215</v>
      </c>
      <c r="CW162" s="20">
        <f t="shared" si="174"/>
        <v>46.355945316697152</v>
      </c>
      <c r="CX162" s="59">
        <f t="shared" si="122"/>
        <v>336.18702536287856</v>
      </c>
      <c r="CY162" s="59">
        <f ca="1">AVERAGE(OFFSET($CX$3,0,0,'Données projet'!$E$13+1,1))-AVERAGE(OFFSET($H$3,0,0,'Données projet'!$E$13+1,1))</f>
        <v>611.82989382187804</v>
      </c>
      <c r="CZ162" s="59">
        <f t="shared" si="150"/>
        <v>320.34124600136363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178.34914397037318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178.34914397037318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69.044840012594932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19.8100000000004</v>
      </c>
      <c r="DP162" s="17">
        <f>DO162*VLOOKUP('Données projet'!$B$14,Paramètres!$A$1:$I$89,3,0)*VLOOKUP('Données projet'!$B$14,Paramètres!$A$1:$I$89,5,0)</f>
        <v>21.323484000000427</v>
      </c>
      <c r="DQ162" s="13">
        <f t="shared" si="176"/>
        <v>6.88226100850307</v>
      </c>
      <c r="DR162" s="20">
        <f t="shared" si="177"/>
        <v>49.125005889810261</v>
      </c>
      <c r="DS162" s="59">
        <f t="shared" si="125"/>
        <v>338.95608593599167</v>
      </c>
      <c r="DT162" s="59">
        <f ca="1">AVERAGE(OFFSET($DS$3,0,0,'Données projet'!$E$14+1,1))-AVERAGE(OFFSET($H$3,0,0,'Données projet'!$E$14+1,1))</f>
        <v>645.29541304800614</v>
      </c>
      <c r="DU162" s="59">
        <f t="shared" si="152"/>
        <v>336.65580771733323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189.32447590701148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189.32447590701148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69.044840012594932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319</v>
      </c>
      <c r="EK162" s="17">
        <f>EJ162*VLOOKUP('Données projet'!$B$15,Paramètres!$A$1:$I$89,3,0)*VLOOKUP('Données projet'!$B$15,Paramètres!$A$1:$I$89,5,0)</f>
        <v>233.89079999999998</v>
      </c>
      <c r="EL162" s="13">
        <f t="shared" si="179"/>
        <v>57.123140349023068</v>
      </c>
      <c r="EM162" s="20">
        <f t="shared" si="180"/>
        <v>506.84927944121517</v>
      </c>
      <c r="EN162" s="59">
        <f t="shared" si="128"/>
        <v>796.68035948739657</v>
      </c>
      <c r="EO162" s="59">
        <f ca="1">AVERAGE(OFFSET($EN$3,0,0,'Données projet'!$E$15+1,1))-AVERAGE(OFFSET($H$3,0,0,'Données projet'!$E$15+1,1))</f>
        <v>343.31122043016137</v>
      </c>
      <c r="EP162" s="59">
        <f t="shared" si="154"/>
        <v>333.61098411258877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8.3158151779595411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8.3158151779595411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69.044840012594932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319</v>
      </c>
      <c r="FF162" s="17">
        <f>FE162*VLOOKUP('Données projet'!$B$16,Paramètres!$A$1:$I$89,3,0)*VLOOKUP('Données projet'!$B$16,Paramètres!$A$1:$I$89,5,0)</f>
        <v>253.79640000000001</v>
      </c>
      <c r="FG162" s="13">
        <f t="shared" si="182"/>
        <v>61.39816832228076</v>
      </c>
      <c r="FH162" s="20">
        <f t="shared" si="183"/>
        <v>548.96387316130563</v>
      </c>
      <c r="FI162" s="59">
        <f t="shared" si="131"/>
        <v>838.79495320748697</v>
      </c>
      <c r="FJ162" s="59">
        <f ca="1">AVERAGE(OFFSET($FI$3,0,0,'Données projet'!$E$16+1,1))-AVERAGE(OFFSET($H$3,0,0,'Données projet'!$E$16+1,1))</f>
        <v>368.12945163484585</v>
      </c>
      <c r="FK162" s="59">
        <f t="shared" si="156"/>
        <v>357.27183934545121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11.122042763990414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11.122042763990414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69.044840012594932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69.044840012594932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3.0869565217391299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11.318840579710143</v>
      </c>
      <c r="H163" s="66">
        <f t="shared" si="110"/>
        <v>211.39130434782609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69.061409902958587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5.2499999999990337</v>
      </c>
      <c r="O163" s="13">
        <f>N163*VLOOKUP('Données projet'!$B$9,Paramètres!$A$1:$I$89,3,0)*VLOOKUP('Données projet'!$B$9,Paramètres!$A$1:$I$89,5,0)</f>
        <v>2.4569999999995478</v>
      </c>
      <c r="P163" s="13">
        <f t="shared" si="141"/>
        <v>1.0197977774625564</v>
      </c>
      <c r="Q163" s="20">
        <f t="shared" si="162"/>
        <v>6.0554227957464972</v>
      </c>
      <c r="R163" s="59">
        <f t="shared" si="109"/>
        <v>295.94725910659469</v>
      </c>
      <c r="S163" s="59">
        <f ca="1">AVERAGE(OFFSET($R$3,0,0,'Données projet'!$E$9+1,1))-AVERAGE(OFFSET($H$3,0,0,'Données projet'!$E$9+1,1))</f>
        <v>320.30433416149219</v>
      </c>
      <c r="T163" s="59">
        <f t="shared" si="142"/>
        <v>201.33422682092797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88.463550765738574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88.463550765738574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69.061409902958587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763.00000000000057</v>
      </c>
      <c r="AJ163" s="13">
        <f>AI163*VLOOKUP('Données projet'!$B$10,Paramètres!$A$1:$I$89,3,0)*VLOOKUP('Données projet'!$B$10,Paramètres!$A$1:$I$89,5,0)</f>
        <v>456.2740000000004</v>
      </c>
      <c r="AK163" s="13">
        <f t="shared" si="164"/>
        <v>103.09649786611838</v>
      </c>
      <c r="AL163" s="20">
        <f t="shared" si="165"/>
        <v>974.23695045015677</v>
      </c>
      <c r="AM163" s="59">
        <f t="shared" si="113"/>
        <v>1264.1287867610049</v>
      </c>
      <c r="AN163" s="59">
        <f ca="1">AVERAGE(OFFSET($AM$3,0,0,'Données projet'!$E$10+1,1))-AVERAGE(OFFSET($H$3,0,0,'Données projet'!$E$10+1,1))</f>
        <v>569.80473816957431</v>
      </c>
      <c r="AO163" s="59">
        <f t="shared" si="144"/>
        <v>495.56567790763199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21.825372481750339</v>
      </c>
      <c r="AV163" s="21">
        <f>EXP(-LN(2)/25)*AV162+(1-EXP(-LN(2)/25))/(LN(2)/25)*Calculateur!AQ163*Calculateur!AS163*VLOOKUP('Données projet'!$B$10,Paramètres!$A$1:$I$89,3,0)*0.475*44/12</f>
        <v>1.7797691676148757</v>
      </c>
      <c r="AW163" s="21">
        <f>EXP(-LN(2)/2)*AW162+(1-EXP(-LN(2)/2))/(LN(2)/2)*AQ163*AT163*VLOOKUP('Données projet'!$B$10,Paramètres!$A$1:$I$89,3,0)*0.475*44/12</f>
        <v>2.1290277998478134E-21</v>
      </c>
      <c r="AX163" s="21">
        <f t="shared" si="166"/>
        <v>23.605141649365216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69.061409902958587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-2.5006556825246661E-14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180.42749272334603</v>
      </c>
      <c r="BJ163" s="59">
        <f t="shared" si="146"/>
        <v>346.61476512497495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4.8718245997254792</v>
      </c>
      <c r="BQ163" s="21">
        <f>EXP(-LN(2)/25)*BQ162+(1-EXP(-LN(2)/25))/(LN(2)/25)*Calculateur!BL163*Calculateur!BN163*VLOOKUP('Données projet'!$B$11,Paramètres!$A$1:$I$89,3,0)*0.475*44/12</f>
        <v>0.45063013774469529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5.3224547374701743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69.061409902958587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19.8100000000004</v>
      </c>
      <c r="BZ163" s="13">
        <f>BY163*VLOOKUP('Données projet'!$B$12,Paramètres!$A$1:$I$89,3,0)*VLOOKUP('Données projet'!$B$12,Paramètres!$A$1:$I$89,5,0)</f>
        <v>17.924088000000364</v>
      </c>
      <c r="CA163" s="13">
        <f t="shared" si="170"/>
        <v>5.9032212091029486</v>
      </c>
      <c r="CB163" s="20">
        <f t="shared" si="171"/>
        <v>41.499230205854936</v>
      </c>
      <c r="CC163" s="59">
        <f t="shared" si="119"/>
        <v>331.39106651670312</v>
      </c>
      <c r="CD163" s="59">
        <f ca="1">AVERAGE(OFFSET($CC$3,0,0,'Données projet'!$E$12+1,1))-AVERAGE(OFFSET($H$3,0,0,'Données projet'!$E$12+1,1))</f>
        <v>553.16421218123958</v>
      </c>
      <c r="CE163" s="59">
        <f t="shared" si="148"/>
        <v>291.73668613844416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156.02162938895896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156.02162938895896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69.061409902958587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19.8100000000004</v>
      </c>
      <c r="CU163" s="17">
        <f>CT163*VLOOKUP('Données projet'!$B$13,Paramètres!$A$1:$I$89,3,0)*VLOOKUP('Données projet'!$B$13,Paramètres!$A$1:$I$89,5,0)</f>
        <v>20.08734000000041</v>
      </c>
      <c r="CV163" s="13">
        <f t="shared" si="173"/>
        <v>6.5285137703520215</v>
      </c>
      <c r="CW163" s="20">
        <f t="shared" si="174"/>
        <v>46.355945316697152</v>
      </c>
      <c r="CX163" s="59">
        <f t="shared" si="122"/>
        <v>336.24778162754535</v>
      </c>
      <c r="CY163" s="59">
        <f ca="1">AVERAGE(OFFSET($CX$3,0,0,'Données projet'!$E$13+1,1))-AVERAGE(OFFSET($H$3,0,0,'Données projet'!$E$13+1,1))</f>
        <v>611.82989382187804</v>
      </c>
      <c r="CZ163" s="59">
        <f t="shared" si="150"/>
        <v>320.34124600136363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174.85182603935064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174.85182603935064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69.061409902958587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19.8100000000004</v>
      </c>
      <c r="DP163" s="17">
        <f>DO163*VLOOKUP('Données projet'!$B$14,Paramètres!$A$1:$I$89,3,0)*VLOOKUP('Données projet'!$B$14,Paramètres!$A$1:$I$89,5,0)</f>
        <v>21.323484000000427</v>
      </c>
      <c r="DQ163" s="13">
        <f t="shared" si="176"/>
        <v>6.88226100850307</v>
      </c>
      <c r="DR163" s="20">
        <f t="shared" si="177"/>
        <v>49.125005889810261</v>
      </c>
      <c r="DS163" s="59">
        <f t="shared" si="125"/>
        <v>339.01684220065846</v>
      </c>
      <c r="DT163" s="59">
        <f ca="1">AVERAGE(OFFSET($DS$3,0,0,'Données projet'!$E$14+1,1))-AVERAGE(OFFSET($H$3,0,0,'Données projet'!$E$14+1,1))</f>
        <v>645.29541304800614</v>
      </c>
      <c r="DU163" s="59">
        <f t="shared" si="152"/>
        <v>336.65580771733323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185.61193841100291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185.61193841100291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69.061409902958587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319</v>
      </c>
      <c r="EK163" s="17">
        <f>EJ163*VLOOKUP('Données projet'!$B$15,Paramètres!$A$1:$I$89,3,0)*VLOOKUP('Données projet'!$B$15,Paramètres!$A$1:$I$89,5,0)</f>
        <v>233.89079999999998</v>
      </c>
      <c r="EL163" s="13">
        <f t="shared" si="179"/>
        <v>57.123140349023068</v>
      </c>
      <c r="EM163" s="20">
        <f t="shared" si="180"/>
        <v>506.84927944121517</v>
      </c>
      <c r="EN163" s="59">
        <f t="shared" si="128"/>
        <v>796.74111575206337</v>
      </c>
      <c r="EO163" s="59">
        <f ca="1">AVERAGE(OFFSET($EN$3,0,0,'Données projet'!$E$15+1,1))-AVERAGE(OFFSET($H$3,0,0,'Données projet'!$E$15+1,1))</f>
        <v>343.31122043016137</v>
      </c>
      <c r="EP163" s="59">
        <f t="shared" si="154"/>
        <v>333.61098411258877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8.1527471144661803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8.1527471144661803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69.061409902958587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319</v>
      </c>
      <c r="FF163" s="17">
        <f>FE163*VLOOKUP('Données projet'!$B$16,Paramètres!$A$1:$I$89,3,0)*VLOOKUP('Données projet'!$B$16,Paramètres!$A$1:$I$89,5,0)</f>
        <v>253.79640000000001</v>
      </c>
      <c r="FG163" s="13">
        <f t="shared" si="182"/>
        <v>61.39816832228076</v>
      </c>
      <c r="FH163" s="20">
        <f t="shared" si="183"/>
        <v>548.96387316130563</v>
      </c>
      <c r="FI163" s="59">
        <f t="shared" si="131"/>
        <v>838.85570947215388</v>
      </c>
      <c r="FJ163" s="59">
        <f ca="1">AVERAGE(OFFSET($FI$3,0,0,'Données projet'!$E$16+1,1))-AVERAGE(OFFSET($H$3,0,0,'Données projet'!$E$16+1,1))</f>
        <v>368.12945163484585</v>
      </c>
      <c r="FK163" s="59">
        <f t="shared" si="156"/>
        <v>357.27183934545121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10.903946289164805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10.903946289164805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69.061409902958587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69.061409902958587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3.0869565217391299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11.318840579710143</v>
      </c>
      <c r="H164" s="66">
        <f t="shared" si="110"/>
        <v>211.39130434782609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69.077692342769154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5.2499999999990337</v>
      </c>
      <c r="O164" s="13">
        <f>N164*VLOOKUP('Données projet'!$B$9,Paramètres!$A$1:$I$89,3,0)*VLOOKUP('Données projet'!$B$9,Paramètres!$A$1:$I$89,5,0)</f>
        <v>2.4569999999995478</v>
      </c>
      <c r="P164" s="13">
        <f t="shared" si="141"/>
        <v>1.0197977774625564</v>
      </c>
      <c r="Q164" s="20">
        <f t="shared" si="162"/>
        <v>6.0554227957464972</v>
      </c>
      <c r="R164" s="59">
        <f t="shared" si="109"/>
        <v>296.00696138590007</v>
      </c>
      <c r="S164" s="59">
        <f ca="1">AVERAGE(OFFSET($R$3,0,0,'Données projet'!$E$9+1,1))-AVERAGE(OFFSET($H$3,0,0,'Données projet'!$E$9+1,1))</f>
        <v>320.30433416149219</v>
      </c>
      <c r="T164" s="59">
        <f t="shared" si="142"/>
        <v>201.33422682092797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86.728834492660553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86.728834492660553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69.077692342769154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763.00000000000057</v>
      </c>
      <c r="AJ164" s="13">
        <f>AI164*VLOOKUP('Données projet'!$B$10,Paramètres!$A$1:$I$89,3,0)*VLOOKUP('Données projet'!$B$10,Paramètres!$A$1:$I$89,5,0)</f>
        <v>456.2740000000004</v>
      </c>
      <c r="AK164" s="13">
        <f t="shared" si="164"/>
        <v>103.09649786611838</v>
      </c>
      <c r="AL164" s="20">
        <f t="shared" si="165"/>
        <v>974.23695045015677</v>
      </c>
      <c r="AM164" s="59">
        <f t="shared" si="113"/>
        <v>1264.1884890403103</v>
      </c>
      <c r="AN164" s="59">
        <f ca="1">AVERAGE(OFFSET($AM$3,0,0,'Données projet'!$E$10+1,1))-AVERAGE(OFFSET($H$3,0,0,'Données projet'!$E$10+1,1))</f>
        <v>569.80473816957431</v>
      </c>
      <c r="AO164" s="59">
        <f t="shared" si="144"/>
        <v>495.56567790763199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21.397390239545963</v>
      </c>
      <c r="AV164" s="21">
        <f>EXP(-LN(2)/25)*AV163+(1-EXP(-LN(2)/25))/(LN(2)/25)*Calculateur!AQ164*Calculateur!AS164*VLOOKUP('Données projet'!$B$10,Paramètres!$A$1:$I$89,3,0)*0.475*44/12</f>
        <v>1.7311012861324542</v>
      </c>
      <c r="AW164" s="21">
        <f>EXP(-LN(2)/2)*AW163+(1-EXP(-LN(2)/2))/(LN(2)/2)*AQ164*AT164*VLOOKUP('Données projet'!$B$10,Paramètres!$A$1:$I$89,3,0)*0.475*44/12</f>
        <v>1.5054499946070645E-21</v>
      </c>
      <c r="AX164" s="21">
        <f t="shared" si="166"/>
        <v>23.128491525678417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69.077692342769154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-2.5006556825246661E-14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180.42749272334603</v>
      </c>
      <c r="BJ164" s="59">
        <f t="shared" si="146"/>
        <v>346.61476512497495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4.7762910908444551</v>
      </c>
      <c r="BQ164" s="21">
        <f>EXP(-LN(2)/25)*BQ163+(1-EXP(-LN(2)/25))/(LN(2)/25)*Calculateur!BL164*Calculateur!BN164*VLOOKUP('Données projet'!$B$11,Paramètres!$A$1:$I$89,3,0)*0.475*44/12</f>
        <v>0.4383076329304576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5.2145987237749125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69.077692342769154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19.8100000000004</v>
      </c>
      <c r="BZ164" s="13">
        <f>BY164*VLOOKUP('Données projet'!$B$12,Paramètres!$A$1:$I$89,3,0)*VLOOKUP('Données projet'!$B$12,Paramètres!$A$1:$I$89,5,0)</f>
        <v>17.924088000000364</v>
      </c>
      <c r="CA164" s="13">
        <f t="shared" si="170"/>
        <v>5.9032212091029486</v>
      </c>
      <c r="CB164" s="20">
        <f t="shared" si="171"/>
        <v>41.499230205854936</v>
      </c>
      <c r="CC164" s="59">
        <f t="shared" si="119"/>
        <v>331.4507687960085</v>
      </c>
      <c r="CD164" s="59">
        <f ca="1">AVERAGE(OFFSET($CC$3,0,0,'Données projet'!$E$12+1,1))-AVERAGE(OFFSET($H$3,0,0,'Données projet'!$E$12+1,1))</f>
        <v>553.16421218123958</v>
      </c>
      <c r="CE164" s="59">
        <f t="shared" si="148"/>
        <v>291.73668613844416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152.96214040043876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152.96214040043876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69.077692342769154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19.8100000000004</v>
      </c>
      <c r="CU164" s="17">
        <f>CT164*VLOOKUP('Données projet'!$B$13,Paramètres!$A$1:$I$89,3,0)*VLOOKUP('Données projet'!$B$13,Paramètres!$A$1:$I$89,5,0)</f>
        <v>20.08734000000041</v>
      </c>
      <c r="CV164" s="13">
        <f t="shared" si="173"/>
        <v>6.5285137703520215</v>
      </c>
      <c r="CW164" s="20">
        <f t="shared" si="174"/>
        <v>46.355945316697152</v>
      </c>
      <c r="CX164" s="59">
        <f t="shared" si="122"/>
        <v>336.30748390685073</v>
      </c>
      <c r="CY164" s="59">
        <f ca="1">AVERAGE(OFFSET($CX$3,0,0,'Données projet'!$E$13+1,1))-AVERAGE(OFFSET($H$3,0,0,'Données projet'!$E$13+1,1))</f>
        <v>611.82989382187804</v>
      </c>
      <c r="CZ164" s="59">
        <f t="shared" si="150"/>
        <v>320.34124600136363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171.42308837980212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171.42308837980212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69.077692342769154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19.8100000000004</v>
      </c>
      <c r="DP164" s="17">
        <f>DO164*VLOOKUP('Données projet'!$B$14,Paramètres!$A$1:$I$89,3,0)*VLOOKUP('Données projet'!$B$14,Paramètres!$A$1:$I$89,5,0)</f>
        <v>21.323484000000427</v>
      </c>
      <c r="DQ164" s="13">
        <f t="shared" si="176"/>
        <v>6.88226100850307</v>
      </c>
      <c r="DR164" s="20">
        <f t="shared" si="177"/>
        <v>49.125005889810261</v>
      </c>
      <c r="DS164" s="59">
        <f t="shared" si="125"/>
        <v>339.07654447996384</v>
      </c>
      <c r="DT164" s="59">
        <f ca="1">AVERAGE(OFFSET($DS$3,0,0,'Données projet'!$E$14+1,1))-AVERAGE(OFFSET($H$3,0,0,'Données projet'!$E$14+1,1))</f>
        <v>645.29541304800614</v>
      </c>
      <c r="DU164" s="59">
        <f t="shared" si="152"/>
        <v>336.65580771733323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181.9722015108668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181.9722015108668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69.077692342769154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319</v>
      </c>
      <c r="EK164" s="17">
        <f>EJ164*VLOOKUP('Données projet'!$B$15,Paramètres!$A$1:$I$89,3,0)*VLOOKUP('Données projet'!$B$15,Paramètres!$A$1:$I$89,5,0)</f>
        <v>233.89079999999998</v>
      </c>
      <c r="EL164" s="13">
        <f t="shared" si="179"/>
        <v>57.123140349023068</v>
      </c>
      <c r="EM164" s="20">
        <f t="shared" si="180"/>
        <v>506.84927944121517</v>
      </c>
      <c r="EN164" s="59">
        <f t="shared" si="128"/>
        <v>796.80081803136875</v>
      </c>
      <c r="EO164" s="59">
        <f ca="1">AVERAGE(OFFSET($EN$3,0,0,'Données projet'!$E$15+1,1))-AVERAGE(OFFSET($H$3,0,0,'Données projet'!$E$15+1,1))</f>
        <v>343.31122043016137</v>
      </c>
      <c r="EP164" s="59">
        <f t="shared" si="154"/>
        <v>333.61098411258877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7.9928767162362266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7.9928767162362266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69.077692342769154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319</v>
      </c>
      <c r="FF164" s="17">
        <f>FE164*VLOOKUP('Données projet'!$B$16,Paramètres!$A$1:$I$89,3,0)*VLOOKUP('Données projet'!$B$16,Paramètres!$A$1:$I$89,5,0)</f>
        <v>253.79640000000001</v>
      </c>
      <c r="FG164" s="13">
        <f t="shared" si="182"/>
        <v>61.39816832228076</v>
      </c>
      <c r="FH164" s="20">
        <f t="shared" si="183"/>
        <v>548.96387316130563</v>
      </c>
      <c r="FI164" s="59">
        <f t="shared" si="131"/>
        <v>838.91541175145926</v>
      </c>
      <c r="FJ164" s="59">
        <f ca="1">AVERAGE(OFFSET($FI$3,0,0,'Données projet'!$E$16+1,1))-AVERAGE(OFFSET($H$3,0,0,'Données projet'!$E$16+1,1))</f>
        <v>368.12945163484585</v>
      </c>
      <c r="FK164" s="59">
        <f t="shared" si="156"/>
        <v>357.27183934545121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10.690126553184813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10.690126553184813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69.077692342769154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69.077692342769154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3.0869565217391299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11.318840579710143</v>
      </c>
      <c r="H165" s="66">
        <f t="shared" si="110"/>
        <v>211.39130434782609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69.09369231865108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5.2499999999990337</v>
      </c>
      <c r="O165" s="13">
        <f>N165*VLOOKUP('Données projet'!$B$9,Paramètres!$A$1:$I$89,3,0)*VLOOKUP('Données projet'!$B$9,Paramètres!$A$1:$I$89,5,0)</f>
        <v>2.4569999999995478</v>
      </c>
      <c r="P165" s="13">
        <f t="shared" si="141"/>
        <v>1.0197977774625564</v>
      </c>
      <c r="Q165" s="20">
        <f t="shared" si="162"/>
        <v>6.0554227957464972</v>
      </c>
      <c r="R165" s="59">
        <f t="shared" si="109"/>
        <v>296.0656279641338</v>
      </c>
      <c r="S165" s="59">
        <f ca="1">AVERAGE(OFFSET($R$3,0,0,'Données projet'!$E$9+1,1))-AVERAGE(OFFSET($H$3,0,0,'Données projet'!$E$9+1,1))</f>
        <v>320.30433416149219</v>
      </c>
      <c r="T165" s="59">
        <f t="shared" si="142"/>
        <v>201.33422682092797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85.028134947625148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85.028134947625148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69.09369231865108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763.00000000000057</v>
      </c>
      <c r="AJ165" s="13">
        <f>AI165*VLOOKUP('Données projet'!$B$10,Paramètres!$A$1:$I$89,3,0)*VLOOKUP('Données projet'!$B$10,Paramètres!$A$1:$I$89,5,0)</f>
        <v>456.2740000000004</v>
      </c>
      <c r="AK165" s="13">
        <f t="shared" si="164"/>
        <v>103.09649786611838</v>
      </c>
      <c r="AL165" s="20">
        <f t="shared" si="165"/>
        <v>974.23695045015677</v>
      </c>
      <c r="AM165" s="59">
        <f t="shared" si="113"/>
        <v>1264.2471556185442</v>
      </c>
      <c r="AN165" s="59">
        <f ca="1">AVERAGE(OFFSET($AM$3,0,0,'Données projet'!$E$10+1,1))-AVERAGE(OFFSET($H$3,0,0,'Données projet'!$E$10+1,1))</f>
        <v>569.80473816957431</v>
      </c>
      <c r="AO165" s="59">
        <f t="shared" si="144"/>
        <v>495.56567790763199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20.977800468067823</v>
      </c>
      <c r="AV165" s="21">
        <f>EXP(-LN(2)/25)*AV164+(1-EXP(-LN(2)/25))/(LN(2)/25)*Calculateur!AQ165*Calculateur!AS165*VLOOKUP('Données projet'!$B$10,Paramètres!$A$1:$I$89,3,0)*0.475*44/12</f>
        <v>1.6837642304285021</v>
      </c>
      <c r="AW165" s="21">
        <f>EXP(-LN(2)/2)*AW164+(1-EXP(-LN(2)/2))/(LN(2)/2)*AQ165*AT165*VLOOKUP('Données projet'!$B$10,Paramètres!$A$1:$I$89,3,0)*0.475*44/12</f>
        <v>1.0645138999239067E-21</v>
      </c>
      <c r="AX165" s="21">
        <f t="shared" si="166"/>
        <v>22.661564698496324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69.09369231865108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-2.5006556825246661E-14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180.42749272334603</v>
      </c>
      <c r="BJ165" s="59">
        <f t="shared" si="146"/>
        <v>346.61476512497495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4.6826309358029015</v>
      </c>
      <c r="BQ165" s="21">
        <f>EXP(-LN(2)/25)*BQ164+(1-EXP(-LN(2)/25))/(LN(2)/25)*Calculateur!BL165*Calculateur!BN165*VLOOKUP('Données projet'!$B$11,Paramètres!$A$1:$I$89,3,0)*0.475*44/12</f>
        <v>0.42632208765837759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5.1089530234612788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69.09369231865108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19.8100000000004</v>
      </c>
      <c r="BZ165" s="13">
        <f>BY165*VLOOKUP('Données projet'!$B$12,Paramètres!$A$1:$I$89,3,0)*VLOOKUP('Données projet'!$B$12,Paramètres!$A$1:$I$89,5,0)</f>
        <v>17.924088000000364</v>
      </c>
      <c r="CA165" s="13">
        <f t="shared" si="170"/>
        <v>5.9032212091029486</v>
      </c>
      <c r="CB165" s="20">
        <f t="shared" si="171"/>
        <v>41.499230205854936</v>
      </c>
      <c r="CC165" s="59">
        <f t="shared" si="119"/>
        <v>331.50943537424223</v>
      </c>
      <c r="CD165" s="59">
        <f ca="1">AVERAGE(OFFSET($CC$3,0,0,'Données projet'!$E$12+1,1))-AVERAGE(OFFSET($H$3,0,0,'Données projet'!$E$12+1,1))</f>
        <v>553.16421218123958</v>
      </c>
      <c r="CE165" s="59">
        <f t="shared" si="148"/>
        <v>291.73668613844416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149.96264612487943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149.96264612487943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69.09369231865108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19.8100000000004</v>
      </c>
      <c r="CU165" s="17">
        <f>CT165*VLOOKUP('Données projet'!$B$13,Paramètres!$A$1:$I$89,3,0)*VLOOKUP('Données projet'!$B$13,Paramètres!$A$1:$I$89,5,0)</f>
        <v>20.08734000000041</v>
      </c>
      <c r="CV165" s="13">
        <f t="shared" si="173"/>
        <v>6.5285137703520215</v>
      </c>
      <c r="CW165" s="20">
        <f t="shared" si="174"/>
        <v>46.355945316697152</v>
      </c>
      <c r="CX165" s="59">
        <f t="shared" si="122"/>
        <v>336.36615048508446</v>
      </c>
      <c r="CY165" s="59">
        <f ca="1">AVERAGE(OFFSET($CX$3,0,0,'Données projet'!$E$13+1,1))-AVERAGE(OFFSET($H$3,0,0,'Données projet'!$E$13+1,1))</f>
        <v>611.82989382187804</v>
      </c>
      <c r="CZ165" s="59">
        <f t="shared" si="150"/>
        <v>320.34124600136363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168.0615861744339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168.0615861744339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69.09369231865108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19.8100000000004</v>
      </c>
      <c r="DP165" s="17">
        <f>DO165*VLOOKUP('Données projet'!$B$14,Paramètres!$A$1:$I$89,3,0)*VLOOKUP('Données projet'!$B$14,Paramètres!$A$1:$I$89,5,0)</f>
        <v>21.323484000000427</v>
      </c>
      <c r="DQ165" s="13">
        <f t="shared" si="176"/>
        <v>6.88226100850307</v>
      </c>
      <c r="DR165" s="20">
        <f t="shared" si="177"/>
        <v>49.125005889810261</v>
      </c>
      <c r="DS165" s="59">
        <f t="shared" si="125"/>
        <v>339.13521105819757</v>
      </c>
      <c r="DT165" s="59">
        <f ca="1">AVERAGE(OFFSET($DS$3,0,0,'Données projet'!$E$14+1,1))-AVERAGE(OFFSET($H$3,0,0,'Données projet'!$E$14+1,1))</f>
        <v>645.29541304800614</v>
      </c>
      <c r="DU165" s="59">
        <f t="shared" si="152"/>
        <v>336.65580771733323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178.40383763132206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178.40383763132206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69.09369231865108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319</v>
      </c>
      <c r="EK165" s="17">
        <f>EJ165*VLOOKUP('Données projet'!$B$15,Paramètres!$A$1:$I$89,3,0)*VLOOKUP('Données projet'!$B$15,Paramètres!$A$1:$I$89,5,0)</f>
        <v>233.89079999999998</v>
      </c>
      <c r="EL165" s="13">
        <f t="shared" si="179"/>
        <v>57.123140349023068</v>
      </c>
      <c r="EM165" s="20">
        <f t="shared" si="180"/>
        <v>506.84927944121517</v>
      </c>
      <c r="EN165" s="59">
        <f t="shared" si="128"/>
        <v>796.85948460960253</v>
      </c>
      <c r="EO165" s="59">
        <f ca="1">AVERAGE(OFFSET($EN$3,0,0,'Données projet'!$E$15+1,1))-AVERAGE(OFFSET($H$3,0,0,'Données projet'!$E$15+1,1))</f>
        <v>343.31122043016137</v>
      </c>
      <c r="EP165" s="59">
        <f t="shared" si="154"/>
        <v>333.61098411258877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7.8361412790042477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7.8361412790042477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69.09369231865108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319</v>
      </c>
      <c r="FF165" s="17">
        <f>FE165*VLOOKUP('Données projet'!$B$16,Paramètres!$A$1:$I$89,3,0)*VLOOKUP('Données projet'!$B$16,Paramètres!$A$1:$I$89,5,0)</f>
        <v>253.79640000000001</v>
      </c>
      <c r="FG165" s="13">
        <f t="shared" si="182"/>
        <v>61.39816832228076</v>
      </c>
      <c r="FH165" s="20">
        <f t="shared" si="183"/>
        <v>548.96387316130563</v>
      </c>
      <c r="FI165" s="59">
        <f t="shared" si="131"/>
        <v>838.97407832969293</v>
      </c>
      <c r="FJ165" s="59">
        <f ca="1">AVERAGE(OFFSET($FI$3,0,0,'Données projet'!$E$16+1,1))-AVERAGE(OFFSET($H$3,0,0,'Données projet'!$E$16+1,1))</f>
        <v>368.12945163484585</v>
      </c>
      <c r="FK165" s="59">
        <f t="shared" si="156"/>
        <v>357.27183934545121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10.480499691810227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10.480499691810227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69.09369231865108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69.09369231865108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3.0869565217391299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11.318840579710143</v>
      </c>
      <c r="H166" s="66">
        <f t="shared" si="110"/>
        <v>211.39130434782609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69.109414730722065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5.2499999999990337</v>
      </c>
      <c r="O166" s="13">
        <f>N166*VLOOKUP('Données projet'!$B$9,Paramètres!$A$1:$I$89,3,0)*VLOOKUP('Données projet'!$B$9,Paramètres!$A$1:$I$89,5,0)</f>
        <v>2.4569999999995478</v>
      </c>
      <c r="P166" s="13">
        <f t="shared" si="141"/>
        <v>1.0197977774625564</v>
      </c>
      <c r="Q166" s="20">
        <f t="shared" si="162"/>
        <v>6.0554227957464972</v>
      </c>
      <c r="R166" s="59">
        <f t="shared" si="109"/>
        <v>296.12327680839405</v>
      </c>
      <c r="S166" s="59">
        <f ca="1">AVERAGE(OFFSET($R$3,0,0,'Données projet'!$E$9+1,1))-AVERAGE(OFFSET($H$3,0,0,'Données projet'!$E$9+1,1))</f>
        <v>320.30433416149219</v>
      </c>
      <c r="T166" s="59">
        <f t="shared" si="142"/>
        <v>201.33422682092797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83.360785083343586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83.360785083343586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69.109414730722065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763.00000000000057</v>
      </c>
      <c r="AJ166" s="13">
        <f>AI166*VLOOKUP('Données projet'!$B$10,Paramètres!$A$1:$I$89,3,0)*VLOOKUP('Données projet'!$B$10,Paramètres!$A$1:$I$89,5,0)</f>
        <v>456.2740000000004</v>
      </c>
      <c r="AK166" s="13">
        <f t="shared" si="164"/>
        <v>103.09649786611838</v>
      </c>
      <c r="AL166" s="20">
        <f t="shared" si="165"/>
        <v>974.23695045015677</v>
      </c>
      <c r="AM166" s="59">
        <f t="shared" si="113"/>
        <v>1264.3048044628044</v>
      </c>
      <c r="AN166" s="59">
        <f ca="1">AVERAGE(OFFSET($AM$3,0,0,'Données projet'!$E$10+1,1))-AVERAGE(OFFSET($H$3,0,0,'Données projet'!$E$10+1,1))</f>
        <v>569.80473816957431</v>
      </c>
      <c r="AO166" s="59">
        <f t="shared" si="144"/>
        <v>495.56567790763199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20.566438596083877</v>
      </c>
      <c r="AV166" s="21">
        <f>EXP(-LN(2)/25)*AV165+(1-EXP(-LN(2)/25))/(LN(2)/25)*Calculateur!AQ166*Calculateur!AS166*VLOOKUP('Données projet'!$B$10,Paramètres!$A$1:$I$89,3,0)*0.475*44/12</f>
        <v>1.637721609002122</v>
      </c>
      <c r="AW166" s="21">
        <f>EXP(-LN(2)/2)*AW165+(1-EXP(-LN(2)/2))/(LN(2)/2)*AQ166*AT166*VLOOKUP('Données projet'!$B$10,Paramètres!$A$1:$I$89,3,0)*0.475*44/12</f>
        <v>7.5272499730353225E-22</v>
      </c>
      <c r="AX166" s="21">
        <f t="shared" si="166"/>
        <v>22.204160205085998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69.109414730722065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-2.5006556825246661E-14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180.42749272334603</v>
      </c>
      <c r="BJ166" s="59">
        <f t="shared" si="146"/>
        <v>346.61476512497495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4.5908073992746585</v>
      </c>
      <c r="BQ166" s="21">
        <f>EXP(-LN(2)/25)*BQ165+(1-EXP(-LN(2)/25))/(LN(2)/25)*Calculateur!BL166*Calculateur!BN166*VLOOKUP('Données projet'!$B$11,Paramètres!$A$1:$I$89,3,0)*0.475*44/12</f>
        <v>0.41466428775205505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5.0054716870267137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69.109414730722065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19.8100000000004</v>
      </c>
      <c r="BZ166" s="13">
        <f>BY166*VLOOKUP('Données projet'!$B$12,Paramètres!$A$1:$I$89,3,0)*VLOOKUP('Données projet'!$B$12,Paramètres!$A$1:$I$89,5,0)</f>
        <v>17.924088000000364</v>
      </c>
      <c r="CA166" s="13">
        <f t="shared" si="170"/>
        <v>5.9032212091029486</v>
      </c>
      <c r="CB166" s="20">
        <f t="shared" si="171"/>
        <v>41.499230205854936</v>
      </c>
      <c r="CC166" s="59">
        <f t="shared" si="119"/>
        <v>331.56708421850249</v>
      </c>
      <c r="CD166" s="59">
        <f ca="1">AVERAGE(OFFSET($CC$3,0,0,'Données projet'!$E$12+1,1))-AVERAGE(OFFSET($H$3,0,0,'Données projet'!$E$12+1,1))</f>
        <v>553.16421218123958</v>
      </c>
      <c r="CE166" s="59">
        <f t="shared" si="148"/>
        <v>291.73668613844416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147.02197010255296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147.02197010255296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69.109414730722065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19.8100000000004</v>
      </c>
      <c r="CU166" s="17">
        <f>CT166*VLOOKUP('Données projet'!$B$13,Paramètres!$A$1:$I$89,3,0)*VLOOKUP('Données projet'!$B$13,Paramètres!$A$1:$I$89,5,0)</f>
        <v>20.08734000000041</v>
      </c>
      <c r="CV166" s="13">
        <f t="shared" si="173"/>
        <v>6.5285137703520215</v>
      </c>
      <c r="CW166" s="20">
        <f t="shared" si="174"/>
        <v>46.355945316697152</v>
      </c>
      <c r="CX166" s="59">
        <f t="shared" si="122"/>
        <v>336.42379932934472</v>
      </c>
      <c r="CY166" s="59">
        <f ca="1">AVERAGE(OFFSET($CX$3,0,0,'Données projet'!$E$13+1,1))-AVERAGE(OFFSET($H$3,0,0,'Données projet'!$E$13+1,1))</f>
        <v>611.82989382187804</v>
      </c>
      <c r="CZ166" s="59">
        <f t="shared" si="150"/>
        <v>320.34124600136363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164.76600097699904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164.76600097699904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69.109414730722065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19.8100000000004</v>
      </c>
      <c r="DP166" s="17">
        <f>DO166*VLOOKUP('Données projet'!$B$14,Paramètres!$A$1:$I$89,3,0)*VLOOKUP('Données projet'!$B$14,Paramètres!$A$1:$I$89,5,0)</f>
        <v>21.323484000000427</v>
      </c>
      <c r="DQ166" s="13">
        <f t="shared" si="176"/>
        <v>6.88226100850307</v>
      </c>
      <c r="DR166" s="20">
        <f t="shared" si="177"/>
        <v>49.125005889810261</v>
      </c>
      <c r="DS166" s="59">
        <f t="shared" si="125"/>
        <v>339.19285990245783</v>
      </c>
      <c r="DT166" s="59">
        <f ca="1">AVERAGE(OFFSET($DS$3,0,0,'Données projet'!$E$14+1,1))-AVERAGE(OFFSET($H$3,0,0,'Données projet'!$E$14+1,1))</f>
        <v>645.29541304800614</v>
      </c>
      <c r="DU166" s="59">
        <f t="shared" si="152"/>
        <v>336.65580771733323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174.90544719096815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174.90544719096815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69.109414730722065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319</v>
      </c>
      <c r="EK166" s="17">
        <f>EJ166*VLOOKUP('Données projet'!$B$15,Paramètres!$A$1:$I$89,3,0)*VLOOKUP('Données projet'!$B$15,Paramètres!$A$1:$I$89,5,0)</f>
        <v>233.89079999999998</v>
      </c>
      <c r="EL166" s="13">
        <f t="shared" si="179"/>
        <v>57.123140349023068</v>
      </c>
      <c r="EM166" s="20">
        <f t="shared" si="180"/>
        <v>506.84927944121517</v>
      </c>
      <c r="EN166" s="59">
        <f t="shared" si="128"/>
        <v>796.91713345386279</v>
      </c>
      <c r="EO166" s="59">
        <f ca="1">AVERAGE(OFFSET($EN$3,0,0,'Données projet'!$E$15+1,1))-AVERAGE(OFFSET($H$3,0,0,'Données projet'!$E$15+1,1))</f>
        <v>343.31122043016137</v>
      </c>
      <c r="EP166" s="59">
        <f t="shared" si="154"/>
        <v>333.61098411258877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7.6824793280972106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7.6824793280972106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69.109414730722065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319</v>
      </c>
      <c r="FF166" s="17">
        <f>FE166*VLOOKUP('Données projet'!$B$16,Paramètres!$A$1:$I$89,3,0)*VLOOKUP('Données projet'!$B$16,Paramètres!$A$1:$I$89,5,0)</f>
        <v>253.79640000000001</v>
      </c>
      <c r="FG166" s="13">
        <f t="shared" si="182"/>
        <v>61.39816832228076</v>
      </c>
      <c r="FH166" s="20">
        <f t="shared" si="183"/>
        <v>548.96387316130563</v>
      </c>
      <c r="FI166" s="59">
        <f t="shared" si="131"/>
        <v>839.03172717395319</v>
      </c>
      <c r="FJ166" s="59">
        <f ca="1">AVERAGE(OFFSET($FI$3,0,0,'Données projet'!$E$16+1,1))-AVERAGE(OFFSET($H$3,0,0,'Données projet'!$E$16+1,1))</f>
        <v>368.12945163484585</v>
      </c>
      <c r="FK166" s="59">
        <f t="shared" si="156"/>
        <v>357.27183934545121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10.274983485327436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10.274983485327436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69.109414730722065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69.109414730722065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3.0869565217391299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11.318840579710143</v>
      </c>
      <c r="H167" s="66">
        <f t="shared" si="110"/>
        <v>211.39130434782609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69.124864394093663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5.2499999999990337</v>
      </c>
      <c r="O167" s="13">
        <f>N167*VLOOKUP('Données projet'!$B$9,Paramètres!$A$1:$I$89,3,0)*VLOOKUP('Données projet'!$B$9,Paramètres!$A$1:$I$89,5,0)</f>
        <v>2.4569999999995478</v>
      </c>
      <c r="P167" s="13">
        <f t="shared" si="141"/>
        <v>1.0197977774625564</v>
      </c>
      <c r="Q167" s="20">
        <f t="shared" si="162"/>
        <v>6.0554227957464972</v>
      </c>
      <c r="R167" s="59">
        <f t="shared" si="109"/>
        <v>296.17992557408991</v>
      </c>
      <c r="S167" s="59">
        <f ca="1">AVERAGE(OFFSET($R$3,0,0,'Données projet'!$E$9+1,1))-AVERAGE(OFFSET($H$3,0,0,'Données projet'!$E$9+1,1))</f>
        <v>320.30433416149219</v>
      </c>
      <c r="T167" s="59">
        <f t="shared" si="142"/>
        <v>201.33422682092797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81.726130932917584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81.726130932917584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69.124864394093663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763.00000000000057</v>
      </c>
      <c r="AJ167" s="13">
        <f>AI167*VLOOKUP('Données projet'!$B$10,Paramètres!$A$1:$I$89,3,0)*VLOOKUP('Données projet'!$B$10,Paramètres!$A$1:$I$89,5,0)</f>
        <v>456.2740000000004</v>
      </c>
      <c r="AK167" s="13">
        <f t="shared" si="164"/>
        <v>103.09649786611838</v>
      </c>
      <c r="AL167" s="20">
        <f t="shared" si="165"/>
        <v>974.23695045015677</v>
      </c>
      <c r="AM167" s="59">
        <f t="shared" si="113"/>
        <v>1264.3614532285001</v>
      </c>
      <c r="AN167" s="59">
        <f ca="1">AVERAGE(OFFSET($AM$3,0,0,'Données projet'!$E$10+1,1))-AVERAGE(OFFSET($H$3,0,0,'Données projet'!$E$10+1,1))</f>
        <v>569.80473816957431</v>
      </c>
      <c r="AO167" s="59">
        <f t="shared" si="144"/>
        <v>495.56567790763199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20.163143279503569</v>
      </c>
      <c r="AV167" s="21">
        <f>EXP(-LN(2)/25)*AV166+(1-EXP(-LN(2)/25))/(LN(2)/25)*Calculateur!AQ167*Calculateur!AS167*VLOOKUP('Données projet'!$B$10,Paramètres!$A$1:$I$89,3,0)*0.475*44/12</f>
        <v>1.5929380254799226</v>
      </c>
      <c r="AW167" s="21">
        <f>EXP(-LN(2)/2)*AW166+(1-EXP(-LN(2)/2))/(LN(2)/2)*AQ167*AT167*VLOOKUP('Données projet'!$B$10,Paramètres!$A$1:$I$89,3,0)*0.475*44/12</f>
        <v>5.3225694996195335E-22</v>
      </c>
      <c r="AX167" s="21">
        <f t="shared" si="166"/>
        <v>21.756081304983493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69.124864394093663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-2.5006556825246661E-14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180.42749272334603</v>
      </c>
      <c r="BJ167" s="59">
        <f t="shared" si="146"/>
        <v>346.61476512497495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4.5007844662909076</v>
      </c>
      <c r="BQ167" s="21">
        <f>EXP(-LN(2)/25)*BQ166+(1-EXP(-LN(2)/25))/(LN(2)/25)*Calculateur!BL167*Calculateur!BN167*VLOOKUP('Données projet'!$B$11,Paramètres!$A$1:$I$89,3,0)*0.475*44/12</f>
        <v>0.40332527099722792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4.9041097372881355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69.124864394093663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19.8100000000004</v>
      </c>
      <c r="BZ167" s="13">
        <f>BY167*VLOOKUP('Données projet'!$B$12,Paramètres!$A$1:$I$89,3,0)*VLOOKUP('Données projet'!$B$12,Paramètres!$A$1:$I$89,5,0)</f>
        <v>17.924088000000364</v>
      </c>
      <c r="CA167" s="13">
        <f t="shared" si="170"/>
        <v>5.9032212091029486</v>
      </c>
      <c r="CB167" s="20">
        <f t="shared" si="171"/>
        <v>41.499230205854936</v>
      </c>
      <c r="CC167" s="59">
        <f t="shared" si="119"/>
        <v>331.62373298419834</v>
      </c>
      <c r="CD167" s="59">
        <f ca="1">AVERAGE(OFFSET($CC$3,0,0,'Données projet'!$E$12+1,1))-AVERAGE(OFFSET($H$3,0,0,'Données projet'!$E$12+1,1))</f>
        <v>553.16421218123958</v>
      </c>
      <c r="CE167" s="59">
        <f t="shared" si="148"/>
        <v>291.73668613844416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144.13895894338904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144.13895894338904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69.124864394093663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19.8100000000004</v>
      </c>
      <c r="CU167" s="17">
        <f>CT167*VLOOKUP('Données projet'!$B$13,Paramètres!$A$1:$I$89,3,0)*VLOOKUP('Données projet'!$B$13,Paramètres!$A$1:$I$89,5,0)</f>
        <v>20.08734000000041</v>
      </c>
      <c r="CV167" s="13">
        <f t="shared" si="173"/>
        <v>6.5285137703520215</v>
      </c>
      <c r="CW167" s="20">
        <f t="shared" si="174"/>
        <v>46.355945316697152</v>
      </c>
      <c r="CX167" s="59">
        <f t="shared" si="122"/>
        <v>336.48044809504057</v>
      </c>
      <c r="CY167" s="59">
        <f ca="1">AVERAGE(OFFSET($CX$3,0,0,'Données projet'!$E$13+1,1))-AVERAGE(OFFSET($H$3,0,0,'Données projet'!$E$13+1,1))</f>
        <v>611.82989382187804</v>
      </c>
      <c r="CZ167" s="59">
        <f t="shared" si="150"/>
        <v>320.34124600136363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161.5350401951774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161.5350401951774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69.124864394093663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19.8100000000004</v>
      </c>
      <c r="DP167" s="17">
        <f>DO167*VLOOKUP('Données projet'!$B$14,Paramètres!$A$1:$I$89,3,0)*VLOOKUP('Données projet'!$B$14,Paramètres!$A$1:$I$89,5,0)</f>
        <v>21.323484000000427</v>
      </c>
      <c r="DQ167" s="13">
        <f t="shared" si="176"/>
        <v>6.88226100850307</v>
      </c>
      <c r="DR167" s="20">
        <f t="shared" si="177"/>
        <v>49.125005889810261</v>
      </c>
      <c r="DS167" s="59">
        <f t="shared" si="125"/>
        <v>339.24950866815368</v>
      </c>
      <c r="DT167" s="59">
        <f ca="1">AVERAGE(OFFSET($DS$3,0,0,'Données projet'!$E$14+1,1))-AVERAGE(OFFSET($H$3,0,0,'Données projet'!$E$14+1,1))</f>
        <v>645.29541304800614</v>
      </c>
      <c r="DU167" s="59">
        <f t="shared" si="152"/>
        <v>336.65580771733323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171.4756580533421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171.4756580533421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69.124864394093663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319</v>
      </c>
      <c r="EK167" s="17">
        <f>EJ167*VLOOKUP('Données projet'!$B$15,Paramètres!$A$1:$I$89,3,0)*VLOOKUP('Données projet'!$B$15,Paramètres!$A$1:$I$89,5,0)</f>
        <v>233.89079999999998</v>
      </c>
      <c r="EL167" s="13">
        <f t="shared" si="179"/>
        <v>57.123140349023068</v>
      </c>
      <c r="EM167" s="20">
        <f t="shared" si="180"/>
        <v>506.84927944121517</v>
      </c>
      <c r="EN167" s="59">
        <f t="shared" si="128"/>
        <v>796.97378221955864</v>
      </c>
      <c r="EO167" s="59">
        <f ca="1">AVERAGE(OFFSET($EN$3,0,0,'Données projet'!$E$15+1,1))-AVERAGE(OFFSET($H$3,0,0,'Données projet'!$E$15+1,1))</f>
        <v>343.31122043016137</v>
      </c>
      <c r="EP167" s="59">
        <f t="shared" si="154"/>
        <v>333.61098411258877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7.5318305943229253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7.5318305943229253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69.124864394093663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319</v>
      </c>
      <c r="FF167" s="17">
        <f>FE167*VLOOKUP('Données projet'!$B$16,Paramètres!$A$1:$I$89,3,0)*VLOOKUP('Données projet'!$B$16,Paramètres!$A$1:$I$89,5,0)</f>
        <v>253.79640000000001</v>
      </c>
      <c r="FG167" s="13">
        <f t="shared" si="182"/>
        <v>61.39816832228076</v>
      </c>
      <c r="FH167" s="20">
        <f t="shared" si="183"/>
        <v>548.96387316130563</v>
      </c>
      <c r="FI167" s="59">
        <f t="shared" si="131"/>
        <v>839.08837593964904</v>
      </c>
      <c r="FJ167" s="59">
        <f ca="1">AVERAGE(OFFSET($FI$3,0,0,'Données projet'!$E$16+1,1))-AVERAGE(OFFSET($H$3,0,0,'Données projet'!$E$16+1,1))</f>
        <v>368.12945163484585</v>
      </c>
      <c r="FK167" s="59">
        <f t="shared" si="156"/>
        <v>357.27183934545121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10.073497326301265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10.073497326301265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69.124864394093663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69.124864394093663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3.0869565217391299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11.318840579710143</v>
      </c>
      <c r="H168" s="66">
        <f t="shared" si="110"/>
        <v>211.39130434782609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69.140046040346022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5.2499999999990337</v>
      </c>
      <c r="O168" s="13">
        <f>N168*VLOOKUP('Données projet'!$B$9,Paramètres!$A$1:$I$89,3,0)*VLOOKUP('Données projet'!$B$9,Paramètres!$A$1:$I$89,5,0)</f>
        <v>2.4569999999995478</v>
      </c>
      <c r="P168" s="13">
        <f t="shared" si="141"/>
        <v>1.0197977774625564</v>
      </c>
      <c r="Q168" s="20">
        <f t="shared" si="162"/>
        <v>6.0554227957464972</v>
      </c>
      <c r="R168" s="59">
        <f t="shared" si="109"/>
        <v>296.23559161034854</v>
      </c>
      <c r="S168" s="59">
        <f ca="1">AVERAGE(OFFSET($R$3,0,0,'Données projet'!$E$9+1,1))-AVERAGE(OFFSET($H$3,0,0,'Données projet'!$E$9+1,1))</f>
        <v>320.30433416149219</v>
      </c>
      <c r="T168" s="59">
        <f t="shared" si="142"/>
        <v>201.33422682092797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80.123531353340852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80.123531353340852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69.140046040346022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763.00000000000057</v>
      </c>
      <c r="AJ168" s="13">
        <f>AI168*VLOOKUP('Données projet'!$B$10,Paramètres!$A$1:$I$89,3,0)*VLOOKUP('Données projet'!$B$10,Paramètres!$A$1:$I$89,5,0)</f>
        <v>456.2740000000004</v>
      </c>
      <c r="AK168" s="13">
        <f t="shared" si="164"/>
        <v>103.09649786611838</v>
      </c>
      <c r="AL168" s="20">
        <f t="shared" si="165"/>
        <v>974.23695045015677</v>
      </c>
      <c r="AM168" s="59">
        <f t="shared" si="113"/>
        <v>1264.4171192647589</v>
      </c>
      <c r="AN168" s="59">
        <f ca="1">AVERAGE(OFFSET($AM$3,0,0,'Données projet'!$E$10+1,1))-AVERAGE(OFFSET($H$3,0,0,'Données projet'!$E$10+1,1))</f>
        <v>569.80473816957431</v>
      </c>
      <c r="AO168" s="59">
        <f t="shared" si="144"/>
        <v>495.56567790763199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19.767756338095548</v>
      </c>
      <c r="AV168" s="21">
        <f>EXP(-LN(2)/25)*AV167+(1-EXP(-LN(2)/25))/(LN(2)/25)*Calculateur!AQ168*Calculateur!AS168*VLOOKUP('Données projet'!$B$10,Paramètres!$A$1:$I$89,3,0)*0.475*44/12</f>
        <v>1.5493790514042041</v>
      </c>
      <c r="AW168" s="21">
        <f>EXP(-LN(2)/2)*AW167+(1-EXP(-LN(2)/2))/(LN(2)/2)*AQ168*AT168*VLOOKUP('Données projet'!$B$10,Paramètres!$A$1:$I$89,3,0)*0.475*44/12</f>
        <v>3.7636249865176612E-22</v>
      </c>
      <c r="AX168" s="21">
        <f t="shared" si="166"/>
        <v>21.317135389499754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69.140046040346022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-2.5006556825246661E-14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180.42749272334603</v>
      </c>
      <c r="BJ168" s="59">
        <f t="shared" si="146"/>
        <v>346.61476512497495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4.4125268281144008</v>
      </c>
      <c r="BQ168" s="21">
        <f>EXP(-LN(2)/25)*BQ167+(1-EXP(-LN(2)/25))/(LN(2)/25)*Calculateur!BL168*Calculateur!BN168*VLOOKUP('Données projet'!$B$11,Paramètres!$A$1:$I$89,3,0)*0.475*44/12</f>
        <v>0.39229632025185451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4.8048231483662551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69.140046040346022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19.8100000000004</v>
      </c>
      <c r="BZ168" s="13">
        <f>BY168*VLOOKUP('Données projet'!$B$12,Paramètres!$A$1:$I$89,3,0)*VLOOKUP('Données projet'!$B$12,Paramètres!$A$1:$I$89,5,0)</f>
        <v>17.924088000000364</v>
      </c>
      <c r="CA168" s="13">
        <f t="shared" si="170"/>
        <v>5.9032212091029486</v>
      </c>
      <c r="CB168" s="20">
        <f t="shared" si="171"/>
        <v>41.499230205854936</v>
      </c>
      <c r="CC168" s="59">
        <f t="shared" si="119"/>
        <v>331.67939902045697</v>
      </c>
      <c r="CD168" s="59">
        <f ca="1">AVERAGE(OFFSET($CC$3,0,0,'Données projet'!$E$12+1,1))-AVERAGE(OFFSET($H$3,0,0,'Données projet'!$E$12+1,1))</f>
        <v>553.16421218123958</v>
      </c>
      <c r="CE168" s="59">
        <f t="shared" si="148"/>
        <v>291.73668613844416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141.31248187459315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141.31248187459315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69.140046040346022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19.8100000000004</v>
      </c>
      <c r="CU168" s="17">
        <f>CT168*VLOOKUP('Données projet'!$B$13,Paramètres!$A$1:$I$89,3,0)*VLOOKUP('Données projet'!$B$13,Paramètres!$A$1:$I$89,5,0)</f>
        <v>20.08734000000041</v>
      </c>
      <c r="CV168" s="13">
        <f t="shared" si="173"/>
        <v>6.5285137703520215</v>
      </c>
      <c r="CW168" s="20">
        <f t="shared" si="174"/>
        <v>46.355945316697152</v>
      </c>
      <c r="CX168" s="59">
        <f t="shared" si="122"/>
        <v>336.5361141312992</v>
      </c>
      <c r="CY168" s="59">
        <f ca="1">AVERAGE(OFFSET($CX$3,0,0,'Données projet'!$E$13+1,1))-AVERAGE(OFFSET($H$3,0,0,'Données projet'!$E$13+1,1))</f>
        <v>611.82989382187804</v>
      </c>
      <c r="CZ168" s="59">
        <f t="shared" si="150"/>
        <v>320.34124600136363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158.3674365835958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158.3674365835958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69.140046040346022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19.8100000000004</v>
      </c>
      <c r="DP168" s="17">
        <f>DO168*VLOOKUP('Données projet'!$B$14,Paramètres!$A$1:$I$89,3,0)*VLOOKUP('Données projet'!$B$14,Paramètres!$A$1:$I$89,5,0)</f>
        <v>21.323484000000427</v>
      </c>
      <c r="DQ168" s="13">
        <f t="shared" si="176"/>
        <v>6.88226100850307</v>
      </c>
      <c r="DR168" s="20">
        <f t="shared" si="177"/>
        <v>49.125005889810261</v>
      </c>
      <c r="DS168" s="59">
        <f t="shared" si="125"/>
        <v>339.30517470441231</v>
      </c>
      <c r="DT168" s="59">
        <f ca="1">AVERAGE(OFFSET($DS$3,0,0,'Données projet'!$E$14+1,1))-AVERAGE(OFFSET($H$3,0,0,'Données projet'!$E$14+1,1))</f>
        <v>645.29541304800614</v>
      </c>
      <c r="DU168" s="59">
        <f t="shared" si="152"/>
        <v>336.65580771733323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168.11312498874008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168.11312498874008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69.140046040346022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319</v>
      </c>
      <c r="EK168" s="17">
        <f>EJ168*VLOOKUP('Données projet'!$B$15,Paramètres!$A$1:$I$89,3,0)*VLOOKUP('Données projet'!$B$15,Paramètres!$A$1:$I$89,5,0)</f>
        <v>233.89079999999998</v>
      </c>
      <c r="EL168" s="13">
        <f t="shared" si="179"/>
        <v>57.123140349023068</v>
      </c>
      <c r="EM168" s="20">
        <f t="shared" si="180"/>
        <v>506.84927944121517</v>
      </c>
      <c r="EN168" s="59">
        <f t="shared" si="128"/>
        <v>797.02944825581721</v>
      </c>
      <c r="EO168" s="59">
        <f ca="1">AVERAGE(OFFSET($EN$3,0,0,'Données projet'!$E$15+1,1))-AVERAGE(OFFSET($H$3,0,0,'Données projet'!$E$15+1,1))</f>
        <v>343.31122043016137</v>
      </c>
      <c r="EP168" s="59">
        <f t="shared" si="154"/>
        <v>333.61098411258877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7.3841359903312993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7.3841359903312993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69.140046040346022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319</v>
      </c>
      <c r="FF168" s="17">
        <f>FE168*VLOOKUP('Données projet'!$B$16,Paramètres!$A$1:$I$89,3,0)*VLOOKUP('Données projet'!$B$16,Paramètres!$A$1:$I$89,5,0)</f>
        <v>253.79640000000001</v>
      </c>
      <c r="FG168" s="13">
        <f t="shared" si="182"/>
        <v>61.39816832228076</v>
      </c>
      <c r="FH168" s="20">
        <f t="shared" si="183"/>
        <v>548.96387316130563</v>
      </c>
      <c r="FI168" s="59">
        <f t="shared" si="131"/>
        <v>839.14404197590761</v>
      </c>
      <c r="FJ168" s="59">
        <f ca="1">AVERAGE(OFFSET($FI$3,0,0,'Données projet'!$E$16+1,1))-AVERAGE(OFFSET($H$3,0,0,'Données projet'!$E$16+1,1))</f>
        <v>368.12945163484585</v>
      </c>
      <c r="FK168" s="59">
        <f t="shared" si="156"/>
        <v>357.27183934545121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9.8759621879591748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9.8759621879591748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69.140046040346022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69.140046040346022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3.0869565217391299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11.318840579710143</v>
      </c>
      <c r="H169" s="66">
        <f t="shared" si="110"/>
        <v>211.39130434782609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69.154964318976994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5.2499999999990337</v>
      </c>
      <c r="O169" s="13">
        <f>N169*VLOOKUP('Données projet'!$B$9,Paramètres!$A$1:$I$89,3,0)*VLOOKUP('Données projet'!$B$9,Paramètres!$A$1:$I$89,5,0)</f>
        <v>2.4569999999995478</v>
      </c>
      <c r="P169" s="13">
        <f t="shared" si="141"/>
        <v>1.0197977774625564</v>
      </c>
      <c r="Q169" s="20">
        <f t="shared" si="162"/>
        <v>6.0554227957464972</v>
      </c>
      <c r="R169" s="59">
        <f t="shared" si="109"/>
        <v>296.29029196532878</v>
      </c>
      <c r="S169" s="59">
        <f ca="1">AVERAGE(OFFSET($R$3,0,0,'Données projet'!$E$9+1,1))-AVERAGE(OFFSET($H$3,0,0,'Données projet'!$E$9+1,1))</f>
        <v>320.30433416149219</v>
      </c>
      <c r="T169" s="59">
        <f t="shared" si="142"/>
        <v>201.33422682092797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78.552357774030398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78.552357774030398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69.154964318976994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763.00000000000057</v>
      </c>
      <c r="AJ169" s="13">
        <f>AI169*VLOOKUP('Données projet'!$B$10,Paramètres!$A$1:$I$89,3,0)*VLOOKUP('Données projet'!$B$10,Paramètres!$A$1:$I$89,5,0)</f>
        <v>456.2740000000004</v>
      </c>
      <c r="AK169" s="13">
        <f t="shared" si="164"/>
        <v>103.09649786611838</v>
      </c>
      <c r="AL169" s="20">
        <f t="shared" si="165"/>
        <v>974.23695045015677</v>
      </c>
      <c r="AM169" s="59">
        <f t="shared" si="113"/>
        <v>1264.4718196197391</v>
      </c>
      <c r="AN169" s="59">
        <f ca="1">AVERAGE(OFFSET($AM$3,0,0,'Données projet'!$E$10+1,1))-AVERAGE(OFFSET($H$3,0,0,'Données projet'!$E$10+1,1))</f>
        <v>569.80473816957431</v>
      </c>
      <c r="AO169" s="59">
        <f t="shared" si="144"/>
        <v>495.56567790763199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19.380122693446317</v>
      </c>
      <c r="AV169" s="21">
        <f>EXP(-LN(2)/25)*AV168+(1-EXP(-LN(2)/25))/(LN(2)/25)*Calculateur!AQ169*Calculateur!AS169*VLOOKUP('Données projet'!$B$10,Paramètres!$A$1:$I$89,3,0)*0.475*44/12</f>
        <v>1.5070111997652529</v>
      </c>
      <c r="AW169" s="21">
        <f>EXP(-LN(2)/2)*AW168+(1-EXP(-LN(2)/2))/(LN(2)/2)*AQ169*AT169*VLOOKUP('Données projet'!$B$10,Paramètres!$A$1:$I$89,3,0)*0.475*44/12</f>
        <v>2.6612847498097667E-22</v>
      </c>
      <c r="AX169" s="21">
        <f t="shared" si="166"/>
        <v>20.887133893211569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69.154964318976994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-2.5006556825246661E-14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180.42749272334603</v>
      </c>
      <c r="BJ169" s="59">
        <f t="shared" si="146"/>
        <v>346.61476512497495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4.3259998683906913</v>
      </c>
      <c r="BQ169" s="21">
        <f>EXP(-LN(2)/25)*BQ168+(1-EXP(-LN(2)/25))/(LN(2)/25)*Calculateur!BL169*Calculateur!BN169*VLOOKUP('Données projet'!$B$11,Paramètres!$A$1:$I$89,3,0)*0.475*44/12</f>
        <v>0.38156895674460067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4.7075688251352918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69.154964318976994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19.8100000000004</v>
      </c>
      <c r="BZ169" s="13">
        <f>BY169*VLOOKUP('Données projet'!$B$12,Paramètres!$A$1:$I$89,3,0)*VLOOKUP('Données projet'!$B$12,Paramètres!$A$1:$I$89,5,0)</f>
        <v>17.924088000000364</v>
      </c>
      <c r="CA169" s="13">
        <f t="shared" si="170"/>
        <v>5.9032212091029486</v>
      </c>
      <c r="CB169" s="20">
        <f t="shared" si="171"/>
        <v>41.499230205854936</v>
      </c>
      <c r="CC169" s="59">
        <f t="shared" si="119"/>
        <v>331.73409937543721</v>
      </c>
      <c r="CD169" s="59">
        <f ca="1">AVERAGE(OFFSET($CC$3,0,0,'Données projet'!$E$12+1,1))-AVERAGE(OFFSET($H$3,0,0,'Données projet'!$E$12+1,1))</f>
        <v>553.16421218123958</v>
      </c>
      <c r="CE169" s="59">
        <f t="shared" si="148"/>
        <v>291.73668613844416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138.54143029713555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138.54143029713555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69.154964318976994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19.8100000000004</v>
      </c>
      <c r="CU169" s="17">
        <f>CT169*VLOOKUP('Données projet'!$B$13,Paramètres!$A$1:$I$89,3,0)*VLOOKUP('Données projet'!$B$13,Paramètres!$A$1:$I$89,5,0)</f>
        <v>20.08734000000041</v>
      </c>
      <c r="CV169" s="13">
        <f t="shared" si="173"/>
        <v>6.5285137703520215</v>
      </c>
      <c r="CW169" s="20">
        <f t="shared" si="174"/>
        <v>46.355945316697152</v>
      </c>
      <c r="CX169" s="59">
        <f t="shared" si="122"/>
        <v>336.59081448627944</v>
      </c>
      <c r="CY169" s="59">
        <f ca="1">AVERAGE(OFFSET($CX$3,0,0,'Données projet'!$E$13+1,1))-AVERAGE(OFFSET($H$3,0,0,'Données projet'!$E$13+1,1))</f>
        <v>611.82989382187804</v>
      </c>
      <c r="CZ169" s="59">
        <f t="shared" si="150"/>
        <v>320.34124600136363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155.26194774678987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155.26194774678987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69.154964318976994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19.8100000000004</v>
      </c>
      <c r="DP169" s="17">
        <f>DO169*VLOOKUP('Données projet'!$B$14,Paramètres!$A$1:$I$89,3,0)*VLOOKUP('Données projet'!$B$14,Paramètres!$A$1:$I$89,5,0)</f>
        <v>21.323484000000427</v>
      </c>
      <c r="DQ169" s="13">
        <f t="shared" si="176"/>
        <v>6.88226100850307</v>
      </c>
      <c r="DR169" s="20">
        <f t="shared" si="177"/>
        <v>49.125005889810261</v>
      </c>
      <c r="DS169" s="59">
        <f t="shared" si="125"/>
        <v>339.35987505939255</v>
      </c>
      <c r="DT169" s="59">
        <f ca="1">AVERAGE(OFFSET($DS$3,0,0,'Données projet'!$E$14+1,1))-AVERAGE(OFFSET($H$3,0,0,'Données projet'!$E$14+1,1))</f>
        <v>645.29541304800614</v>
      </c>
      <c r="DU169" s="59">
        <f t="shared" si="152"/>
        <v>336.65580771733323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164.81652914659225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164.81652914659225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69.154964318976994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319</v>
      </c>
      <c r="EK169" s="17">
        <f>EJ169*VLOOKUP('Données projet'!$B$15,Paramètres!$A$1:$I$89,3,0)*VLOOKUP('Données projet'!$B$15,Paramètres!$A$1:$I$89,5,0)</f>
        <v>233.89079999999998</v>
      </c>
      <c r="EL169" s="13">
        <f t="shared" si="179"/>
        <v>57.123140349023068</v>
      </c>
      <c r="EM169" s="20">
        <f t="shared" si="180"/>
        <v>506.84927944121517</v>
      </c>
      <c r="EN169" s="59">
        <f t="shared" si="128"/>
        <v>797.08414861079746</v>
      </c>
      <c r="EO169" s="59">
        <f ca="1">AVERAGE(OFFSET($EN$3,0,0,'Données projet'!$E$15+1,1))-AVERAGE(OFFSET($H$3,0,0,'Données projet'!$E$15+1,1))</f>
        <v>343.31122043016137</v>
      </c>
      <c r="EP169" s="59">
        <f t="shared" si="154"/>
        <v>333.61098411258877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7.2393375874391355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7.2393375874391355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69.154964318976994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319</v>
      </c>
      <c r="FF169" s="17">
        <f>FE169*VLOOKUP('Données projet'!$B$16,Paramètres!$A$1:$I$89,3,0)*VLOOKUP('Données projet'!$B$16,Paramètres!$A$1:$I$89,5,0)</f>
        <v>253.79640000000001</v>
      </c>
      <c r="FG169" s="13">
        <f t="shared" si="182"/>
        <v>61.39816832228076</v>
      </c>
      <c r="FH169" s="20">
        <f t="shared" si="183"/>
        <v>548.96387316130563</v>
      </c>
      <c r="FI169" s="59">
        <f t="shared" si="131"/>
        <v>839.19874233088785</v>
      </c>
      <c r="FJ169" s="59">
        <f ca="1">AVERAGE(OFFSET($FI$3,0,0,'Données projet'!$E$16+1,1))-AVERAGE(OFFSET($H$3,0,0,'Données projet'!$E$16+1,1))</f>
        <v>368.12945163484585</v>
      </c>
      <c r="FK169" s="59">
        <f t="shared" si="156"/>
        <v>357.27183934545121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9.6823005931954356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9.6823005931954356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69.154964318976994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69.154964318976994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3.0869565217391299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11.318840579710143</v>
      </c>
      <c r="H170" s="66">
        <f t="shared" si="110"/>
        <v>211.39130434782609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69.169623798825981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5.2499999999990337</v>
      </c>
      <c r="O170" s="13">
        <f>N170*VLOOKUP('Données projet'!$B$9,Paramètres!$A$1:$I$89,3,0)*VLOOKUP('Données projet'!$B$9,Paramètres!$A$1:$I$89,5,0)</f>
        <v>2.4569999999995478</v>
      </c>
      <c r="P170" s="13">
        <f t="shared" si="141"/>
        <v>1.0197977774625564</v>
      </c>
      <c r="Q170" s="20">
        <f t="shared" si="162"/>
        <v>6.0554227957464972</v>
      </c>
      <c r="R170" s="59">
        <f t="shared" si="109"/>
        <v>296.34404339144174</v>
      </c>
      <c r="S170" s="59">
        <f ca="1">AVERAGE(OFFSET($R$3,0,0,'Données projet'!$E$9+1,1))-AVERAGE(OFFSET($H$3,0,0,'Données projet'!$E$9+1,1))</f>
        <v>320.30433416149219</v>
      </c>
      <c r="T170" s="59">
        <f t="shared" si="142"/>
        <v>201.33422682092797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77.011993950288968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77.011993950288968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69.169623798825981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763.00000000000057</v>
      </c>
      <c r="AJ170" s="13">
        <f>AI170*VLOOKUP('Données projet'!$B$10,Paramètres!$A$1:$I$89,3,0)*VLOOKUP('Données projet'!$B$10,Paramètres!$A$1:$I$89,5,0)</f>
        <v>456.2740000000004</v>
      </c>
      <c r="AK170" s="13">
        <f t="shared" si="164"/>
        <v>103.09649786611838</v>
      </c>
      <c r="AL170" s="20">
        <f t="shared" si="165"/>
        <v>974.23695045015677</v>
      </c>
      <c r="AM170" s="59">
        <f t="shared" si="113"/>
        <v>1264.5255710458521</v>
      </c>
      <c r="AN170" s="59">
        <f ca="1">AVERAGE(OFFSET($AM$3,0,0,'Données projet'!$E$10+1,1))-AVERAGE(OFFSET($H$3,0,0,'Données projet'!$E$10+1,1))</f>
        <v>569.80473816957431</v>
      </c>
      <c r="AO170" s="59">
        <f t="shared" si="144"/>
        <v>495.56567790763199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19.00009030813548</v>
      </c>
      <c r="AV170" s="21">
        <f>EXP(-LN(2)/25)*AV169+(1-EXP(-LN(2)/25))/(LN(2)/25)*Calculateur!AQ170*Calculateur!AS170*VLOOKUP('Données projet'!$B$10,Paramètres!$A$1:$I$89,3,0)*0.475*44/12</f>
        <v>1.4658018992573973</v>
      </c>
      <c r="AW170" s="21">
        <f>EXP(-LN(2)/2)*AW169+(1-EXP(-LN(2)/2))/(LN(2)/2)*AQ170*AT170*VLOOKUP('Données projet'!$B$10,Paramètres!$A$1:$I$89,3,0)*0.475*44/12</f>
        <v>1.8818124932588306E-22</v>
      </c>
      <c r="AX170" s="21">
        <f t="shared" si="166"/>
        <v>20.465892207392876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69.169623798825981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-2.5006556825246661E-14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180.42749272334603</v>
      </c>
      <c r="BJ170" s="59">
        <f t="shared" si="146"/>
        <v>346.61476512497495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4.2411696495709297</v>
      </c>
      <c r="BQ170" s="21">
        <f>EXP(-LN(2)/25)*BQ169+(1-EXP(-LN(2)/25))/(LN(2)/25)*Calculateur!BL170*Calculateur!BN170*VLOOKUP('Données projet'!$B$11,Paramètres!$A$1:$I$89,3,0)*0.475*44/12</f>
        <v>0.37113493355658023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4.6123045831275098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69.169623798825981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19.8100000000004</v>
      </c>
      <c r="BZ170" s="13">
        <f>BY170*VLOOKUP('Données projet'!$B$12,Paramètres!$A$1:$I$89,3,0)*VLOOKUP('Données projet'!$B$12,Paramètres!$A$1:$I$89,5,0)</f>
        <v>17.924088000000364</v>
      </c>
      <c r="CA170" s="13">
        <f t="shared" si="170"/>
        <v>5.9032212091029486</v>
      </c>
      <c r="CB170" s="20">
        <f t="shared" si="171"/>
        <v>41.499230205854936</v>
      </c>
      <c r="CC170" s="59">
        <f t="shared" si="119"/>
        <v>331.78785080155018</v>
      </c>
      <c r="CD170" s="59">
        <f ca="1">AVERAGE(OFFSET($CC$3,0,0,'Données projet'!$E$12+1,1))-AVERAGE(OFFSET($H$3,0,0,'Données projet'!$E$12+1,1))</f>
        <v>553.16421218123958</v>
      </c>
      <c r="CE170" s="59">
        <f t="shared" si="148"/>
        <v>291.73668613844416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135.82471735093733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135.82471735093733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69.169623798825981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19.8100000000004</v>
      </c>
      <c r="CU170" s="17">
        <f>CT170*VLOOKUP('Données projet'!$B$13,Paramètres!$A$1:$I$89,3,0)*VLOOKUP('Données projet'!$B$13,Paramètres!$A$1:$I$89,5,0)</f>
        <v>20.08734000000041</v>
      </c>
      <c r="CV170" s="13">
        <f t="shared" si="173"/>
        <v>6.5285137703520215</v>
      </c>
      <c r="CW170" s="20">
        <f t="shared" si="174"/>
        <v>46.355945316697152</v>
      </c>
      <c r="CX170" s="59">
        <f t="shared" si="122"/>
        <v>336.64456591239241</v>
      </c>
      <c r="CY170" s="59">
        <f ca="1">AVERAGE(OFFSET($CX$3,0,0,'Données projet'!$E$13+1,1))-AVERAGE(OFFSET($H$3,0,0,'Données projet'!$E$13+1,1))</f>
        <v>611.82989382187804</v>
      </c>
      <c r="CZ170" s="59">
        <f t="shared" si="150"/>
        <v>320.34124600136363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152.21735565191256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152.21735565191256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69.169623798825981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19.8100000000004</v>
      </c>
      <c r="DP170" s="17">
        <f>DO170*VLOOKUP('Données projet'!$B$14,Paramètres!$A$1:$I$89,3,0)*VLOOKUP('Données projet'!$B$14,Paramètres!$A$1:$I$89,5,0)</f>
        <v>21.323484000000427</v>
      </c>
      <c r="DQ170" s="13">
        <f t="shared" si="176"/>
        <v>6.88226100850307</v>
      </c>
      <c r="DR170" s="20">
        <f t="shared" si="177"/>
        <v>49.125005889810261</v>
      </c>
      <c r="DS170" s="59">
        <f t="shared" si="125"/>
        <v>339.41362648550552</v>
      </c>
      <c r="DT170" s="59">
        <f ca="1">AVERAGE(OFFSET($DS$3,0,0,'Données projet'!$E$14+1,1))-AVERAGE(OFFSET($H$3,0,0,'Données projet'!$E$14+1,1))</f>
        <v>645.29541304800614</v>
      </c>
      <c r="DU170" s="59">
        <f t="shared" si="152"/>
        <v>336.65580771733323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161.58457753818402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161.58457753818402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69.169623798825981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319</v>
      </c>
      <c r="EK170" s="17">
        <f>EJ170*VLOOKUP('Données projet'!$B$15,Paramètres!$A$1:$I$89,3,0)*VLOOKUP('Données projet'!$B$15,Paramètres!$A$1:$I$89,5,0)</f>
        <v>233.89079999999998</v>
      </c>
      <c r="EL170" s="13">
        <f t="shared" si="179"/>
        <v>57.123140349023068</v>
      </c>
      <c r="EM170" s="20">
        <f t="shared" si="180"/>
        <v>506.84927944121517</v>
      </c>
      <c r="EN170" s="59">
        <f t="shared" si="128"/>
        <v>797.13790003691042</v>
      </c>
      <c r="EO170" s="59">
        <f ca="1">AVERAGE(OFFSET($EN$3,0,0,'Données projet'!$E$15+1,1))-AVERAGE(OFFSET($H$3,0,0,'Données projet'!$E$15+1,1))</f>
        <v>343.31122043016137</v>
      </c>
      <c r="EP170" s="59">
        <f t="shared" si="154"/>
        <v>333.61098411258877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7.097378592909382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7.097378592909382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69.169623798825981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319</v>
      </c>
      <c r="FF170" s="17">
        <f>FE170*VLOOKUP('Données projet'!$B$16,Paramètres!$A$1:$I$89,3,0)*VLOOKUP('Données projet'!$B$16,Paramètres!$A$1:$I$89,5,0)</f>
        <v>253.79640000000001</v>
      </c>
      <c r="FG170" s="13">
        <f t="shared" si="182"/>
        <v>61.39816832228076</v>
      </c>
      <c r="FH170" s="20">
        <f t="shared" si="183"/>
        <v>548.96387316130563</v>
      </c>
      <c r="FI170" s="59">
        <f t="shared" si="131"/>
        <v>839.25249375700082</v>
      </c>
      <c r="FJ170" s="59">
        <f ca="1">AVERAGE(OFFSET($FI$3,0,0,'Données projet'!$E$16+1,1))-AVERAGE(OFFSET($H$3,0,0,'Données projet'!$E$16+1,1))</f>
        <v>368.12945163484585</v>
      </c>
      <c r="FK170" s="59">
        <f t="shared" si="156"/>
        <v>357.27183934545121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9.4924365841831033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9.4924365841831033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69.169623798825981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69.169623798825981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3.0869565217391299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11.318840579710143</v>
      </c>
      <c r="H171" s="66">
        <f t="shared" si="110"/>
        <v>211.39130434782609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69.184028969473275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5.2499999999990337</v>
      </c>
      <c r="O171" s="13">
        <f>N171*VLOOKUP('Données projet'!$B$9,Paramètres!$A$1:$I$89,3,0)*VLOOKUP('Données projet'!$B$9,Paramètres!$A$1:$I$89,5,0)</f>
        <v>2.4569999999995478</v>
      </c>
      <c r="P171" s="13">
        <f t="shared" si="141"/>
        <v>1.0197977774625564</v>
      </c>
      <c r="Q171" s="20">
        <f t="shared" si="162"/>
        <v>6.0554227957464972</v>
      </c>
      <c r="R171" s="59">
        <f t="shared" si="109"/>
        <v>296.39686235048185</v>
      </c>
      <c r="S171" s="59">
        <f ca="1">AVERAGE(OFFSET($R$3,0,0,'Données projet'!$E$9+1,1))-AVERAGE(OFFSET($H$3,0,0,'Données projet'!$E$9+1,1))</f>
        <v>320.30433416149219</v>
      </c>
      <c r="T171" s="59">
        <f t="shared" si="142"/>
        <v>201.33422682092797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75.50183572160195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75.50183572160195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69.184028969473275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763.00000000000057</v>
      </c>
      <c r="AJ171" s="13">
        <f>AI171*VLOOKUP('Données projet'!$B$10,Paramètres!$A$1:$I$89,3,0)*VLOOKUP('Données projet'!$B$10,Paramètres!$A$1:$I$89,5,0)</f>
        <v>456.2740000000004</v>
      </c>
      <c r="AK171" s="13">
        <f t="shared" si="164"/>
        <v>103.09649786611838</v>
      </c>
      <c r="AL171" s="20">
        <f t="shared" si="165"/>
        <v>974.23695045015677</v>
      </c>
      <c r="AM171" s="59">
        <f t="shared" si="113"/>
        <v>1264.5783900048921</v>
      </c>
      <c r="AN171" s="59">
        <f ca="1">AVERAGE(OFFSET($AM$3,0,0,'Données projet'!$E$10+1,1))-AVERAGE(OFFSET($H$3,0,0,'Données projet'!$E$10+1,1))</f>
        <v>569.80473816957431</v>
      </c>
      <c r="AO171" s="59">
        <f t="shared" si="144"/>
        <v>495.56567790763199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18.627510126103722</v>
      </c>
      <c r="AV171" s="21">
        <f>EXP(-LN(2)/25)*AV170+(1-EXP(-LN(2)/25))/(LN(2)/25)*Calculateur!AQ171*Calculateur!AS171*VLOOKUP('Données projet'!$B$10,Paramètres!$A$1:$I$89,3,0)*0.475*44/12</f>
        <v>1.425719469239032</v>
      </c>
      <c r="AW171" s="21">
        <f>EXP(-LN(2)/2)*AW170+(1-EXP(-LN(2)/2))/(LN(2)/2)*AQ171*AT171*VLOOKUP('Données projet'!$B$10,Paramètres!$A$1:$I$89,3,0)*0.475*44/12</f>
        <v>1.3306423749048834E-22</v>
      </c>
      <c r="AX171" s="21">
        <f t="shared" si="166"/>
        <v>20.053229595342753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69.184028969473275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-2.5006556825246661E-14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180.42749272334603</v>
      </c>
      <c r="BJ171" s="59">
        <f t="shared" si="146"/>
        <v>346.61476512497495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4.1580028996008993</v>
      </c>
      <c r="BQ171" s="21">
        <f>EXP(-LN(2)/25)*BQ170+(1-EXP(-LN(2)/25))/(LN(2)/25)*Calculateur!BL171*Calculateur!BN171*VLOOKUP('Données projet'!$B$11,Paramètres!$A$1:$I$89,3,0)*0.475*44/12</f>
        <v>0.36098622928133761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4.5189891288822368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69.184028969473275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19.8100000000004</v>
      </c>
      <c r="BZ171" s="13">
        <f>BY171*VLOOKUP('Données projet'!$B$12,Paramètres!$A$1:$I$89,3,0)*VLOOKUP('Données projet'!$B$12,Paramètres!$A$1:$I$89,5,0)</f>
        <v>17.924088000000364</v>
      </c>
      <c r="CA171" s="13">
        <f t="shared" si="170"/>
        <v>5.9032212091029486</v>
      </c>
      <c r="CB171" s="20">
        <f t="shared" si="171"/>
        <v>41.499230205854936</v>
      </c>
      <c r="CC171" s="59">
        <f t="shared" si="119"/>
        <v>331.84066976059029</v>
      </c>
      <c r="CD171" s="59">
        <f ca="1">AVERAGE(OFFSET($CC$3,0,0,'Données projet'!$E$12+1,1))-AVERAGE(OFFSET($H$3,0,0,'Données projet'!$E$12+1,1))</f>
        <v>553.16421218123958</v>
      </c>
      <c r="CE171" s="59">
        <f t="shared" si="148"/>
        <v>291.73668613844416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133.16127748858278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133.16127748858278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69.184028969473275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19.8100000000004</v>
      </c>
      <c r="CU171" s="17">
        <f>CT171*VLOOKUP('Données projet'!$B$13,Paramètres!$A$1:$I$89,3,0)*VLOOKUP('Données projet'!$B$13,Paramètres!$A$1:$I$89,5,0)</f>
        <v>20.08734000000041</v>
      </c>
      <c r="CV171" s="13">
        <f t="shared" si="173"/>
        <v>6.5285137703520215</v>
      </c>
      <c r="CW171" s="20">
        <f t="shared" si="174"/>
        <v>46.355945316697152</v>
      </c>
      <c r="CX171" s="59">
        <f t="shared" si="122"/>
        <v>336.69738487143252</v>
      </c>
      <c r="CY171" s="59">
        <f ca="1">AVERAGE(OFFSET($CX$3,0,0,'Données projet'!$E$13+1,1))-AVERAGE(OFFSET($H$3,0,0,'Données projet'!$E$13+1,1))</f>
        <v>611.82989382187804</v>
      </c>
      <c r="CZ171" s="59">
        <f t="shared" si="150"/>
        <v>320.34124600136363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149.23246615099796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149.23246615099796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69.184028969473275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19.8100000000004</v>
      </c>
      <c r="DP171" s="17">
        <f>DO171*VLOOKUP('Données projet'!$B$14,Paramètres!$A$1:$I$89,3,0)*VLOOKUP('Données projet'!$B$14,Paramètres!$A$1:$I$89,5,0)</f>
        <v>21.323484000000427</v>
      </c>
      <c r="DQ171" s="13">
        <f t="shared" si="176"/>
        <v>6.88226100850307</v>
      </c>
      <c r="DR171" s="20">
        <f t="shared" si="177"/>
        <v>49.125005889810261</v>
      </c>
      <c r="DS171" s="59">
        <f t="shared" si="125"/>
        <v>339.46644544454563</v>
      </c>
      <c r="DT171" s="59">
        <f ca="1">AVERAGE(OFFSET($DS$3,0,0,'Données projet'!$E$14+1,1))-AVERAGE(OFFSET($H$3,0,0,'Données projet'!$E$14+1,1))</f>
        <v>645.29541304800614</v>
      </c>
      <c r="DU171" s="59">
        <f t="shared" si="152"/>
        <v>336.65580771733323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158.41600252952085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158.41600252952085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69.184028969473275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319</v>
      </c>
      <c r="EK171" s="17">
        <f>EJ171*VLOOKUP('Données projet'!$B$15,Paramètres!$A$1:$I$89,3,0)*VLOOKUP('Données projet'!$B$15,Paramètres!$A$1:$I$89,5,0)</f>
        <v>233.89079999999998</v>
      </c>
      <c r="EL171" s="13">
        <f t="shared" si="179"/>
        <v>57.123140349023068</v>
      </c>
      <c r="EM171" s="20">
        <f t="shared" si="180"/>
        <v>506.84927944121517</v>
      </c>
      <c r="EN171" s="59">
        <f t="shared" si="128"/>
        <v>797.19071899595053</v>
      </c>
      <c r="EO171" s="59">
        <f ca="1">AVERAGE(OFFSET($EN$3,0,0,'Données projet'!$E$15+1,1))-AVERAGE(OFFSET($H$3,0,0,'Données projet'!$E$15+1,1))</f>
        <v>343.31122043016137</v>
      </c>
      <c r="EP171" s="59">
        <f t="shared" si="154"/>
        <v>333.61098411258877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6.9582033276759203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6.9582033276759203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69.184028969473275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319</v>
      </c>
      <c r="FF171" s="17">
        <f>FE171*VLOOKUP('Données projet'!$B$16,Paramètres!$A$1:$I$89,3,0)*VLOOKUP('Données projet'!$B$16,Paramètres!$A$1:$I$89,5,0)</f>
        <v>253.79640000000001</v>
      </c>
      <c r="FG171" s="13">
        <f t="shared" si="182"/>
        <v>61.39816832228076</v>
      </c>
      <c r="FH171" s="20">
        <f t="shared" si="183"/>
        <v>548.96387316130563</v>
      </c>
      <c r="FI171" s="59">
        <f t="shared" si="131"/>
        <v>839.30531271604104</v>
      </c>
      <c r="FJ171" s="59">
        <f ca="1">AVERAGE(OFFSET($FI$3,0,0,'Données projet'!$E$16+1,1))-AVERAGE(OFFSET($H$3,0,0,'Données projet'!$E$16+1,1))</f>
        <v>368.12945163484585</v>
      </c>
      <c r="FK171" s="59">
        <f t="shared" si="156"/>
        <v>357.27183934545121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9.3062956925818927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9.3062956925818927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69.184028969473275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69.184028969473275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3.0869565217391299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11.318840579710143</v>
      </c>
      <c r="H172" s="66">
        <f t="shared" si="110"/>
        <v>211.39130434782609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69.198184242614985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5.2499999999990337</v>
      </c>
      <c r="O172" s="13">
        <f>N172*VLOOKUP('Données projet'!$B$9,Paramètres!$A$1:$I$89,3,0)*VLOOKUP('Données projet'!$B$9,Paramètres!$A$1:$I$89,5,0)</f>
        <v>2.4569999999995478</v>
      </c>
      <c r="P172" s="13">
        <f t="shared" si="141"/>
        <v>1.0197977774625564</v>
      </c>
      <c r="Q172" s="20">
        <f t="shared" si="162"/>
        <v>6.0554227957464972</v>
      </c>
      <c r="R172" s="59">
        <f t="shared" si="109"/>
        <v>296.4487650186681</v>
      </c>
      <c r="S172" s="59">
        <f ca="1">AVERAGE(OFFSET($R$3,0,0,'Données projet'!$E$9+1,1))-AVERAGE(OFFSET($H$3,0,0,'Données projet'!$E$9+1,1))</f>
        <v>320.30433416149219</v>
      </c>
      <c r="T172" s="59">
        <f t="shared" si="142"/>
        <v>201.33422682092797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74.021290774673915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74.021290774673915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69.198184242614985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763.00000000000057</v>
      </c>
      <c r="AJ172" s="13">
        <f>AI172*VLOOKUP('Données projet'!$B$10,Paramètres!$A$1:$I$89,3,0)*VLOOKUP('Données projet'!$B$10,Paramètres!$A$1:$I$89,5,0)</f>
        <v>456.2740000000004</v>
      </c>
      <c r="AK172" s="13">
        <f t="shared" si="164"/>
        <v>103.09649786611838</v>
      </c>
      <c r="AL172" s="20">
        <f t="shared" si="165"/>
        <v>974.23695045015677</v>
      </c>
      <c r="AM172" s="59">
        <f t="shared" si="113"/>
        <v>1264.6302926730784</v>
      </c>
      <c r="AN172" s="59">
        <f ca="1">AVERAGE(OFFSET($AM$3,0,0,'Données projet'!$E$10+1,1))-AVERAGE(OFFSET($H$3,0,0,'Données projet'!$E$10+1,1))</f>
        <v>569.80473816957431</v>
      </c>
      <c r="AO172" s="59">
        <f t="shared" si="144"/>
        <v>495.56567790763199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18.262236014190133</v>
      </c>
      <c r="AV172" s="21">
        <f>EXP(-LN(2)/25)*AV171+(1-EXP(-LN(2)/25))/(LN(2)/25)*Calculateur!AQ172*Calculateur!AS172*VLOOKUP('Données projet'!$B$10,Paramètres!$A$1:$I$89,3,0)*0.475*44/12</f>
        <v>1.3867330953773624</v>
      </c>
      <c r="AW172" s="21">
        <f>EXP(-LN(2)/2)*AW171+(1-EXP(-LN(2)/2))/(LN(2)/2)*AQ172*AT172*VLOOKUP('Données projet'!$B$10,Paramètres!$A$1:$I$89,3,0)*0.475*44/12</f>
        <v>9.4090624662941531E-23</v>
      </c>
      <c r="AX172" s="21">
        <f t="shared" si="166"/>
        <v>19.648969109567496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69.198184242614985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-2.5006556825246661E-14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180.42749272334603</v>
      </c>
      <c r="BJ172" s="59">
        <f t="shared" si="146"/>
        <v>346.61476512497495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4.076466998871072</v>
      </c>
      <c r="BQ172" s="21">
        <f>EXP(-LN(2)/25)*BQ171+(1-EXP(-LN(2)/25))/(LN(2)/25)*Calculateur!BL172*Calculateur!BN172*VLOOKUP('Données projet'!$B$11,Paramètres!$A$1:$I$89,3,0)*0.475*44/12</f>
        <v>0.3511150418581987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4.4275820407292708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69.198184242614985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19.8100000000004</v>
      </c>
      <c r="BZ172" s="13">
        <f>BY172*VLOOKUP('Données projet'!$B$12,Paramètres!$A$1:$I$89,3,0)*VLOOKUP('Données projet'!$B$12,Paramètres!$A$1:$I$89,5,0)</f>
        <v>17.924088000000364</v>
      </c>
      <c r="CA172" s="13">
        <f t="shared" si="170"/>
        <v>5.9032212091029486</v>
      </c>
      <c r="CB172" s="20">
        <f t="shared" si="171"/>
        <v>41.499230205854936</v>
      </c>
      <c r="CC172" s="59">
        <f t="shared" si="119"/>
        <v>331.89257242877653</v>
      </c>
      <c r="CD172" s="59">
        <f ca="1">AVERAGE(OFFSET($CC$3,0,0,'Données projet'!$E$12+1,1))-AVERAGE(OFFSET($H$3,0,0,'Données projet'!$E$12+1,1))</f>
        <v>553.16421218123958</v>
      </c>
      <c r="CE172" s="59">
        <f t="shared" si="148"/>
        <v>291.73668613844416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130.55006605739109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130.55006605739109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69.198184242614985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19.8100000000004</v>
      </c>
      <c r="CU172" s="17">
        <f>CT172*VLOOKUP('Données projet'!$B$13,Paramètres!$A$1:$I$89,3,0)*VLOOKUP('Données projet'!$B$13,Paramètres!$A$1:$I$89,5,0)</f>
        <v>20.08734000000041</v>
      </c>
      <c r="CV172" s="13">
        <f t="shared" si="173"/>
        <v>6.5285137703520215</v>
      </c>
      <c r="CW172" s="20">
        <f t="shared" si="174"/>
        <v>46.355945316697152</v>
      </c>
      <c r="CX172" s="59">
        <f t="shared" si="122"/>
        <v>336.74928753961876</v>
      </c>
      <c r="CY172" s="59">
        <f ca="1">AVERAGE(OFFSET($CX$3,0,0,'Données projet'!$E$13+1,1))-AVERAGE(OFFSET($H$3,0,0,'Données projet'!$E$13+1,1))</f>
        <v>611.82989382187804</v>
      </c>
      <c r="CZ172" s="59">
        <f t="shared" si="150"/>
        <v>320.34124600136363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146.30610851259348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146.30610851259348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69.198184242614985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19.8100000000004</v>
      </c>
      <c r="DP172" s="17">
        <f>DO172*VLOOKUP('Données projet'!$B$14,Paramètres!$A$1:$I$89,3,0)*VLOOKUP('Données projet'!$B$14,Paramètres!$A$1:$I$89,5,0)</f>
        <v>21.323484000000427</v>
      </c>
      <c r="DQ172" s="13">
        <f t="shared" si="176"/>
        <v>6.88226100850307</v>
      </c>
      <c r="DR172" s="20">
        <f t="shared" si="177"/>
        <v>49.125005889810261</v>
      </c>
      <c r="DS172" s="59">
        <f t="shared" si="125"/>
        <v>339.51834811273187</v>
      </c>
      <c r="DT172" s="59">
        <f ca="1">AVERAGE(OFFSET($DS$3,0,0,'Données projet'!$E$14+1,1))-AVERAGE(OFFSET($H$3,0,0,'Données projet'!$E$14+1,1))</f>
        <v>645.29541304800614</v>
      </c>
      <c r="DU172" s="59">
        <f t="shared" si="152"/>
        <v>336.65580771733323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155.30956134413765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155.30956134413765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69.198184242614985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319</v>
      </c>
      <c r="EK172" s="17">
        <f>EJ172*VLOOKUP('Données projet'!$B$15,Paramètres!$A$1:$I$89,3,0)*VLOOKUP('Données projet'!$B$15,Paramètres!$A$1:$I$89,5,0)</f>
        <v>233.89079999999998</v>
      </c>
      <c r="EL172" s="13">
        <f t="shared" si="179"/>
        <v>57.123140349023068</v>
      </c>
      <c r="EM172" s="20">
        <f t="shared" si="180"/>
        <v>506.84927944121517</v>
      </c>
      <c r="EN172" s="59">
        <f t="shared" si="128"/>
        <v>797.24262166413678</v>
      </c>
      <c r="EO172" s="59">
        <f ca="1">AVERAGE(OFFSET($EN$3,0,0,'Données projet'!$E$15+1,1))-AVERAGE(OFFSET($H$3,0,0,'Données projet'!$E$15+1,1))</f>
        <v>343.31122043016137</v>
      </c>
      <c r="EP172" s="59">
        <f t="shared" si="154"/>
        <v>333.61098411258877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6.8217572045051567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6.8217572045051567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69.198184242614985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319</v>
      </c>
      <c r="FF172" s="17">
        <f>FE172*VLOOKUP('Données projet'!$B$16,Paramètres!$A$1:$I$89,3,0)*VLOOKUP('Données projet'!$B$16,Paramètres!$A$1:$I$89,5,0)</f>
        <v>253.79640000000001</v>
      </c>
      <c r="FG172" s="13">
        <f t="shared" si="182"/>
        <v>61.39816832228076</v>
      </c>
      <c r="FH172" s="20">
        <f t="shared" si="183"/>
        <v>548.96387316130563</v>
      </c>
      <c r="FI172" s="59">
        <f t="shared" si="131"/>
        <v>839.35721538422717</v>
      </c>
      <c r="FJ172" s="59">
        <f ca="1">AVERAGE(OFFSET($FI$3,0,0,'Données projet'!$E$16+1,1))-AVERAGE(OFFSET($H$3,0,0,'Données projet'!$E$16+1,1))</f>
        <v>368.12945163484585</v>
      </c>
      <c r="FK172" s="59">
        <f t="shared" si="156"/>
        <v>357.27183934545121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9.1238049103302483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9.1238049103302483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69.198184242614985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69.198184242614985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3.0869565217391299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11.318840579710143</v>
      </c>
      <c r="H173" s="66">
        <f t="shared" si="110"/>
        <v>211.39130434782609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69.212093953414126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5.2499999999990337</v>
      </c>
      <c r="O173" s="13">
        <f>N173*VLOOKUP('Données projet'!$B$9,Paramètres!$A$1:$I$89,3,0)*VLOOKUP('Données projet'!$B$9,Paramètres!$A$1:$I$89,5,0)</f>
        <v>2.4569999999995478</v>
      </c>
      <c r="P173" s="13">
        <f t="shared" si="141"/>
        <v>1.0197977774625564</v>
      </c>
      <c r="Q173" s="20">
        <f t="shared" si="162"/>
        <v>6.0554227957464972</v>
      </c>
      <c r="R173" s="59">
        <f t="shared" si="109"/>
        <v>296.49976729159829</v>
      </c>
      <c r="S173" s="59">
        <f ca="1">AVERAGE(OFFSET($R$3,0,0,'Données projet'!$E$9+1,1))-AVERAGE(OFFSET($H$3,0,0,'Données projet'!$E$9+1,1))</f>
        <v>320.30433416149219</v>
      </c>
      <c r="T173" s="59">
        <f t="shared" si="142"/>
        <v>201.33422682092797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72.569778411111884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72.569778411111884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69.212093953414126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763.00000000000057</v>
      </c>
      <c r="AJ173" s="13">
        <f>AI173*VLOOKUP('Données projet'!$B$10,Paramètres!$A$1:$I$89,3,0)*VLOOKUP('Données projet'!$B$10,Paramètres!$A$1:$I$89,5,0)</f>
        <v>456.2740000000004</v>
      </c>
      <c r="AK173" s="13">
        <f t="shared" si="164"/>
        <v>103.09649786611838</v>
      </c>
      <c r="AL173" s="20">
        <f t="shared" si="165"/>
        <v>974.23695045015677</v>
      </c>
      <c r="AM173" s="59">
        <f t="shared" si="113"/>
        <v>1264.6812949460086</v>
      </c>
      <c r="AN173" s="59">
        <f ca="1">AVERAGE(OFFSET($AM$3,0,0,'Données projet'!$E$10+1,1))-AVERAGE(OFFSET($H$3,0,0,'Données projet'!$E$10+1,1))</f>
        <v>569.80473816957431</v>
      </c>
      <c r="AO173" s="59">
        <f t="shared" si="144"/>
        <v>495.56567790763199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17.904124704815963</v>
      </c>
      <c r="AV173" s="21">
        <f>EXP(-LN(2)/25)*AV172+(1-EXP(-LN(2)/25))/(LN(2)/25)*Calculateur!AQ173*Calculateur!AS173*VLOOKUP('Données projet'!$B$10,Paramètres!$A$1:$I$89,3,0)*0.475*44/12</f>
        <v>1.3488128059591444</v>
      </c>
      <c r="AW173" s="21">
        <f>EXP(-LN(2)/2)*AW172+(1-EXP(-LN(2)/2))/(LN(2)/2)*AQ173*AT173*VLOOKUP('Données projet'!$B$10,Paramètres!$A$1:$I$89,3,0)*0.475*44/12</f>
        <v>6.6532118745244168E-23</v>
      </c>
      <c r="AX173" s="21">
        <f t="shared" si="166"/>
        <v>19.252937510775109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69.212093953414126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-2.5006556825246661E-14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180.42749272334603</v>
      </c>
      <c r="BJ173" s="59">
        <f t="shared" si="146"/>
        <v>346.61476512497495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3.9965299674225681</v>
      </c>
      <c r="BQ173" s="21">
        <f>EXP(-LN(2)/25)*BQ172+(1-EXP(-LN(2)/25))/(LN(2)/25)*Calculateur!BL173*Calculateur!BN173*VLOOKUP('Données projet'!$B$11,Paramètres!$A$1:$I$89,3,0)*0.475*44/12</f>
        <v>0.34151378257424869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4.3380437499968165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69.212093953414126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19.8100000000004</v>
      </c>
      <c r="BZ173" s="13">
        <f>BY173*VLOOKUP('Données projet'!$B$12,Paramètres!$A$1:$I$89,3,0)*VLOOKUP('Données projet'!$B$12,Paramètres!$A$1:$I$89,5,0)</f>
        <v>17.924088000000364</v>
      </c>
      <c r="CA173" s="13">
        <f t="shared" si="170"/>
        <v>5.9032212091029486</v>
      </c>
      <c r="CB173" s="20">
        <f t="shared" si="171"/>
        <v>41.499230205854936</v>
      </c>
      <c r="CC173" s="59">
        <f t="shared" si="119"/>
        <v>331.94357470170672</v>
      </c>
      <c r="CD173" s="59">
        <f ca="1">AVERAGE(OFFSET($CC$3,0,0,'Données projet'!$E$12+1,1))-AVERAGE(OFFSET($H$3,0,0,'Données projet'!$E$12+1,1))</f>
        <v>553.16421218123958</v>
      </c>
      <c r="CE173" s="59">
        <f t="shared" si="148"/>
        <v>291.73668613844416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127.99005888968337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127.99005888968337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69.212093953414126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19.8100000000004</v>
      </c>
      <c r="CU173" s="17">
        <f>CT173*VLOOKUP('Données projet'!$B$13,Paramètres!$A$1:$I$89,3,0)*VLOOKUP('Données projet'!$B$13,Paramètres!$A$1:$I$89,5,0)</f>
        <v>20.08734000000041</v>
      </c>
      <c r="CV173" s="13">
        <f t="shared" si="173"/>
        <v>6.5285137703520215</v>
      </c>
      <c r="CW173" s="20">
        <f t="shared" si="174"/>
        <v>46.355945316697152</v>
      </c>
      <c r="CX173" s="59">
        <f t="shared" si="122"/>
        <v>336.80028981254895</v>
      </c>
      <c r="CY173" s="59">
        <f ca="1">AVERAGE(OFFSET($CX$3,0,0,'Données projet'!$E$13+1,1))-AVERAGE(OFFSET($H$3,0,0,'Données projet'!$E$13+1,1))</f>
        <v>611.82989382187804</v>
      </c>
      <c r="CZ173" s="59">
        <f t="shared" si="150"/>
        <v>320.34124600136363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143.43713496257621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143.43713496257621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69.212093953414126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19.8100000000004</v>
      </c>
      <c r="DP173" s="17">
        <f>DO173*VLOOKUP('Données projet'!$B$14,Paramètres!$A$1:$I$89,3,0)*VLOOKUP('Données projet'!$B$14,Paramètres!$A$1:$I$89,5,0)</f>
        <v>21.323484000000427</v>
      </c>
      <c r="DQ173" s="13">
        <f t="shared" si="176"/>
        <v>6.88226100850307</v>
      </c>
      <c r="DR173" s="20">
        <f t="shared" si="177"/>
        <v>49.125005889810261</v>
      </c>
      <c r="DS173" s="59">
        <f t="shared" si="125"/>
        <v>339.56935038566206</v>
      </c>
      <c r="DT173" s="59">
        <f ca="1">AVERAGE(OFFSET($DS$3,0,0,'Données projet'!$E$14+1,1))-AVERAGE(OFFSET($H$3,0,0,'Données projet'!$E$14+1,1))</f>
        <v>645.29541304800614</v>
      </c>
      <c r="DU173" s="59">
        <f t="shared" si="152"/>
        <v>336.65580771733323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152.26403557565777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152.26403557565777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69.212093953414126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319</v>
      </c>
      <c r="EK173" s="17">
        <f>EJ173*VLOOKUP('Données projet'!$B$15,Paramètres!$A$1:$I$89,3,0)*VLOOKUP('Données projet'!$B$15,Paramètres!$A$1:$I$89,5,0)</f>
        <v>233.89079999999998</v>
      </c>
      <c r="EL173" s="13">
        <f t="shared" si="179"/>
        <v>57.123140349023068</v>
      </c>
      <c r="EM173" s="20">
        <f t="shared" si="180"/>
        <v>506.84927944121517</v>
      </c>
      <c r="EN173" s="59">
        <f t="shared" si="128"/>
        <v>797.29362393706697</v>
      </c>
      <c r="EO173" s="59">
        <f ca="1">AVERAGE(OFFSET($EN$3,0,0,'Données projet'!$E$15+1,1))-AVERAGE(OFFSET($H$3,0,0,'Données projet'!$E$15+1,1))</f>
        <v>343.31122043016137</v>
      </c>
      <c r="EP173" s="59">
        <f t="shared" si="154"/>
        <v>333.61098411258877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6.6879867065858543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6.6879867065858543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69.212093953414126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319</v>
      </c>
      <c r="FF173" s="17">
        <f>FE173*VLOOKUP('Données projet'!$B$16,Paramètres!$A$1:$I$89,3,0)*VLOOKUP('Données projet'!$B$16,Paramètres!$A$1:$I$89,5,0)</f>
        <v>253.79640000000001</v>
      </c>
      <c r="FG173" s="13">
        <f t="shared" si="182"/>
        <v>61.39816832228076</v>
      </c>
      <c r="FH173" s="20">
        <f t="shared" si="183"/>
        <v>548.96387316130563</v>
      </c>
      <c r="FI173" s="59">
        <f t="shared" si="131"/>
        <v>839.40821765715737</v>
      </c>
      <c r="FJ173" s="59">
        <f ca="1">AVERAGE(OFFSET($FI$3,0,0,'Données projet'!$E$16+1,1))-AVERAGE(OFFSET($H$3,0,0,'Données projet'!$E$16+1,1))</f>
        <v>368.12945163484585</v>
      </c>
      <c r="FK173" s="59">
        <f t="shared" si="156"/>
        <v>357.27183934545121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8.9448926610101722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8.9448926610101722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69.212093953414126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69.212093953414126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3.0869565217391299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11.318840579710143</v>
      </c>
      <c r="H174" s="66">
        <f t="shared" si="110"/>
        <v>211.39130434782609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69.225762361828373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5.2499999999990337</v>
      </c>
      <c r="O174" s="13">
        <f>N174*VLOOKUP('Données projet'!$B$9,Paramètres!$A$1:$I$89,3,0)*VLOOKUP('Données projet'!$B$9,Paramètres!$A$1:$I$89,5,0)</f>
        <v>2.4569999999995478</v>
      </c>
      <c r="P174" s="13">
        <f t="shared" si="141"/>
        <v>1.0197977774625564</v>
      </c>
      <c r="Q174" s="20">
        <f t="shared" si="162"/>
        <v>6.0554227957464972</v>
      </c>
      <c r="R174" s="59">
        <f t="shared" si="109"/>
        <v>296.54988478911719</v>
      </c>
      <c r="S174" s="59">
        <f ca="1">AVERAGE(OFFSET($R$3,0,0,'Données projet'!$E$9+1,1))-AVERAGE(OFFSET($H$3,0,0,'Données projet'!$E$9+1,1))</f>
        <v>320.30433416149219</v>
      </c>
      <c r="T174" s="59">
        <f t="shared" si="142"/>
        <v>201.33422682092797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71.146729319664189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71.146729319664189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69.225762361828373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763.00000000000057</v>
      </c>
      <c r="AJ174" s="13">
        <f>AI174*VLOOKUP('Données projet'!$B$10,Paramètres!$A$1:$I$89,3,0)*VLOOKUP('Données projet'!$B$10,Paramètres!$A$1:$I$89,5,0)</f>
        <v>456.2740000000004</v>
      </c>
      <c r="AK174" s="13">
        <f t="shared" si="164"/>
        <v>103.09649786611838</v>
      </c>
      <c r="AL174" s="20">
        <f t="shared" si="165"/>
        <v>974.23695045015677</v>
      </c>
      <c r="AM174" s="59">
        <f t="shared" si="113"/>
        <v>1264.7314124435275</v>
      </c>
      <c r="AN174" s="59">
        <f ca="1">AVERAGE(OFFSET($AM$3,0,0,'Données projet'!$E$10+1,1))-AVERAGE(OFFSET($H$3,0,0,'Données projet'!$E$10+1,1))</f>
        <v>569.80473816957431</v>
      </c>
      <c r="AO174" s="59">
        <f t="shared" si="144"/>
        <v>495.56567790763199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17.553035739792289</v>
      </c>
      <c r="AV174" s="21">
        <f>EXP(-LN(2)/25)*AV173+(1-EXP(-LN(2)/25))/(LN(2)/25)*Calculateur!AQ174*Calculateur!AS174*VLOOKUP('Données projet'!$B$10,Paramètres!$A$1:$I$89,3,0)*0.475*44/12</f>
        <v>1.3119294488492088</v>
      </c>
      <c r="AW174" s="21">
        <f>EXP(-LN(2)/2)*AW173+(1-EXP(-LN(2)/2))/(LN(2)/2)*AQ174*AT174*VLOOKUP('Données projet'!$B$10,Paramètres!$A$1:$I$89,3,0)*0.475*44/12</f>
        <v>4.7045312331470766E-23</v>
      </c>
      <c r="AX174" s="21">
        <f t="shared" si="166"/>
        <v>18.864965188641499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69.225762361828373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-2.5006556825246661E-14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180.42749272334603</v>
      </c>
      <c r="BJ174" s="59">
        <f t="shared" si="146"/>
        <v>346.61476512497495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3.9181604524039946</v>
      </c>
      <c r="BQ174" s="21">
        <f>EXP(-LN(2)/25)*BQ173+(1-EXP(-LN(2)/25))/(LN(2)/25)*Calculateur!BL174*Calculateur!BN174*VLOOKUP('Données projet'!$B$11,Paramètres!$A$1:$I$89,3,0)*0.475*44/12</f>
        <v>0.33217507023032655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4.2503355226343214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69.225762361828373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19.8100000000004</v>
      </c>
      <c r="BZ174" s="13">
        <f>BY174*VLOOKUP('Données projet'!$B$12,Paramètres!$A$1:$I$89,3,0)*VLOOKUP('Données projet'!$B$12,Paramètres!$A$1:$I$89,5,0)</f>
        <v>17.924088000000364</v>
      </c>
      <c r="CA174" s="13">
        <f t="shared" si="170"/>
        <v>5.9032212091029486</v>
      </c>
      <c r="CB174" s="20">
        <f t="shared" si="171"/>
        <v>41.499230205854936</v>
      </c>
      <c r="CC174" s="59">
        <f t="shared" si="119"/>
        <v>331.99369219922562</v>
      </c>
      <c r="CD174" s="59">
        <f ca="1">AVERAGE(OFFSET($CC$3,0,0,'Données projet'!$E$12+1,1))-AVERAGE(OFFSET($H$3,0,0,'Données projet'!$E$12+1,1))</f>
        <v>553.16421218123958</v>
      </c>
      <c r="CE174" s="59">
        <f t="shared" si="148"/>
        <v>291.73668613844416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125.4802519010842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125.4802519010842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69.225762361828373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19.8100000000004</v>
      </c>
      <c r="CU174" s="17">
        <f>CT174*VLOOKUP('Données projet'!$B$13,Paramètres!$A$1:$I$89,3,0)*VLOOKUP('Données projet'!$B$13,Paramètres!$A$1:$I$89,5,0)</f>
        <v>20.08734000000041</v>
      </c>
      <c r="CV174" s="13">
        <f t="shared" si="173"/>
        <v>6.5285137703520215</v>
      </c>
      <c r="CW174" s="20">
        <f t="shared" si="174"/>
        <v>46.355945316697152</v>
      </c>
      <c r="CX174" s="59">
        <f t="shared" si="122"/>
        <v>336.85040731006785</v>
      </c>
      <c r="CY174" s="59">
        <f ca="1">AVERAGE(OFFSET($CX$3,0,0,'Données projet'!$E$13+1,1))-AVERAGE(OFFSET($H$3,0,0,'Données projet'!$E$13+1,1))</f>
        <v>611.82989382187804</v>
      </c>
      <c r="CZ174" s="59">
        <f t="shared" si="150"/>
        <v>320.34124600136363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140.62442023397369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140.62442023397369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69.225762361828373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19.8100000000004</v>
      </c>
      <c r="DP174" s="17">
        <f>DO174*VLOOKUP('Données projet'!$B$14,Paramètres!$A$1:$I$89,3,0)*VLOOKUP('Données projet'!$B$14,Paramètres!$A$1:$I$89,5,0)</f>
        <v>21.323484000000427</v>
      </c>
      <c r="DQ174" s="13">
        <f t="shared" si="176"/>
        <v>6.88226100850307</v>
      </c>
      <c r="DR174" s="20">
        <f t="shared" si="177"/>
        <v>49.125005889810261</v>
      </c>
      <c r="DS174" s="59">
        <f t="shared" si="125"/>
        <v>339.61946788318096</v>
      </c>
      <c r="DT174" s="59">
        <f ca="1">AVERAGE(OFFSET($DS$3,0,0,'Données projet'!$E$14+1,1))-AVERAGE(OFFSET($H$3,0,0,'Données projet'!$E$14+1,1))</f>
        <v>645.29541304800614</v>
      </c>
      <c r="DU174" s="59">
        <f t="shared" si="152"/>
        <v>336.65580771733323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149.27823070991047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149.27823070991047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69.225762361828373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319</v>
      </c>
      <c r="EK174" s="17">
        <f>EJ174*VLOOKUP('Données projet'!$B$15,Paramètres!$A$1:$I$89,3,0)*VLOOKUP('Données projet'!$B$15,Paramètres!$A$1:$I$89,5,0)</f>
        <v>233.89079999999998</v>
      </c>
      <c r="EL174" s="13">
        <f t="shared" si="179"/>
        <v>57.123140349023068</v>
      </c>
      <c r="EM174" s="20">
        <f t="shared" si="180"/>
        <v>506.84927944121517</v>
      </c>
      <c r="EN174" s="59">
        <f t="shared" si="128"/>
        <v>797.34374143458581</v>
      </c>
      <c r="EO174" s="59">
        <f ca="1">AVERAGE(OFFSET($EN$3,0,0,'Données projet'!$E$15+1,1))-AVERAGE(OFFSET($H$3,0,0,'Données projet'!$E$15+1,1))</f>
        <v>343.31122043016137</v>
      </c>
      <c r="EP174" s="59">
        <f t="shared" si="154"/>
        <v>333.61098411258877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6.5568393665388021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6.5568393665388021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69.225762361828373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319</v>
      </c>
      <c r="FF174" s="17">
        <f>FE174*VLOOKUP('Données projet'!$B$16,Paramètres!$A$1:$I$89,3,0)*VLOOKUP('Données projet'!$B$16,Paramètres!$A$1:$I$89,5,0)</f>
        <v>253.79640000000001</v>
      </c>
      <c r="FG174" s="13">
        <f t="shared" si="182"/>
        <v>61.39816832228076</v>
      </c>
      <c r="FH174" s="20">
        <f t="shared" si="183"/>
        <v>548.96387316130563</v>
      </c>
      <c r="FI174" s="59">
        <f t="shared" si="131"/>
        <v>839.45833515467632</v>
      </c>
      <c r="FJ174" s="59">
        <f ca="1">AVERAGE(OFFSET($FI$3,0,0,'Données projet'!$E$16+1,1))-AVERAGE(OFFSET($H$3,0,0,'Données projet'!$E$16+1,1))</f>
        <v>368.12945163484585</v>
      </c>
      <c r="FK174" s="59">
        <f t="shared" si="156"/>
        <v>357.27183934545121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8.7694887717735668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8.7694887717735668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69.225762361828373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69.225762361828373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3.0869565217391299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11.318840579710143</v>
      </c>
      <c r="H175" s="66">
        <f t="shared" si="110"/>
        <v>211.39130434782609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69.239193653914597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5.2499999999990337</v>
      </c>
      <c r="O175" s="13">
        <f>N175*VLOOKUP('Données projet'!$B$9,Paramètres!$A$1:$I$89,3,0)*VLOOKUP('Données projet'!$B$9,Paramètres!$A$1:$I$89,5,0)</f>
        <v>2.4569999999995478</v>
      </c>
      <c r="P175" s="13">
        <f t="shared" si="141"/>
        <v>1.0197977774625564</v>
      </c>
      <c r="Q175" s="20">
        <f t="shared" si="162"/>
        <v>6.0554227957464972</v>
      </c>
      <c r="R175" s="59">
        <f t="shared" si="109"/>
        <v>296.59913286010004</v>
      </c>
      <c r="S175" s="59">
        <f ca="1">AVERAGE(OFFSET($R$3,0,0,'Données projet'!$E$9+1,1))-AVERAGE(OFFSET($H$3,0,0,'Données projet'!$E$9+1,1))</f>
        <v>320.30433416149219</v>
      </c>
      <c r="T175" s="59">
        <f t="shared" si="142"/>
        <v>201.33422682092797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69.751585352925531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69.751585352925531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69.239193653914597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763.00000000000057</v>
      </c>
      <c r="AJ175" s="13">
        <f>AI175*VLOOKUP('Données projet'!$B$10,Paramètres!$A$1:$I$89,3,0)*VLOOKUP('Données projet'!$B$10,Paramètres!$A$1:$I$89,5,0)</f>
        <v>456.2740000000004</v>
      </c>
      <c r="AK175" s="13">
        <f t="shared" si="164"/>
        <v>103.09649786611838</v>
      </c>
      <c r="AL175" s="20">
        <f t="shared" si="165"/>
        <v>974.23695045015677</v>
      </c>
      <c r="AM175" s="59">
        <f t="shared" si="113"/>
        <v>1264.7806605145104</v>
      </c>
      <c r="AN175" s="59">
        <f ca="1">AVERAGE(OFFSET($AM$3,0,0,'Données projet'!$E$10+1,1))-AVERAGE(OFFSET($H$3,0,0,'Données projet'!$E$10+1,1))</f>
        <v>569.80473816957431</v>
      </c>
      <c r="AO175" s="59">
        <f t="shared" si="144"/>
        <v>495.56567790763199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17.208831415229604</v>
      </c>
      <c r="AV175" s="21">
        <f>EXP(-LN(2)/25)*AV174+(1-EXP(-LN(2)/25))/(LN(2)/25)*Calculateur!AQ175*Calculateur!AS175*VLOOKUP('Données projet'!$B$10,Paramètres!$A$1:$I$89,3,0)*0.475*44/12</f>
        <v>1.276054669079056</v>
      </c>
      <c r="AW175" s="21">
        <f>EXP(-LN(2)/2)*AW174+(1-EXP(-LN(2)/2))/(LN(2)/2)*AQ175*AT175*VLOOKUP('Données projet'!$B$10,Paramètres!$A$1:$I$89,3,0)*0.475*44/12</f>
        <v>3.3266059372622084E-23</v>
      </c>
      <c r="AX175" s="21">
        <f t="shared" si="166"/>
        <v>18.484886084308659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69.239193653914597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-2.5006556825246661E-14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180.42749272334603</v>
      </c>
      <c r="BJ175" s="59">
        <f t="shared" si="146"/>
        <v>346.61476512497495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3.8413277157742511</v>
      </c>
      <c r="BQ175" s="21">
        <f>EXP(-LN(2)/25)*BQ174+(1-EXP(-LN(2)/25))/(LN(2)/25)*Calculateur!BL175*Calculateur!BN175*VLOOKUP('Données projet'!$B$11,Paramètres!$A$1:$I$89,3,0)*0.475*44/12</f>
        <v>0.32309172546655052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4.1644194412408018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69.239193653914597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19.8100000000004</v>
      </c>
      <c r="BZ175" s="13">
        <f>BY175*VLOOKUP('Données projet'!$B$12,Paramètres!$A$1:$I$89,3,0)*VLOOKUP('Données projet'!$B$12,Paramètres!$A$1:$I$89,5,0)</f>
        <v>17.924088000000364</v>
      </c>
      <c r="CA175" s="13">
        <f t="shared" si="170"/>
        <v>5.9032212091029486</v>
      </c>
      <c r="CB175" s="20">
        <f t="shared" si="171"/>
        <v>41.499230205854936</v>
      </c>
      <c r="CC175" s="59">
        <f t="shared" si="119"/>
        <v>332.04294027020848</v>
      </c>
      <c r="CD175" s="59">
        <f ca="1">AVERAGE(OFFSET($CC$3,0,0,'Données projet'!$E$12+1,1))-AVERAGE(OFFSET($H$3,0,0,'Données projet'!$E$12+1,1))</f>
        <v>553.16421218123958</v>
      </c>
      <c r="CE175" s="59">
        <f t="shared" si="148"/>
        <v>291.73668613844416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123.01966069670036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123.01966069670036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69.239193653914597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19.8100000000004</v>
      </c>
      <c r="CU175" s="17">
        <f>CT175*VLOOKUP('Données projet'!$B$13,Paramètres!$A$1:$I$89,3,0)*VLOOKUP('Données projet'!$B$13,Paramètres!$A$1:$I$89,5,0)</f>
        <v>20.08734000000041</v>
      </c>
      <c r="CV175" s="13">
        <f t="shared" si="173"/>
        <v>6.5285137703520215</v>
      </c>
      <c r="CW175" s="20">
        <f t="shared" si="174"/>
        <v>46.355945316697152</v>
      </c>
      <c r="CX175" s="59">
        <f t="shared" si="122"/>
        <v>336.89965538105071</v>
      </c>
      <c r="CY175" s="59">
        <f ca="1">AVERAGE(OFFSET($CX$3,0,0,'Données projet'!$E$13+1,1))-AVERAGE(OFFSET($H$3,0,0,'Données projet'!$E$13+1,1))</f>
        <v>611.82989382187804</v>
      </c>
      <c r="CZ175" s="59">
        <f t="shared" si="150"/>
        <v>320.34124600136363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137.8668611256125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137.8668611256125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69.239193653914597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19.8100000000004</v>
      </c>
      <c r="DP175" s="17">
        <f>DO175*VLOOKUP('Données projet'!$B$14,Paramètres!$A$1:$I$89,3,0)*VLOOKUP('Données projet'!$B$14,Paramètres!$A$1:$I$89,5,0)</f>
        <v>21.323484000000427</v>
      </c>
      <c r="DQ175" s="13">
        <f t="shared" si="176"/>
        <v>6.88226100850307</v>
      </c>
      <c r="DR175" s="20">
        <f t="shared" si="177"/>
        <v>49.125005889810261</v>
      </c>
      <c r="DS175" s="59">
        <f t="shared" si="125"/>
        <v>339.66871595416382</v>
      </c>
      <c r="DT175" s="59">
        <f ca="1">AVERAGE(OFFSET($DS$3,0,0,'Données projet'!$E$14+1,1))-AVERAGE(OFFSET($H$3,0,0,'Données projet'!$E$14+1,1))</f>
        <v>645.29541304800614</v>
      </c>
      <c r="DU175" s="59">
        <f t="shared" si="152"/>
        <v>336.65580771733323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146.35097565641934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146.35097565641934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69.239193653914597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319</v>
      </c>
      <c r="EK175" s="17">
        <f>EJ175*VLOOKUP('Données projet'!$B$15,Paramètres!$A$1:$I$89,3,0)*VLOOKUP('Données projet'!$B$15,Paramètres!$A$1:$I$89,5,0)</f>
        <v>233.89079999999998</v>
      </c>
      <c r="EL175" s="13">
        <f t="shared" si="179"/>
        <v>57.123140349023068</v>
      </c>
      <c r="EM175" s="20">
        <f t="shared" si="180"/>
        <v>506.84927944121517</v>
      </c>
      <c r="EN175" s="59">
        <f t="shared" si="128"/>
        <v>797.39298950556872</v>
      </c>
      <c r="EO175" s="59">
        <f ca="1">AVERAGE(OFFSET($EN$3,0,0,'Données projet'!$E$15+1,1))-AVERAGE(OFFSET($H$3,0,0,'Données projet'!$E$15+1,1))</f>
        <v>343.31122043016137</v>
      </c>
      <c r="EP175" s="59">
        <f t="shared" si="154"/>
        <v>333.61098411258877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6.4282637458380938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6.4282637458380938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69.239193653914597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319</v>
      </c>
      <c r="FF175" s="17">
        <f>FE175*VLOOKUP('Données projet'!$B$16,Paramètres!$A$1:$I$89,3,0)*VLOOKUP('Données projet'!$B$16,Paramètres!$A$1:$I$89,5,0)</f>
        <v>253.79640000000001</v>
      </c>
      <c r="FG175" s="13">
        <f t="shared" si="182"/>
        <v>61.39816832228076</v>
      </c>
      <c r="FH175" s="20">
        <f t="shared" si="183"/>
        <v>548.96387316130563</v>
      </c>
      <c r="FI175" s="59">
        <f t="shared" si="131"/>
        <v>839.50758322565912</v>
      </c>
      <c r="FJ175" s="59">
        <f ca="1">AVERAGE(OFFSET($FI$3,0,0,'Données projet'!$E$16+1,1))-AVERAGE(OFFSET($H$3,0,0,'Données projet'!$E$16+1,1))</f>
        <v>368.12945163484585</v>
      </c>
      <c r="FK175" s="59">
        <f t="shared" si="156"/>
        <v>357.27183934545121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8.5975244458190812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8.5975244458190812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69.239193653914597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69.239193653914597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3.0869565217391299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11.318840579710143</v>
      </c>
      <c r="H176" s="66">
        <f t="shared" si="110"/>
        <v>211.39130434782609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69.252391943111007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5.2499999999990337</v>
      </c>
      <c r="O176" s="13">
        <f>N176*VLOOKUP('Données projet'!$B$9,Paramètres!$A$1:$I$89,3,0)*VLOOKUP('Données projet'!$B$9,Paramètres!$A$1:$I$89,5,0)</f>
        <v>2.4569999999995478</v>
      </c>
      <c r="P176" s="13">
        <f t="shared" si="141"/>
        <v>1.0197977774625564</v>
      </c>
      <c r="Q176" s="20">
        <f t="shared" si="162"/>
        <v>6.0554227957464972</v>
      </c>
      <c r="R176" s="59">
        <f t="shared" si="109"/>
        <v>296.64752658715355</v>
      </c>
      <c r="S176" s="59">
        <f ca="1">AVERAGE(OFFSET($R$3,0,0,'Données projet'!$E$9+1,1))-AVERAGE(OFFSET($H$3,0,0,'Données projet'!$E$9+1,1))</f>
        <v>320.30433416149219</v>
      </c>
      <c r="T176" s="59">
        <f t="shared" si="142"/>
        <v>201.33422682092797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68.383799308420834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68.383799308420834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69.252391943111007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763.00000000000057</v>
      </c>
      <c r="AJ176" s="13">
        <f>AI176*VLOOKUP('Données projet'!$B$10,Paramètres!$A$1:$I$89,3,0)*VLOOKUP('Données projet'!$B$10,Paramètres!$A$1:$I$89,5,0)</f>
        <v>456.2740000000004</v>
      </c>
      <c r="AK176" s="13">
        <f t="shared" si="164"/>
        <v>103.09649786611838</v>
      </c>
      <c r="AL176" s="20">
        <f t="shared" si="165"/>
        <v>974.23695045015677</v>
      </c>
      <c r="AM176" s="59">
        <f t="shared" si="113"/>
        <v>1264.8290542415639</v>
      </c>
      <c r="AN176" s="59">
        <f ca="1">AVERAGE(OFFSET($AM$3,0,0,'Données projet'!$E$10+1,1))-AVERAGE(OFFSET($H$3,0,0,'Données projet'!$E$10+1,1))</f>
        <v>569.80473816957431</v>
      </c>
      <c r="AO176" s="59">
        <f t="shared" si="144"/>
        <v>495.56567790763199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16.871376727527686</v>
      </c>
      <c r="AV176" s="21">
        <f>EXP(-LN(2)/25)*AV175+(1-EXP(-LN(2)/25))/(LN(2)/25)*Calculateur!AQ176*Calculateur!AS176*VLOOKUP('Données projet'!$B$10,Paramètres!$A$1:$I$89,3,0)*0.475*44/12</f>
        <v>1.2411608870482906</v>
      </c>
      <c r="AW176" s="21">
        <f>EXP(-LN(2)/2)*AW175+(1-EXP(-LN(2)/2))/(LN(2)/2)*AQ176*AT176*VLOOKUP('Données projet'!$B$10,Paramètres!$A$1:$I$89,3,0)*0.475*44/12</f>
        <v>2.3522656165735383E-23</v>
      </c>
      <c r="AX176" s="21">
        <f t="shared" si="166"/>
        <v>18.112537614575977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69.252391943111007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-2.5006556825246661E-14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180.42749272334603</v>
      </c>
      <c r="BJ176" s="59">
        <f t="shared" si="146"/>
        <v>346.61476512497495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3.7660016222464749</v>
      </c>
      <c r="BQ176" s="21">
        <f>EXP(-LN(2)/25)*BQ175+(1-EXP(-LN(2)/25))/(LN(2)/25)*Calculateur!BL176*Calculateur!BN176*VLOOKUP('Données projet'!$B$11,Paramètres!$A$1:$I$89,3,0)*0.475*44/12</f>
        <v>0.31425676524301227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4.0802583874894873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69.252391943111007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19.8100000000004</v>
      </c>
      <c r="BZ176" s="13">
        <f>BY176*VLOOKUP('Données projet'!$B$12,Paramètres!$A$1:$I$89,3,0)*VLOOKUP('Données projet'!$B$12,Paramètres!$A$1:$I$89,5,0)</f>
        <v>17.924088000000364</v>
      </c>
      <c r="CA176" s="13">
        <f t="shared" si="170"/>
        <v>5.9032212091029486</v>
      </c>
      <c r="CB176" s="20">
        <f t="shared" si="171"/>
        <v>41.499230205854936</v>
      </c>
      <c r="CC176" s="59">
        <f t="shared" si="119"/>
        <v>332.09133399726198</v>
      </c>
      <c r="CD176" s="59">
        <f ca="1">AVERAGE(OFFSET($CC$3,0,0,'Données projet'!$E$12+1,1))-AVERAGE(OFFSET($H$3,0,0,'Données projet'!$E$12+1,1))</f>
        <v>553.16421218123958</v>
      </c>
      <c r="CE176" s="59">
        <f t="shared" si="148"/>
        <v>291.73668613844416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120.60732018502203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120.60732018502203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69.252391943111007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19.8100000000004</v>
      </c>
      <c r="CU176" s="17">
        <f>CT176*VLOOKUP('Données projet'!$B$13,Paramètres!$A$1:$I$89,3,0)*VLOOKUP('Données projet'!$B$13,Paramètres!$A$1:$I$89,5,0)</f>
        <v>20.08734000000041</v>
      </c>
      <c r="CV176" s="13">
        <f t="shared" si="173"/>
        <v>6.5285137703520215</v>
      </c>
      <c r="CW176" s="20">
        <f t="shared" si="174"/>
        <v>46.355945316697152</v>
      </c>
      <c r="CX176" s="59">
        <f t="shared" si="122"/>
        <v>336.94804910810421</v>
      </c>
      <c r="CY176" s="59">
        <f ca="1">AVERAGE(OFFSET($CX$3,0,0,'Données projet'!$E$13+1,1))-AVERAGE(OFFSET($H$3,0,0,'Données projet'!$E$13+1,1))</f>
        <v>611.82989382187804</v>
      </c>
      <c r="CZ176" s="59">
        <f t="shared" si="150"/>
        <v>320.34124600136363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135.16337606942128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135.16337606942128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69.252391943111007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19.8100000000004</v>
      </c>
      <c r="DP176" s="17">
        <f>DO176*VLOOKUP('Données projet'!$B$14,Paramètres!$A$1:$I$89,3,0)*VLOOKUP('Données projet'!$B$14,Paramètres!$A$1:$I$89,5,0)</f>
        <v>21.323484000000427</v>
      </c>
      <c r="DQ176" s="13">
        <f t="shared" si="176"/>
        <v>6.88226100850307</v>
      </c>
      <c r="DR176" s="20">
        <f t="shared" si="177"/>
        <v>49.125005889810261</v>
      </c>
      <c r="DS176" s="59">
        <f t="shared" si="125"/>
        <v>339.71710968121732</v>
      </c>
      <c r="DT176" s="59">
        <f ca="1">AVERAGE(OFFSET($DS$3,0,0,'Données projet'!$E$14+1,1))-AVERAGE(OFFSET($H$3,0,0,'Données projet'!$E$14+1,1))</f>
        <v>645.29541304800614</v>
      </c>
      <c r="DU176" s="59">
        <f t="shared" si="152"/>
        <v>336.65580771733323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143.48112228907789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143.48112228907789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69.252391943111007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319</v>
      </c>
      <c r="EK176" s="17">
        <f>EJ176*VLOOKUP('Données projet'!$B$15,Paramètres!$A$1:$I$89,3,0)*VLOOKUP('Données projet'!$B$15,Paramètres!$A$1:$I$89,5,0)</f>
        <v>233.89079999999998</v>
      </c>
      <c r="EL176" s="13">
        <f t="shared" si="179"/>
        <v>57.123140349023068</v>
      </c>
      <c r="EM176" s="20">
        <f t="shared" si="180"/>
        <v>506.84927944121517</v>
      </c>
      <c r="EN176" s="59">
        <f t="shared" si="128"/>
        <v>797.44138323262223</v>
      </c>
      <c r="EO176" s="59">
        <f ca="1">AVERAGE(OFFSET($EN$3,0,0,'Données projet'!$E$15+1,1))-AVERAGE(OFFSET($H$3,0,0,'Données projet'!$E$15+1,1))</f>
        <v>343.31122043016137</v>
      </c>
      <c r="EP176" s="59">
        <f t="shared" si="154"/>
        <v>333.61098411258877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6.302209414635942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6.302209414635942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69.252391943111007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319</v>
      </c>
      <c r="FF176" s="17">
        <f>FE176*VLOOKUP('Données projet'!$B$16,Paramètres!$A$1:$I$89,3,0)*VLOOKUP('Données projet'!$B$16,Paramètres!$A$1:$I$89,5,0)</f>
        <v>253.79640000000001</v>
      </c>
      <c r="FG176" s="13">
        <f t="shared" si="182"/>
        <v>61.39816832228076</v>
      </c>
      <c r="FH176" s="20">
        <f t="shared" si="183"/>
        <v>548.96387316130563</v>
      </c>
      <c r="FI176" s="59">
        <f t="shared" si="131"/>
        <v>839.55597695271263</v>
      </c>
      <c r="FJ176" s="59">
        <f ca="1">AVERAGE(OFFSET($FI$3,0,0,'Données projet'!$E$16+1,1))-AVERAGE(OFFSET($H$3,0,0,'Données projet'!$E$16+1,1))</f>
        <v>368.12945163484585</v>
      </c>
      <c r="FK176" s="59">
        <f t="shared" si="156"/>
        <v>357.27183934545121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8.4289322354086824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8.4289322354086824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69.252391943111007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69.252391943111007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3.0869565217391299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11.318840579710143</v>
      </c>
      <c r="H177" s="66">
        <f t="shared" si="110"/>
        <v>211.39130434782609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69.265361271496801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5.2499999999990337</v>
      </c>
      <c r="O177" s="13">
        <f>N177*VLOOKUP('Données projet'!$B$9,Paramètres!$A$1:$I$89,3,0)*VLOOKUP('Données projet'!$B$9,Paramètres!$A$1:$I$89,5,0)</f>
        <v>2.4569999999995478</v>
      </c>
      <c r="P177" s="13">
        <f t="shared" si="141"/>
        <v>1.0197977774625564</v>
      </c>
      <c r="Q177" s="20">
        <f t="shared" si="162"/>
        <v>6.0554227957464972</v>
      </c>
      <c r="R177" s="59">
        <f t="shared" si="109"/>
        <v>296.69508079123477</v>
      </c>
      <c r="S177" s="59">
        <f ca="1">AVERAGE(OFFSET($R$3,0,0,'Données projet'!$E$9+1,1))-AVERAGE(OFFSET($H$3,0,0,'Données projet'!$E$9+1,1))</f>
        <v>320.30433416149219</v>
      </c>
      <c r="T177" s="59">
        <f t="shared" si="142"/>
        <v>201.33422682092797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67.042834713981762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67.042834713981762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69.265361271496801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763.00000000000057</v>
      </c>
      <c r="AJ177" s="13">
        <f>AI177*VLOOKUP('Données projet'!$B$10,Paramètres!$A$1:$I$89,3,0)*VLOOKUP('Données projet'!$B$10,Paramètres!$A$1:$I$89,5,0)</f>
        <v>456.2740000000004</v>
      </c>
      <c r="AK177" s="13">
        <f t="shared" si="164"/>
        <v>103.09649786611838</v>
      </c>
      <c r="AL177" s="20">
        <f t="shared" si="165"/>
        <v>974.23695045015677</v>
      </c>
      <c r="AM177" s="59">
        <f t="shared" si="113"/>
        <v>1264.8766084456452</v>
      </c>
      <c r="AN177" s="59">
        <f ca="1">AVERAGE(OFFSET($AM$3,0,0,'Données projet'!$E$10+1,1))-AVERAGE(OFFSET($H$3,0,0,'Données projet'!$E$10+1,1))</f>
        <v>569.80473816957431</v>
      </c>
      <c r="AO177" s="59">
        <f t="shared" si="144"/>
        <v>495.56567790763199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16.540539320424568</v>
      </c>
      <c r="AV177" s="21">
        <f>EXP(-LN(2)/25)*AV176+(1-EXP(-LN(2)/25))/(LN(2)/25)*Calculateur!AQ177*Calculateur!AS177*VLOOKUP('Données projet'!$B$10,Paramètres!$A$1:$I$89,3,0)*0.475*44/12</f>
        <v>1.2072212773221407</v>
      </c>
      <c r="AW177" s="21">
        <f>EXP(-LN(2)/2)*AW176+(1-EXP(-LN(2)/2))/(LN(2)/2)*AQ177*AT177*VLOOKUP('Données projet'!$B$10,Paramètres!$A$1:$I$89,3,0)*0.475*44/12</f>
        <v>1.6633029686311042E-23</v>
      </c>
      <c r="AX177" s="21">
        <f t="shared" si="166"/>
        <v>17.747760597746709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69.265361271496801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-2.5006556825246661E-14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180.42749272334603</v>
      </c>
      <c r="BJ177" s="59">
        <f t="shared" si="146"/>
        <v>346.61476512497495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3.6921526274683978</v>
      </c>
      <c r="BQ177" s="21">
        <f>EXP(-LN(2)/25)*BQ176+(1-EXP(-LN(2)/25))/(LN(2)/25)*Calculateur!BL177*Calculateur!BN177*VLOOKUP('Données projet'!$B$11,Paramètres!$A$1:$I$89,3,0)*0.475*44/12</f>
        <v>0.30566339747139704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3.9978160249397949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69.265361271496801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19.8100000000004</v>
      </c>
      <c r="BZ177" s="13">
        <f>BY177*VLOOKUP('Données projet'!$B$12,Paramètres!$A$1:$I$89,3,0)*VLOOKUP('Données projet'!$B$12,Paramètres!$A$1:$I$89,5,0)</f>
        <v>17.924088000000364</v>
      </c>
      <c r="CA177" s="13">
        <f t="shared" si="170"/>
        <v>5.9032212091029486</v>
      </c>
      <c r="CB177" s="20">
        <f t="shared" si="171"/>
        <v>41.499230205854936</v>
      </c>
      <c r="CC177" s="59">
        <f t="shared" si="119"/>
        <v>332.13888820134321</v>
      </c>
      <c r="CD177" s="59">
        <f ca="1">AVERAGE(OFFSET($CC$3,0,0,'Données projet'!$E$12+1,1))-AVERAGE(OFFSET($H$3,0,0,'Données projet'!$E$12+1,1))</f>
        <v>553.16421218123958</v>
      </c>
      <c r="CE177" s="59">
        <f t="shared" si="148"/>
        <v>291.73668613844416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118.2422841993953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118.2422841993953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69.265361271496801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19.8100000000004</v>
      </c>
      <c r="CU177" s="17">
        <f>CT177*VLOOKUP('Données projet'!$B$13,Paramètres!$A$1:$I$89,3,0)*VLOOKUP('Données projet'!$B$13,Paramètres!$A$1:$I$89,5,0)</f>
        <v>20.08734000000041</v>
      </c>
      <c r="CV177" s="13">
        <f t="shared" si="173"/>
        <v>6.5285137703520215</v>
      </c>
      <c r="CW177" s="20">
        <f t="shared" si="174"/>
        <v>46.355945316697152</v>
      </c>
      <c r="CX177" s="59">
        <f t="shared" si="122"/>
        <v>336.99560331218544</v>
      </c>
      <c r="CY177" s="59">
        <f ca="1">AVERAGE(OFFSET($CX$3,0,0,'Données projet'!$E$13+1,1))-AVERAGE(OFFSET($H$3,0,0,'Données projet'!$E$13+1,1))</f>
        <v>611.82989382187804</v>
      </c>
      <c r="CZ177" s="59">
        <f t="shared" si="150"/>
        <v>320.34124600136363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132.5129047062189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132.5129047062189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69.265361271496801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19.8100000000004</v>
      </c>
      <c r="DP177" s="17">
        <f>DO177*VLOOKUP('Données projet'!$B$14,Paramètres!$A$1:$I$89,3,0)*VLOOKUP('Données projet'!$B$14,Paramètres!$A$1:$I$89,5,0)</f>
        <v>21.323484000000427</v>
      </c>
      <c r="DQ177" s="13">
        <f t="shared" si="176"/>
        <v>6.88226100850307</v>
      </c>
      <c r="DR177" s="20">
        <f t="shared" si="177"/>
        <v>49.125005889810261</v>
      </c>
      <c r="DS177" s="59">
        <f t="shared" si="125"/>
        <v>339.76466388529855</v>
      </c>
      <c r="DT177" s="59">
        <f ca="1">AVERAGE(OFFSET($DS$3,0,0,'Données projet'!$E$14+1,1))-AVERAGE(OFFSET($H$3,0,0,'Données projet'!$E$14+1,1))</f>
        <v>645.29541304800614</v>
      </c>
      <c r="DU177" s="59">
        <f t="shared" si="152"/>
        <v>336.65580771733323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140.66754499583229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140.66754499583229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69.265361271496801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319</v>
      </c>
      <c r="EK177" s="17">
        <f>EJ177*VLOOKUP('Données projet'!$B$15,Paramètres!$A$1:$I$89,3,0)*VLOOKUP('Données projet'!$B$15,Paramètres!$A$1:$I$89,5,0)</f>
        <v>233.89079999999998</v>
      </c>
      <c r="EL177" s="13">
        <f t="shared" si="179"/>
        <v>57.123140349023068</v>
      </c>
      <c r="EM177" s="20">
        <f t="shared" si="180"/>
        <v>506.84927944121517</v>
      </c>
      <c r="EN177" s="59">
        <f t="shared" si="128"/>
        <v>797.48893743670351</v>
      </c>
      <c r="EO177" s="59">
        <f ca="1">AVERAGE(OFFSET($EN$3,0,0,'Données projet'!$E$15+1,1))-AVERAGE(OFFSET($H$3,0,0,'Données projet'!$E$15+1,1))</f>
        <v>343.31122043016137</v>
      </c>
      <c r="EP177" s="59">
        <f t="shared" si="154"/>
        <v>333.61098411258877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6.1786269319831142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6.1786269319831142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69.265361271496801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319</v>
      </c>
      <c r="FF177" s="17">
        <f>FE177*VLOOKUP('Données projet'!$B$16,Paramètres!$A$1:$I$89,3,0)*VLOOKUP('Données projet'!$B$16,Paramètres!$A$1:$I$89,5,0)</f>
        <v>253.79640000000001</v>
      </c>
      <c r="FG177" s="13">
        <f t="shared" si="182"/>
        <v>61.39816832228076</v>
      </c>
      <c r="FH177" s="20">
        <f t="shared" si="183"/>
        <v>548.96387316130563</v>
      </c>
      <c r="FI177" s="59">
        <f t="shared" si="131"/>
        <v>839.60353115679391</v>
      </c>
      <c r="FJ177" s="59">
        <f ca="1">AVERAGE(OFFSET($FI$3,0,0,'Données projet'!$E$16+1,1))-AVERAGE(OFFSET($H$3,0,0,'Données projet'!$E$16+1,1))</f>
        <v>368.12945163484585</v>
      </c>
      <c r="FK177" s="59">
        <f t="shared" si="156"/>
        <v>357.27183934545121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8.263646015413336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8.263646015413336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69.265361271496801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69.265361271496801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3.0869565217391299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11.318840579710143</v>
      </c>
      <c r="H178" s="66">
        <f t="shared" si="110"/>
        <v>211.39130434782609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69.278105611030185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5.2499999999990337</v>
      </c>
      <c r="O178" s="13">
        <f>N178*VLOOKUP('Données projet'!$B$9,Paramètres!$A$1:$I$89,3,0)*VLOOKUP('Données projet'!$B$9,Paramètres!$A$1:$I$89,5,0)</f>
        <v>2.4569999999995478</v>
      </c>
      <c r="P178" s="13">
        <f t="shared" si="141"/>
        <v>1.0197977774625564</v>
      </c>
      <c r="Q178" s="20">
        <f t="shared" si="162"/>
        <v>6.0554227957464972</v>
      </c>
      <c r="R178" s="59">
        <f t="shared" si="109"/>
        <v>296.74181003619049</v>
      </c>
      <c r="S178" s="59">
        <f ca="1">AVERAGE(OFFSET($R$3,0,0,'Données projet'!$E$9+1,1))-AVERAGE(OFFSET($H$3,0,0,'Données projet'!$E$9+1,1))</f>
        <v>320.30433416149219</v>
      </c>
      <c r="T178" s="59">
        <f t="shared" si="142"/>
        <v>201.33422682092797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65.728165617331996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65.728165617331996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69.278105611030185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763.00000000000057</v>
      </c>
      <c r="AJ178" s="13">
        <f>AI178*VLOOKUP('Données projet'!$B$10,Paramètres!$A$1:$I$89,3,0)*VLOOKUP('Données projet'!$B$10,Paramètres!$A$1:$I$89,5,0)</f>
        <v>456.2740000000004</v>
      </c>
      <c r="AK178" s="13">
        <f t="shared" si="164"/>
        <v>103.09649786611838</v>
      </c>
      <c r="AL178" s="20">
        <f t="shared" si="165"/>
        <v>974.23695045015677</v>
      </c>
      <c r="AM178" s="59">
        <f t="shared" si="113"/>
        <v>1264.9233376906009</v>
      </c>
      <c r="AN178" s="59">
        <f ca="1">AVERAGE(OFFSET($AM$3,0,0,'Données projet'!$E$10+1,1))-AVERAGE(OFFSET($H$3,0,0,'Données projet'!$E$10+1,1))</f>
        <v>569.80473816957431</v>
      </c>
      <c r="AO178" s="59">
        <f t="shared" si="144"/>
        <v>495.56567790763199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16.216189433083848</v>
      </c>
      <c r="AV178" s="21">
        <f>EXP(-LN(2)/25)*AV177+(1-EXP(-LN(2)/25))/(LN(2)/25)*Calculateur!AQ178*Calculateur!AS178*VLOOKUP('Données projet'!$B$10,Paramètres!$A$1:$I$89,3,0)*0.475*44/12</f>
        <v>1.174209748008759</v>
      </c>
      <c r="AW178" s="21">
        <f>EXP(-LN(2)/2)*AW177+(1-EXP(-LN(2)/2))/(LN(2)/2)*AQ178*AT178*VLOOKUP('Données projet'!$B$10,Paramètres!$A$1:$I$89,3,0)*0.475*44/12</f>
        <v>1.1761328082867691E-23</v>
      </c>
      <c r="AX178" s="21">
        <f t="shared" si="166"/>
        <v>17.390399181092608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69.278105611030185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-2.5006556825246661E-14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180.42749272334603</v>
      </c>
      <c r="BJ178" s="59">
        <f t="shared" si="146"/>
        <v>346.61476512497495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3.6197517664344798</v>
      </c>
      <c r="BQ178" s="21">
        <f>EXP(-LN(2)/25)*BQ177+(1-EXP(-LN(2)/25))/(LN(2)/25)*Calculateur!BL178*Calculateur!BN178*VLOOKUP('Données projet'!$B$11,Paramètres!$A$1:$I$89,3,0)*0.475*44/12</f>
        <v>0.29730501579340224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3.9170567822278821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69.278105611030185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19.8100000000004</v>
      </c>
      <c r="BZ178" s="13">
        <f>BY178*VLOOKUP('Données projet'!$B$12,Paramètres!$A$1:$I$89,3,0)*VLOOKUP('Données projet'!$B$12,Paramètres!$A$1:$I$89,5,0)</f>
        <v>17.924088000000364</v>
      </c>
      <c r="CA178" s="13">
        <f t="shared" si="170"/>
        <v>5.9032212091029486</v>
      </c>
      <c r="CB178" s="20">
        <f t="shared" si="171"/>
        <v>41.499230205854936</v>
      </c>
      <c r="CC178" s="59">
        <f t="shared" si="119"/>
        <v>332.18561744629892</v>
      </c>
      <c r="CD178" s="59">
        <f ca="1">AVERAGE(OFFSET($CC$3,0,0,'Données projet'!$E$12+1,1))-AVERAGE(OFFSET($H$3,0,0,'Données projet'!$E$12+1,1))</f>
        <v>553.16421218123958</v>
      </c>
      <c r="CE178" s="59">
        <f t="shared" si="148"/>
        <v>291.73668613844416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115.9236251269172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115.9236251269172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69.278105611030185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19.8100000000004</v>
      </c>
      <c r="CU178" s="17">
        <f>CT178*VLOOKUP('Données projet'!$B$13,Paramètres!$A$1:$I$89,3,0)*VLOOKUP('Données projet'!$B$13,Paramètres!$A$1:$I$89,5,0)</f>
        <v>20.08734000000041</v>
      </c>
      <c r="CV178" s="13">
        <f t="shared" si="173"/>
        <v>6.5285137703520215</v>
      </c>
      <c r="CW178" s="20">
        <f t="shared" si="174"/>
        <v>46.355945316697152</v>
      </c>
      <c r="CX178" s="59">
        <f t="shared" si="122"/>
        <v>337.04233255714115</v>
      </c>
      <c r="CY178" s="59">
        <f ca="1">AVERAGE(OFFSET($CX$3,0,0,'Données projet'!$E$13+1,1))-AVERAGE(OFFSET($H$3,0,0,'Données projet'!$E$13+1,1))</f>
        <v>611.82989382187804</v>
      </c>
      <c r="CZ178" s="59">
        <f t="shared" si="150"/>
        <v>320.34124600136363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129.91440746982101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129.91440746982101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69.278105611030185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19.8100000000004</v>
      </c>
      <c r="DP178" s="17">
        <f>DO178*VLOOKUP('Données projet'!$B$14,Paramètres!$A$1:$I$89,3,0)*VLOOKUP('Données projet'!$B$14,Paramètres!$A$1:$I$89,5,0)</f>
        <v>21.323484000000427</v>
      </c>
      <c r="DQ178" s="13">
        <f t="shared" si="176"/>
        <v>6.88226100850307</v>
      </c>
      <c r="DR178" s="20">
        <f t="shared" si="177"/>
        <v>49.125005889810261</v>
      </c>
      <c r="DS178" s="59">
        <f t="shared" si="125"/>
        <v>339.81139313025426</v>
      </c>
      <c r="DT178" s="59">
        <f ca="1">AVERAGE(OFFSET($DS$3,0,0,'Données projet'!$E$14+1,1))-AVERAGE(OFFSET($H$3,0,0,'Données projet'!$E$14+1,1))</f>
        <v>645.29541304800614</v>
      </c>
      <c r="DU178" s="59">
        <f t="shared" si="152"/>
        <v>336.65580771733323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137.90914023719455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137.90914023719455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69.278105611030185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319</v>
      </c>
      <c r="EK178" s="17">
        <f>EJ178*VLOOKUP('Données projet'!$B$15,Paramètres!$A$1:$I$89,3,0)*VLOOKUP('Données projet'!$B$15,Paramètres!$A$1:$I$89,5,0)</f>
        <v>233.89079999999998</v>
      </c>
      <c r="EL178" s="13">
        <f t="shared" si="179"/>
        <v>57.123140349023068</v>
      </c>
      <c r="EM178" s="20">
        <f t="shared" si="180"/>
        <v>506.84927944121517</v>
      </c>
      <c r="EN178" s="59">
        <f t="shared" si="128"/>
        <v>797.53566668165922</v>
      </c>
      <c r="EO178" s="59">
        <f ca="1">AVERAGE(OFFSET($EN$3,0,0,'Données projet'!$E$15+1,1))-AVERAGE(OFFSET($H$3,0,0,'Données projet'!$E$15+1,1))</f>
        <v>343.31122043016137</v>
      </c>
      <c r="EP178" s="59">
        <f t="shared" si="154"/>
        <v>333.61098411258877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6.0574678264372368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6.0574678264372368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69.278105611030185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319</v>
      </c>
      <c r="FF178" s="17">
        <f>FE178*VLOOKUP('Données projet'!$B$16,Paramètres!$A$1:$I$89,3,0)*VLOOKUP('Données projet'!$B$16,Paramètres!$A$1:$I$89,5,0)</f>
        <v>253.79640000000001</v>
      </c>
      <c r="FG178" s="13">
        <f t="shared" si="182"/>
        <v>61.39816832228076</v>
      </c>
      <c r="FH178" s="20">
        <f t="shared" si="183"/>
        <v>548.96387316130563</v>
      </c>
      <c r="FI178" s="59">
        <f t="shared" si="131"/>
        <v>839.65026040174962</v>
      </c>
      <c r="FJ178" s="59">
        <f ca="1">AVERAGE(OFFSET($FI$3,0,0,'Données projet'!$E$16+1,1))-AVERAGE(OFFSET($H$3,0,0,'Données projet'!$E$16+1,1))</f>
        <v>368.12945163484585</v>
      </c>
      <c r="FK178" s="59">
        <f t="shared" si="156"/>
        <v>357.27183934545121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8.1016009573774586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8.1016009573774586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69.278105611030185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69.278105611030185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3.0869565217391299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11.318840579710143</v>
      </c>
      <c r="H179" s="66">
        <f t="shared" si="110"/>
        <v>211.39130434782609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69.290628864764741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5.2499999999990337</v>
      </c>
      <c r="O179" s="13">
        <f>N179*VLOOKUP('Données projet'!$B$9,Paramètres!$A$1:$I$89,3,0)*VLOOKUP('Données projet'!$B$9,Paramètres!$A$1:$I$89,5,0)</f>
        <v>2.4569999999995478</v>
      </c>
      <c r="P179" s="13">
        <f t="shared" si="141"/>
        <v>1.0197977774625564</v>
      </c>
      <c r="Q179" s="20">
        <f t="shared" si="162"/>
        <v>6.0554227957464972</v>
      </c>
      <c r="R179" s="59">
        <f t="shared" si="109"/>
        <v>296.78772863321723</v>
      </c>
      <c r="S179" s="59">
        <f ca="1">AVERAGE(OFFSET($R$3,0,0,'Données projet'!$E$9+1,1))-AVERAGE(OFFSET($H$3,0,0,'Données projet'!$E$9+1,1))</f>
        <v>320.30433416149219</v>
      </c>
      <c r="T179" s="59">
        <f t="shared" si="142"/>
        <v>201.33422682092797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64.439276379798557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64.439276379798557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69.290628864764741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763.00000000000057</v>
      </c>
      <c r="AJ179" s="13">
        <f>AI179*VLOOKUP('Données projet'!$B$10,Paramètres!$A$1:$I$89,3,0)*VLOOKUP('Données projet'!$B$10,Paramètres!$A$1:$I$89,5,0)</f>
        <v>456.2740000000004</v>
      </c>
      <c r="AK179" s="13">
        <f t="shared" si="164"/>
        <v>103.09649786611838</v>
      </c>
      <c r="AL179" s="20">
        <f t="shared" si="165"/>
        <v>974.23695045015677</v>
      </c>
      <c r="AM179" s="59">
        <f t="shared" si="113"/>
        <v>1264.9692562876276</v>
      </c>
      <c r="AN179" s="59">
        <f ca="1">AVERAGE(OFFSET($AM$3,0,0,'Données projet'!$E$10+1,1))-AVERAGE(OFFSET($H$3,0,0,'Données projet'!$E$10+1,1))</f>
        <v>569.80473816957431</v>
      </c>
      <c r="AO179" s="59">
        <f t="shared" si="144"/>
        <v>495.56567790763199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15.898199849199983</v>
      </c>
      <c r="AV179" s="21">
        <f>EXP(-LN(2)/25)*AV178+(1-EXP(-LN(2)/25))/(LN(2)/25)*Calculateur!AQ179*Calculateur!AS179*VLOOKUP('Données projet'!$B$10,Paramètres!$A$1:$I$89,3,0)*0.475*44/12</f>
        <v>1.1421009207004524</v>
      </c>
      <c r="AW179" s="21">
        <f>EXP(-LN(2)/2)*AW178+(1-EXP(-LN(2)/2))/(LN(2)/2)*AQ179*AT179*VLOOKUP('Données projet'!$B$10,Paramètres!$A$1:$I$89,3,0)*0.475*44/12</f>
        <v>8.316514843155521E-24</v>
      </c>
      <c r="AX179" s="21">
        <f t="shared" si="166"/>
        <v>17.040300769900437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69.290628864764741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-2.5006556825246661E-14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180.42749272334603</v>
      </c>
      <c r="BJ179" s="59">
        <f t="shared" si="146"/>
        <v>346.61476512497495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3.5487706421252718</v>
      </c>
      <c r="BQ179" s="21">
        <f>EXP(-LN(2)/25)*BQ178+(1-EXP(-LN(2)/25))/(LN(2)/25)*Calculateur!BL179*Calculateur!BN179*VLOOKUP('Données projet'!$B$11,Paramètres!$A$1:$I$89,3,0)*0.475*44/12</f>
        <v>0.28917519450194035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3.8379458366272123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69.290628864764741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19.8100000000004</v>
      </c>
      <c r="BZ179" s="13">
        <f>BY179*VLOOKUP('Données projet'!$B$12,Paramètres!$A$1:$I$89,3,0)*VLOOKUP('Données projet'!$B$12,Paramètres!$A$1:$I$89,5,0)</f>
        <v>17.924088000000364</v>
      </c>
      <c r="CA179" s="13">
        <f t="shared" si="170"/>
        <v>5.9032212091029486</v>
      </c>
      <c r="CB179" s="20">
        <f t="shared" si="171"/>
        <v>41.499230205854936</v>
      </c>
      <c r="CC179" s="59">
        <f t="shared" si="119"/>
        <v>332.23153604332566</v>
      </c>
      <c r="CD179" s="59">
        <f ca="1">AVERAGE(OFFSET($CC$3,0,0,'Données projet'!$E$12+1,1))-AVERAGE(OFFSET($H$3,0,0,'Données projet'!$E$12+1,1))</f>
        <v>553.16421218123958</v>
      </c>
      <c r="CE179" s="59">
        <f t="shared" si="148"/>
        <v>291.73668613844416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113.65043354460801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113.65043354460801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69.290628864764741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19.8100000000004</v>
      </c>
      <c r="CU179" s="17">
        <f>CT179*VLOOKUP('Données projet'!$B$13,Paramètres!$A$1:$I$89,3,0)*VLOOKUP('Données projet'!$B$13,Paramètres!$A$1:$I$89,5,0)</f>
        <v>20.08734000000041</v>
      </c>
      <c r="CV179" s="13">
        <f t="shared" si="173"/>
        <v>6.5285137703520215</v>
      </c>
      <c r="CW179" s="20">
        <f t="shared" si="174"/>
        <v>46.355945316697152</v>
      </c>
      <c r="CX179" s="59">
        <f t="shared" si="122"/>
        <v>337.08825115416789</v>
      </c>
      <c r="CY179" s="59">
        <f ca="1">AVERAGE(OFFSET($CX$3,0,0,'Données projet'!$E$13+1,1))-AVERAGE(OFFSET($H$3,0,0,'Données projet'!$E$13+1,1))</f>
        <v>611.82989382187804</v>
      </c>
      <c r="CZ179" s="59">
        <f t="shared" si="150"/>
        <v>320.34124600136363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127.36686517930208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127.36686517930208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69.290628864764741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19.8100000000004</v>
      </c>
      <c r="DP179" s="17">
        <f>DO179*VLOOKUP('Données projet'!$B$14,Paramètres!$A$1:$I$89,3,0)*VLOOKUP('Données projet'!$B$14,Paramètres!$A$1:$I$89,5,0)</f>
        <v>21.323484000000427</v>
      </c>
      <c r="DQ179" s="13">
        <f t="shared" si="176"/>
        <v>6.88226100850307</v>
      </c>
      <c r="DR179" s="20">
        <f t="shared" si="177"/>
        <v>49.125005889810261</v>
      </c>
      <c r="DS179" s="59">
        <f t="shared" si="125"/>
        <v>339.857311727281</v>
      </c>
      <c r="DT179" s="59">
        <f ca="1">AVERAGE(OFFSET($DS$3,0,0,'Données projet'!$E$14+1,1))-AVERAGE(OFFSET($H$3,0,0,'Données projet'!$E$14+1,1))</f>
        <v>645.29541304800614</v>
      </c>
      <c r="DU179" s="59">
        <f t="shared" si="152"/>
        <v>336.65580771733323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135.20482611341291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135.20482611341291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69.290628864764741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319</v>
      </c>
      <c r="EK179" s="17">
        <f>EJ179*VLOOKUP('Données projet'!$B$15,Paramètres!$A$1:$I$89,3,0)*VLOOKUP('Données projet'!$B$15,Paramètres!$A$1:$I$89,5,0)</f>
        <v>233.89079999999998</v>
      </c>
      <c r="EL179" s="13">
        <f t="shared" si="179"/>
        <v>57.123140349023068</v>
      </c>
      <c r="EM179" s="20">
        <f t="shared" si="180"/>
        <v>506.84927944121517</v>
      </c>
      <c r="EN179" s="59">
        <f t="shared" si="128"/>
        <v>797.58158527868591</v>
      </c>
      <c r="EO179" s="59">
        <f ca="1">AVERAGE(OFFSET($EN$3,0,0,'Données projet'!$E$15+1,1))-AVERAGE(OFFSET($H$3,0,0,'Données projet'!$E$15+1,1))</f>
        <v>343.31122043016137</v>
      </c>
      <c r="EP179" s="59">
        <f t="shared" si="154"/>
        <v>333.61098411258877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5.9386845770513563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5.9386845770513563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69.290628864764741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319</v>
      </c>
      <c r="FF179" s="17">
        <f>FE179*VLOOKUP('Données projet'!$B$16,Paramètres!$A$1:$I$89,3,0)*VLOOKUP('Données projet'!$B$16,Paramètres!$A$1:$I$89,5,0)</f>
        <v>253.79640000000001</v>
      </c>
      <c r="FG179" s="13">
        <f t="shared" si="182"/>
        <v>61.39816832228076</v>
      </c>
      <c r="FH179" s="20">
        <f t="shared" si="183"/>
        <v>548.96387316130563</v>
      </c>
      <c r="FI179" s="59">
        <f t="shared" si="131"/>
        <v>839.6961789987763</v>
      </c>
      <c r="FJ179" s="59">
        <f ca="1">AVERAGE(OFFSET($FI$3,0,0,'Données projet'!$E$16+1,1))-AVERAGE(OFFSET($H$3,0,0,'Données projet'!$E$16+1,1))</f>
        <v>368.12945163484585</v>
      </c>
      <c r="FK179" s="59">
        <f t="shared" si="156"/>
        <v>357.27183934545121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7.9427335040919393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7.9427335040919393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69.290628864764741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69.290628864764741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3.0869565217391299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11.318840579710143</v>
      </c>
      <c r="H180" s="66">
        <f t="shared" si="110"/>
        <v>211.39130434782609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69.302934868044801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5.2499999999990337</v>
      </c>
      <c r="O180" s="13">
        <f>N180*VLOOKUP('Données projet'!$B$9,Paramètres!$A$1:$I$89,3,0)*VLOOKUP('Données projet'!$B$9,Paramètres!$A$1:$I$89,5,0)</f>
        <v>2.4569999999995478</v>
      </c>
      <c r="P180" s="13">
        <f t="shared" si="141"/>
        <v>1.0197977774625564</v>
      </c>
      <c r="Q180" s="20">
        <f t="shared" si="162"/>
        <v>6.0554227957464972</v>
      </c>
      <c r="R180" s="59">
        <f t="shared" si="109"/>
        <v>296.83285064524409</v>
      </c>
      <c r="S180" s="59">
        <f ca="1">AVERAGE(OFFSET($R$3,0,0,'Données projet'!$E$9+1,1))-AVERAGE(OFFSET($H$3,0,0,'Données projet'!$E$9+1,1))</f>
        <v>320.30433416149219</v>
      </c>
      <c r="T180" s="59">
        <f t="shared" si="142"/>
        <v>201.33422682092797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63.175661474068342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63.175661474068342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69.302934868044801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763.00000000000057</v>
      </c>
      <c r="AJ180" s="13">
        <f>AI180*VLOOKUP('Données projet'!$B$10,Paramètres!$A$1:$I$89,3,0)*VLOOKUP('Données projet'!$B$10,Paramètres!$A$1:$I$89,5,0)</f>
        <v>456.2740000000004</v>
      </c>
      <c r="AK180" s="13">
        <f t="shared" si="164"/>
        <v>103.09649786611838</v>
      </c>
      <c r="AL180" s="20">
        <f t="shared" si="165"/>
        <v>974.23695045015677</v>
      </c>
      <c r="AM180" s="59">
        <f t="shared" si="113"/>
        <v>1265.0143782996543</v>
      </c>
      <c r="AN180" s="59">
        <f ca="1">AVERAGE(OFFSET($AM$3,0,0,'Données projet'!$E$10+1,1))-AVERAGE(OFFSET($H$3,0,0,'Données projet'!$E$10+1,1))</f>
        <v>569.80473816957431</v>
      </c>
      <c r="AO180" s="59">
        <f t="shared" si="144"/>
        <v>495.56567790763199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15.586445847101587</v>
      </c>
      <c r="AV180" s="21">
        <f>EXP(-LN(2)/25)*AV179+(1-EXP(-LN(2)/25))/(LN(2)/25)*Calculateur!AQ180*Calculateur!AS180*VLOOKUP('Données projet'!$B$10,Paramètres!$A$1:$I$89,3,0)*0.475*44/12</f>
        <v>1.1108701109634214</v>
      </c>
      <c r="AW180" s="21">
        <f>EXP(-LN(2)/2)*AW179+(1-EXP(-LN(2)/2))/(LN(2)/2)*AQ180*AT180*VLOOKUP('Données projet'!$B$10,Paramètres!$A$1:$I$89,3,0)*0.475*44/12</f>
        <v>5.8806640414338457E-24</v>
      </c>
      <c r="AX180" s="21">
        <f t="shared" si="166"/>
        <v>16.697315958065008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69.302934868044801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-2.5006556825246661E-14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180.42749272334603</v>
      </c>
      <c r="BJ180" s="59">
        <f t="shared" si="146"/>
        <v>346.61476512497495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3.4791814143695565</v>
      </c>
      <c r="BQ180" s="21">
        <f>EXP(-LN(2)/25)*BQ179+(1-EXP(-LN(2)/25))/(LN(2)/25)*Calculateur!BL180*Calculateur!BN180*VLOOKUP('Données projet'!$B$11,Paramètres!$A$1:$I$89,3,0)*0.475*44/12</f>
        <v>0.28126768360122223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3.7604490979707785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69.302934868044801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19.8100000000004</v>
      </c>
      <c r="BZ180" s="13">
        <f>BY180*VLOOKUP('Données projet'!$B$12,Paramètres!$A$1:$I$89,3,0)*VLOOKUP('Données projet'!$B$12,Paramètres!$A$1:$I$89,5,0)</f>
        <v>17.924088000000364</v>
      </c>
      <c r="CA180" s="13">
        <f t="shared" si="170"/>
        <v>5.9032212091029486</v>
      </c>
      <c r="CB180" s="20">
        <f t="shared" si="171"/>
        <v>41.499230205854936</v>
      </c>
      <c r="CC180" s="59">
        <f t="shared" si="119"/>
        <v>332.27665805535253</v>
      </c>
      <c r="CD180" s="59">
        <f ca="1">AVERAGE(OFFSET($CC$3,0,0,'Données projet'!$E$12+1,1))-AVERAGE(OFFSET($H$3,0,0,'Données projet'!$E$12+1,1))</f>
        <v>553.16421218123958</v>
      </c>
      <c r="CE180" s="59">
        <f t="shared" si="148"/>
        <v>291.73668613844416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111.42181786271793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111.42181786271793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69.302934868044801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19.8100000000004</v>
      </c>
      <c r="CU180" s="17">
        <f>CT180*VLOOKUP('Données projet'!$B$13,Paramètres!$A$1:$I$89,3,0)*VLOOKUP('Données projet'!$B$13,Paramètres!$A$1:$I$89,5,0)</f>
        <v>20.08734000000041</v>
      </c>
      <c r="CV180" s="13">
        <f t="shared" si="173"/>
        <v>6.5285137703520215</v>
      </c>
      <c r="CW180" s="20">
        <f t="shared" si="174"/>
        <v>46.355945316697152</v>
      </c>
      <c r="CX180" s="59">
        <f t="shared" si="122"/>
        <v>337.13337316619476</v>
      </c>
      <c r="CY180" s="59">
        <f ca="1">AVERAGE(OFFSET($CX$3,0,0,'Données projet'!$E$13+1,1))-AVERAGE(OFFSET($H$3,0,0,'Données projet'!$E$13+1,1))</f>
        <v>611.82989382187804</v>
      </c>
      <c r="CZ180" s="59">
        <f t="shared" si="150"/>
        <v>320.34124600136363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124.86927863925285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124.86927863925285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69.302934868044801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19.8100000000004</v>
      </c>
      <c r="DP180" s="17">
        <f>DO180*VLOOKUP('Données projet'!$B$14,Paramètres!$A$1:$I$89,3,0)*VLOOKUP('Données projet'!$B$14,Paramètres!$A$1:$I$89,5,0)</f>
        <v>21.323484000000427</v>
      </c>
      <c r="DQ180" s="13">
        <f t="shared" si="176"/>
        <v>6.88226100850307</v>
      </c>
      <c r="DR180" s="20">
        <f t="shared" si="177"/>
        <v>49.125005889810261</v>
      </c>
      <c r="DS180" s="59">
        <f t="shared" si="125"/>
        <v>339.90243373930787</v>
      </c>
      <c r="DT180" s="59">
        <f ca="1">AVERAGE(OFFSET($DS$3,0,0,'Données projet'!$E$14+1,1))-AVERAGE(OFFSET($H$3,0,0,'Données projet'!$E$14+1,1))</f>
        <v>645.29541304800614</v>
      </c>
      <c r="DU180" s="59">
        <f t="shared" si="152"/>
        <v>336.65580771733323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132.55354194012989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132.55354194012989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69.302934868044801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319</v>
      </c>
      <c r="EK180" s="17">
        <f>EJ180*VLOOKUP('Données projet'!$B$15,Paramètres!$A$1:$I$89,3,0)*VLOOKUP('Données projet'!$B$15,Paramètres!$A$1:$I$89,5,0)</f>
        <v>233.89079999999998</v>
      </c>
      <c r="EL180" s="13">
        <f t="shared" si="179"/>
        <v>57.123140349023068</v>
      </c>
      <c r="EM180" s="20">
        <f t="shared" si="180"/>
        <v>506.84927944121517</v>
      </c>
      <c r="EN180" s="59">
        <f t="shared" si="128"/>
        <v>797.62670729071283</v>
      </c>
      <c r="EO180" s="59">
        <f ca="1">AVERAGE(OFFSET($EN$3,0,0,'Données projet'!$E$15+1,1))-AVERAGE(OFFSET($H$3,0,0,'Données projet'!$E$15+1,1))</f>
        <v>343.31122043016137</v>
      </c>
      <c r="EP180" s="59">
        <f t="shared" si="154"/>
        <v>333.61098411258877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5.8222305947353048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5.8222305947353048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69.302934868044801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319</v>
      </c>
      <c r="FF180" s="17">
        <f>FE180*VLOOKUP('Données projet'!$B$16,Paramètres!$A$1:$I$89,3,0)*VLOOKUP('Données projet'!$B$16,Paramètres!$A$1:$I$89,5,0)</f>
        <v>253.79640000000001</v>
      </c>
      <c r="FG180" s="13">
        <f t="shared" si="182"/>
        <v>61.39816832228076</v>
      </c>
      <c r="FH180" s="20">
        <f t="shared" si="183"/>
        <v>548.96387316130563</v>
      </c>
      <c r="FI180" s="59">
        <f t="shared" si="131"/>
        <v>839.74130101080323</v>
      </c>
      <c r="FJ180" s="59">
        <f ca="1">AVERAGE(OFFSET($FI$3,0,0,'Données projet'!$E$16+1,1))-AVERAGE(OFFSET($H$3,0,0,'Données projet'!$E$16+1,1))</f>
        <v>368.12945163484585</v>
      </c>
      <c r="FK180" s="59">
        <f t="shared" si="156"/>
        <v>357.27183934545121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7.7869813446657705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7.7869813446657705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69.302934868044801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69.302934868044801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3.0869565217391299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11.318840579710143</v>
      </c>
      <c r="H181" s="66">
        <f t="shared" si="110"/>
        <v>211.39130434782609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69.315027389680054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5.2499999999990337</v>
      </c>
      <c r="O181" s="13">
        <f>N181*VLOOKUP('Données projet'!$B$9,Paramètres!$A$1:$I$89,3,0)*VLOOKUP('Données projet'!$B$9,Paramètres!$A$1:$I$89,5,0)</f>
        <v>2.4569999999995478</v>
      </c>
      <c r="P181" s="13">
        <f t="shared" si="141"/>
        <v>1.0197977774625564</v>
      </c>
      <c r="Q181" s="20">
        <f t="shared" si="162"/>
        <v>6.0554227957464972</v>
      </c>
      <c r="R181" s="59">
        <f t="shared" si="109"/>
        <v>296.87718989123999</v>
      </c>
      <c r="S181" s="59">
        <f ca="1">AVERAGE(OFFSET($R$3,0,0,'Données projet'!$E$9+1,1))-AVERAGE(OFFSET($H$3,0,0,'Données projet'!$E$9+1,1))</f>
        <v>320.30433416149219</v>
      </c>
      <c r="T181" s="59">
        <f t="shared" si="142"/>
        <v>201.33422682092797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61.936825285910508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61.936825285910508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69.315027389680054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763.00000000000057</v>
      </c>
      <c r="AJ181" s="13">
        <f>AI181*VLOOKUP('Données projet'!$B$10,Paramètres!$A$1:$I$89,3,0)*VLOOKUP('Données projet'!$B$10,Paramètres!$A$1:$I$89,5,0)</f>
        <v>456.2740000000004</v>
      </c>
      <c r="AK181" s="13">
        <f t="shared" si="164"/>
        <v>103.09649786611838</v>
      </c>
      <c r="AL181" s="20">
        <f t="shared" si="165"/>
        <v>974.23695045015677</v>
      </c>
      <c r="AM181" s="59">
        <f t="shared" si="113"/>
        <v>1265.0587175456503</v>
      </c>
      <c r="AN181" s="59">
        <f ca="1">AVERAGE(OFFSET($AM$3,0,0,'Données projet'!$E$10+1,1))-AVERAGE(OFFSET($H$3,0,0,'Données projet'!$E$10+1,1))</f>
        <v>569.80473816957431</v>
      </c>
      <c r="AO181" s="59">
        <f t="shared" si="144"/>
        <v>495.56567790763199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15.280805150833173</v>
      </c>
      <c r="AV181" s="21">
        <f>EXP(-LN(2)/25)*AV180+(1-EXP(-LN(2)/25))/(LN(2)/25)*Calculateur!AQ181*Calculateur!AS181*VLOOKUP('Données projet'!$B$10,Paramètres!$A$1:$I$89,3,0)*0.475*44/12</f>
        <v>1.0804933093610063</v>
      </c>
      <c r="AW181" s="21">
        <f>EXP(-LN(2)/2)*AW180+(1-EXP(-LN(2)/2))/(LN(2)/2)*AQ181*AT181*VLOOKUP('Données projet'!$B$10,Paramètres!$A$1:$I$89,3,0)*0.475*44/12</f>
        <v>4.1582574215777605E-24</v>
      </c>
      <c r="AX181" s="21">
        <f t="shared" si="166"/>
        <v>16.361298460194178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69.315027389680054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-2.5006556825246661E-14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180.42749272334603</v>
      </c>
      <c r="BJ181" s="59">
        <f t="shared" si="146"/>
        <v>346.61476512497495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3.4109567889248931</v>
      </c>
      <c r="BQ181" s="21">
        <f>EXP(-LN(2)/25)*BQ180+(1-EXP(-LN(2)/25))/(LN(2)/25)*Calculateur!BL181*Calculateur!BN181*VLOOKUP('Données projet'!$B$11,Paramètres!$A$1:$I$89,3,0)*0.475*44/12</f>
        <v>0.27357640400192218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3.684533192926815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69.315027389680054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19.8100000000004</v>
      </c>
      <c r="BZ181" s="13">
        <f>BY181*VLOOKUP('Données projet'!$B$12,Paramètres!$A$1:$I$89,3,0)*VLOOKUP('Données projet'!$B$12,Paramètres!$A$1:$I$89,5,0)</f>
        <v>17.924088000000364</v>
      </c>
      <c r="CA181" s="13">
        <f t="shared" si="170"/>
        <v>5.9032212091029486</v>
      </c>
      <c r="CB181" s="20">
        <f t="shared" si="171"/>
        <v>41.499230205854936</v>
      </c>
      <c r="CC181" s="59">
        <f t="shared" si="119"/>
        <v>332.32099730134843</v>
      </c>
      <c r="CD181" s="59">
        <f ca="1">AVERAGE(OFFSET($CC$3,0,0,'Données projet'!$E$12+1,1))-AVERAGE(OFFSET($H$3,0,0,'Données projet'!$E$12+1,1))</f>
        <v>553.16421218123958</v>
      </c>
      <c r="CE181" s="59">
        <f t="shared" si="148"/>
        <v>291.73668613844416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109.23690397502837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109.23690397502837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69.315027389680054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19.8100000000004</v>
      </c>
      <c r="CU181" s="17">
        <f>CT181*VLOOKUP('Données projet'!$B$13,Paramètres!$A$1:$I$89,3,0)*VLOOKUP('Données projet'!$B$13,Paramètres!$A$1:$I$89,5,0)</f>
        <v>20.08734000000041</v>
      </c>
      <c r="CV181" s="13">
        <f t="shared" si="173"/>
        <v>6.5285137703520215</v>
      </c>
      <c r="CW181" s="20">
        <f t="shared" si="174"/>
        <v>46.355945316697152</v>
      </c>
      <c r="CX181" s="59">
        <f t="shared" si="122"/>
        <v>337.17771241219066</v>
      </c>
      <c r="CY181" s="59">
        <f ca="1">AVERAGE(OFFSET($CX$3,0,0,'Données projet'!$E$13+1,1))-AVERAGE(OFFSET($H$3,0,0,'Données projet'!$E$13+1,1))</f>
        <v>611.82989382187804</v>
      </c>
      <c r="CZ181" s="59">
        <f t="shared" si="150"/>
        <v>320.34124600136363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122.42066824787663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122.42066824787663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69.315027389680054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19.8100000000004</v>
      </c>
      <c r="DP181" s="17">
        <f>DO181*VLOOKUP('Données projet'!$B$14,Paramètres!$A$1:$I$89,3,0)*VLOOKUP('Données projet'!$B$14,Paramètres!$A$1:$I$89,5,0)</f>
        <v>21.323484000000427</v>
      </c>
      <c r="DQ181" s="13">
        <f t="shared" si="176"/>
        <v>6.88226100850307</v>
      </c>
      <c r="DR181" s="20">
        <f t="shared" si="177"/>
        <v>49.125005889810261</v>
      </c>
      <c r="DS181" s="59">
        <f t="shared" si="125"/>
        <v>339.94677298530377</v>
      </c>
      <c r="DT181" s="59">
        <f ca="1">AVERAGE(OFFSET($DS$3,0,0,'Données projet'!$E$14+1,1))-AVERAGE(OFFSET($H$3,0,0,'Données projet'!$E$14+1,1))</f>
        <v>645.29541304800614</v>
      </c>
      <c r="DU181" s="59">
        <f t="shared" si="152"/>
        <v>336.65580771733323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129.95424783236129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129.95424783236129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69.315027389680054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319</v>
      </c>
      <c r="EK181" s="17">
        <f>EJ181*VLOOKUP('Données projet'!$B$15,Paramètres!$A$1:$I$89,3,0)*VLOOKUP('Données projet'!$B$15,Paramètres!$A$1:$I$89,5,0)</f>
        <v>233.89079999999998</v>
      </c>
      <c r="EL181" s="13">
        <f t="shared" si="179"/>
        <v>57.123140349023068</v>
      </c>
      <c r="EM181" s="20">
        <f t="shared" si="180"/>
        <v>506.84927944121517</v>
      </c>
      <c r="EN181" s="59">
        <f t="shared" si="128"/>
        <v>797.67104653670867</v>
      </c>
      <c r="EO181" s="59">
        <f ca="1">AVERAGE(OFFSET($EN$3,0,0,'Données projet'!$E$15+1,1))-AVERAGE(OFFSET($H$3,0,0,'Données projet'!$E$15+1,1))</f>
        <v>343.31122043016137</v>
      </c>
      <c r="EP181" s="59">
        <f t="shared" si="154"/>
        <v>333.61098411258877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5.708060203982555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5.708060203982555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69.315027389680054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319</v>
      </c>
      <c r="FF181" s="17">
        <f>FE181*VLOOKUP('Données projet'!$B$16,Paramètres!$A$1:$I$89,3,0)*VLOOKUP('Données projet'!$B$16,Paramètres!$A$1:$I$89,5,0)</f>
        <v>253.79640000000001</v>
      </c>
      <c r="FG181" s="13">
        <f t="shared" si="182"/>
        <v>61.39816832228076</v>
      </c>
      <c r="FH181" s="20">
        <f t="shared" si="183"/>
        <v>548.96387316130563</v>
      </c>
      <c r="FI181" s="59">
        <f t="shared" si="131"/>
        <v>839.78564025679907</v>
      </c>
      <c r="FJ181" s="59">
        <f ca="1">AVERAGE(OFFSET($FI$3,0,0,'Données projet'!$E$16+1,1))-AVERAGE(OFFSET($H$3,0,0,'Données projet'!$E$16+1,1))</f>
        <v>368.12945163484585</v>
      </c>
      <c r="FK181" s="59">
        <f t="shared" si="156"/>
        <v>357.27183934545121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7.6342833900865124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7.6342833900865124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69.315027389680054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69.315027389680054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3.0869565217391299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11.318840579710143</v>
      </c>
      <c r="H182" s="66">
        <f t="shared" si="110"/>
        <v>211.39130434782609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69.326910133099773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5.2499999999990337</v>
      </c>
      <c r="O182" s="13">
        <f>N182*VLOOKUP('Données projet'!$B$9,Paramètres!$A$1:$I$89,3,0)*VLOOKUP('Données projet'!$B$9,Paramètres!$A$1:$I$89,5,0)</f>
        <v>2.4569999999995478</v>
      </c>
      <c r="P182" s="13">
        <f t="shared" si="141"/>
        <v>1.0197977774625564</v>
      </c>
      <c r="Q182" s="20">
        <f t="shared" si="162"/>
        <v>6.0554227957464972</v>
      </c>
      <c r="R182" s="59">
        <f t="shared" si="109"/>
        <v>296.92075995044564</v>
      </c>
      <c r="S182" s="59">
        <f ca="1">AVERAGE(OFFSET($R$3,0,0,'Données projet'!$E$9+1,1))-AVERAGE(OFFSET($H$3,0,0,'Données projet'!$E$9+1,1))</f>
        <v>320.30433416149219</v>
      </c>
      <c r="T182" s="59">
        <f t="shared" si="142"/>
        <v>201.33422682092797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60.722281919786987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60.722281919786987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69.326910133099773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763.00000000000057</v>
      </c>
      <c r="AJ182" s="13">
        <f>AI182*VLOOKUP('Données projet'!$B$10,Paramètres!$A$1:$I$89,3,0)*VLOOKUP('Données projet'!$B$10,Paramètres!$A$1:$I$89,5,0)</f>
        <v>456.2740000000004</v>
      </c>
      <c r="AK182" s="13">
        <f t="shared" si="164"/>
        <v>103.09649786611838</v>
      </c>
      <c r="AL182" s="20">
        <f t="shared" si="165"/>
        <v>974.23695045015677</v>
      </c>
      <c r="AM182" s="59">
        <f t="shared" si="113"/>
        <v>1265.102287604856</v>
      </c>
      <c r="AN182" s="59">
        <f ca="1">AVERAGE(OFFSET($AM$3,0,0,'Données projet'!$E$10+1,1))-AVERAGE(OFFSET($H$3,0,0,'Données projet'!$E$10+1,1))</f>
        <v>569.80473816957431</v>
      </c>
      <c r="AO182" s="59">
        <f t="shared" si="144"/>
        <v>495.56567790763199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14.981157882196166</v>
      </c>
      <c r="AV182" s="21">
        <f>EXP(-LN(2)/25)*AV181+(1-EXP(-LN(2)/25))/(LN(2)/25)*Calculateur!AQ182*Calculateur!AS182*VLOOKUP('Données projet'!$B$10,Paramètres!$A$1:$I$89,3,0)*0.475*44/12</f>
        <v>1.050947162995856</v>
      </c>
      <c r="AW182" s="21">
        <f>EXP(-LN(2)/2)*AW181+(1-EXP(-LN(2)/2))/(LN(2)/2)*AQ182*AT182*VLOOKUP('Données projet'!$B$10,Paramètres!$A$1:$I$89,3,0)*0.475*44/12</f>
        <v>2.9403320207169228E-24</v>
      </c>
      <c r="AX182" s="21">
        <f t="shared" si="166"/>
        <v>16.032105045192022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69.326910133099773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-2.5006556825246661E-14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180.42749272334603</v>
      </c>
      <c r="BJ182" s="59">
        <f t="shared" si="146"/>
        <v>346.61476512497495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3.3440700067722871</v>
      </c>
      <c r="BQ182" s="21">
        <f>EXP(-LN(2)/25)*BQ181+(1-EXP(-LN(2)/25))/(LN(2)/25)*Calculateur!BL182*Calculateur!BN182*VLOOKUP('Données projet'!$B$11,Paramètres!$A$1:$I$89,3,0)*0.475*44/12</f>
        <v>0.26609544284773179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3.6101654496200188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69.326910133099773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19.8100000000004</v>
      </c>
      <c r="BZ182" s="13">
        <f>BY182*VLOOKUP('Données projet'!$B$12,Paramètres!$A$1:$I$89,3,0)*VLOOKUP('Données projet'!$B$12,Paramètres!$A$1:$I$89,5,0)</f>
        <v>17.924088000000364</v>
      </c>
      <c r="CA182" s="13">
        <f t="shared" si="170"/>
        <v>5.9032212091029486</v>
      </c>
      <c r="CB182" s="20">
        <f t="shared" si="171"/>
        <v>41.499230205854936</v>
      </c>
      <c r="CC182" s="59">
        <f t="shared" si="119"/>
        <v>332.36456736055408</v>
      </c>
      <c r="CD182" s="59">
        <f ca="1">AVERAGE(OFFSET($CC$3,0,0,'Données projet'!$E$12+1,1))-AVERAGE(OFFSET($H$3,0,0,'Données projet'!$E$12+1,1))</f>
        <v>553.16421218123958</v>
      </c>
      <c r="CE182" s="59">
        <f t="shared" si="148"/>
        <v>291.73668613844416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107.09483491601053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107.09483491601053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69.326910133099773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19.8100000000004</v>
      </c>
      <c r="CU182" s="17">
        <f>CT182*VLOOKUP('Données projet'!$B$13,Paramètres!$A$1:$I$89,3,0)*VLOOKUP('Données projet'!$B$13,Paramètres!$A$1:$I$89,5,0)</f>
        <v>20.08734000000041</v>
      </c>
      <c r="CV182" s="13">
        <f t="shared" si="173"/>
        <v>6.5285137703520215</v>
      </c>
      <c r="CW182" s="20">
        <f t="shared" si="174"/>
        <v>46.355945316697152</v>
      </c>
      <c r="CX182" s="59">
        <f t="shared" si="122"/>
        <v>337.22128247139631</v>
      </c>
      <c r="CY182" s="59">
        <f ca="1">AVERAGE(OFFSET($CX$3,0,0,'Données projet'!$E$13+1,1))-AVERAGE(OFFSET($H$3,0,0,'Données projet'!$E$13+1,1))</f>
        <v>611.82989382187804</v>
      </c>
      <c r="CZ182" s="59">
        <f t="shared" si="150"/>
        <v>320.34124600136363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120.02007361277043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120.02007361277043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69.326910133099773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19.8100000000004</v>
      </c>
      <c r="DP182" s="17">
        <f>DO182*VLOOKUP('Données projet'!$B$14,Paramètres!$A$1:$I$89,3,0)*VLOOKUP('Données projet'!$B$14,Paramètres!$A$1:$I$89,5,0)</f>
        <v>21.323484000000427</v>
      </c>
      <c r="DQ182" s="13">
        <f t="shared" si="176"/>
        <v>6.88226100850307</v>
      </c>
      <c r="DR182" s="20">
        <f t="shared" si="177"/>
        <v>49.125005889810261</v>
      </c>
      <c r="DS182" s="59">
        <f t="shared" si="125"/>
        <v>339.99034304450942</v>
      </c>
      <c r="DT182" s="59">
        <f ca="1">AVERAGE(OFFSET($DS$3,0,0,'Données projet'!$E$14+1,1))-AVERAGE(OFFSET($H$3,0,0,'Données projet'!$E$14+1,1))</f>
        <v>645.29541304800614</v>
      </c>
      <c r="DU182" s="59">
        <f t="shared" si="152"/>
        <v>336.65580771733323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127.40592429663316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127.40592429663316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69.326910133099773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319</v>
      </c>
      <c r="EK182" s="17">
        <f>EJ182*VLOOKUP('Données projet'!$B$15,Paramètres!$A$1:$I$89,3,0)*VLOOKUP('Données projet'!$B$15,Paramètres!$A$1:$I$89,5,0)</f>
        <v>233.89079999999998</v>
      </c>
      <c r="EL182" s="13">
        <f t="shared" si="179"/>
        <v>57.123140349023068</v>
      </c>
      <c r="EM182" s="20">
        <f t="shared" si="180"/>
        <v>506.84927944121517</v>
      </c>
      <c r="EN182" s="59">
        <f t="shared" si="128"/>
        <v>797.71461659591432</v>
      </c>
      <c r="EO182" s="59">
        <f ca="1">AVERAGE(OFFSET($EN$3,0,0,'Données projet'!$E$15+1,1))-AVERAGE(OFFSET($H$3,0,0,'Données projet'!$E$15+1,1))</f>
        <v>343.31122043016137</v>
      </c>
      <c r="EP182" s="59">
        <f t="shared" si="154"/>
        <v>333.61098411258877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5.596128624955405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5.596128624955405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69.326910133099773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319</v>
      </c>
      <c r="FF182" s="17">
        <f>FE182*VLOOKUP('Données projet'!$B$16,Paramètres!$A$1:$I$89,3,0)*VLOOKUP('Données projet'!$B$16,Paramètres!$A$1:$I$89,5,0)</f>
        <v>253.79640000000001</v>
      </c>
      <c r="FG182" s="13">
        <f t="shared" si="182"/>
        <v>61.39816832228076</v>
      </c>
      <c r="FH182" s="20">
        <f t="shared" si="183"/>
        <v>548.96387316130563</v>
      </c>
      <c r="FI182" s="59">
        <f t="shared" si="131"/>
        <v>839.82921031600472</v>
      </c>
      <c r="FJ182" s="59">
        <f ca="1">AVERAGE(OFFSET($FI$3,0,0,'Données projet'!$E$16+1,1))-AVERAGE(OFFSET($H$3,0,0,'Données projet'!$E$16+1,1))</f>
        <v>368.12945163484585</v>
      </c>
      <c r="FK182" s="59">
        <f t="shared" si="156"/>
        <v>357.27183934545121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7.4845797492599973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7.4845797492599973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69.326910133099773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69.326910133099773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3.0869565217391299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11.318840579710143</v>
      </c>
      <c r="H183" s="66">
        <f t="shared" si="110"/>
        <v>211.39130434782609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69.338586737486978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5.2499999999990337</v>
      </c>
      <c r="O183" s="13">
        <f>N183*VLOOKUP('Données projet'!$B$9,Paramètres!$A$1:$I$89,3,0)*VLOOKUP('Données projet'!$B$9,Paramètres!$A$1:$I$89,5,0)</f>
        <v>2.4569999999995478</v>
      </c>
      <c r="P183" s="13">
        <f t="shared" si="141"/>
        <v>1.0197977774625564</v>
      </c>
      <c r="Q183" s="20">
        <f t="shared" si="162"/>
        <v>6.0554227957464972</v>
      </c>
      <c r="R183" s="59">
        <f t="shared" si="109"/>
        <v>296.96357416653206</v>
      </c>
      <c r="S183" s="59">
        <f ca="1">AVERAGE(OFFSET($R$3,0,0,'Données projet'!$E$9+1,1))-AVERAGE(OFFSET($H$3,0,0,'Données projet'!$E$9+1,1))</f>
        <v>320.30433416149219</v>
      </c>
      <c r="T183" s="59">
        <f t="shared" si="142"/>
        <v>201.33422682092797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59.531555008274843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59.531555008274843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69.338586737486978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763.00000000000057</v>
      </c>
      <c r="AJ183" s="13">
        <f>AI183*VLOOKUP('Données projet'!$B$10,Paramètres!$A$1:$I$89,3,0)*VLOOKUP('Données projet'!$B$10,Paramètres!$A$1:$I$89,5,0)</f>
        <v>456.2740000000004</v>
      </c>
      <c r="AK183" s="13">
        <f t="shared" si="164"/>
        <v>103.09649786611838</v>
      </c>
      <c r="AL183" s="20">
        <f t="shared" si="165"/>
        <v>974.23695045015677</v>
      </c>
      <c r="AM183" s="59">
        <f t="shared" si="113"/>
        <v>1265.1451018209423</v>
      </c>
      <c r="AN183" s="59">
        <f ca="1">AVERAGE(OFFSET($AM$3,0,0,'Données projet'!$E$10+1,1))-AVERAGE(OFFSET($H$3,0,0,'Données projet'!$E$10+1,1))</f>
        <v>569.80473816957431</v>
      </c>
      <c r="AO183" s="59">
        <f t="shared" si="144"/>
        <v>495.56567790763199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14.687386513730344</v>
      </c>
      <c r="AV183" s="21">
        <f>EXP(-LN(2)/25)*AV182+(1-EXP(-LN(2)/25))/(LN(2)/25)*Calculateur!AQ183*Calculateur!AS183*VLOOKUP('Données projet'!$B$10,Paramètres!$A$1:$I$89,3,0)*0.475*44/12</f>
        <v>1.0222089575568249</v>
      </c>
      <c r="AW183" s="21">
        <f>EXP(-LN(2)/2)*AW182+(1-EXP(-LN(2)/2))/(LN(2)/2)*AQ183*AT183*VLOOKUP('Données projet'!$B$10,Paramètres!$A$1:$I$89,3,0)*0.475*44/12</f>
        <v>2.0791287107888803E-24</v>
      </c>
      <c r="AX183" s="21">
        <f t="shared" si="166"/>
        <v>15.709595471287169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69.338586737486978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-2.5006556825246661E-14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180.42749272334603</v>
      </c>
      <c r="BJ183" s="59">
        <f t="shared" si="146"/>
        <v>346.61476512497495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3.2784948336207846</v>
      </c>
      <c r="BQ183" s="21">
        <f>EXP(-LN(2)/25)*BQ182+(1-EXP(-LN(2)/25))/(LN(2)/25)*Calculateur!BL183*Calculateur!BN183*VLOOKUP('Données projet'!$B$11,Paramètres!$A$1:$I$89,3,0)*0.475*44/12</f>
        <v>0.25881904896970942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3.5373138825904942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69.338586737486978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19.8100000000004</v>
      </c>
      <c r="BZ183" s="13">
        <f>BY183*VLOOKUP('Données projet'!$B$12,Paramètres!$A$1:$I$89,3,0)*VLOOKUP('Données projet'!$B$12,Paramètres!$A$1:$I$89,5,0)</f>
        <v>17.924088000000364</v>
      </c>
      <c r="CA183" s="13">
        <f t="shared" si="170"/>
        <v>5.9032212091029486</v>
      </c>
      <c r="CB183" s="20">
        <f t="shared" si="171"/>
        <v>41.499230205854936</v>
      </c>
      <c r="CC183" s="59">
        <f t="shared" si="119"/>
        <v>332.40738157664049</v>
      </c>
      <c r="CD183" s="59">
        <f ca="1">AVERAGE(OFFSET($CC$3,0,0,'Données projet'!$E$12+1,1))-AVERAGE(OFFSET($H$3,0,0,'Données projet'!$E$12+1,1))</f>
        <v>553.16421218123958</v>
      </c>
      <c r="CE183" s="59">
        <f t="shared" si="148"/>
        <v>291.73668613844416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104.99477052470691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104.99477052470691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69.338586737486978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19.8100000000004</v>
      </c>
      <c r="CU183" s="17">
        <f>CT183*VLOOKUP('Données projet'!$B$13,Paramètres!$A$1:$I$89,3,0)*VLOOKUP('Données projet'!$B$13,Paramètres!$A$1:$I$89,5,0)</f>
        <v>20.08734000000041</v>
      </c>
      <c r="CV183" s="13">
        <f t="shared" si="173"/>
        <v>6.5285137703520215</v>
      </c>
      <c r="CW183" s="20">
        <f t="shared" si="174"/>
        <v>46.355945316697152</v>
      </c>
      <c r="CX183" s="59">
        <f t="shared" si="122"/>
        <v>337.26409668748272</v>
      </c>
      <c r="CY183" s="59">
        <f ca="1">AVERAGE(OFFSET($CX$3,0,0,'Données projet'!$E$13+1,1))-AVERAGE(OFFSET($H$3,0,0,'Données projet'!$E$13+1,1))</f>
        <v>611.82989382187804</v>
      </c>
      <c r="CZ183" s="59">
        <f t="shared" si="150"/>
        <v>320.34124600136363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117.66655317424052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117.66655317424052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69.338586737486978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19.8100000000004</v>
      </c>
      <c r="DP183" s="17">
        <f>DO183*VLOOKUP('Données projet'!$B$14,Paramètres!$A$1:$I$89,3,0)*VLOOKUP('Données projet'!$B$14,Paramètres!$A$1:$I$89,5,0)</f>
        <v>21.323484000000427</v>
      </c>
      <c r="DQ183" s="13">
        <f t="shared" si="176"/>
        <v>6.88226100850307</v>
      </c>
      <c r="DR183" s="20">
        <f t="shared" si="177"/>
        <v>49.125005889810261</v>
      </c>
      <c r="DS183" s="59">
        <f t="shared" si="125"/>
        <v>340.03315726059583</v>
      </c>
      <c r="DT183" s="59">
        <f ca="1">AVERAGE(OFFSET($DS$3,0,0,'Données projet'!$E$14+1,1))-AVERAGE(OFFSET($H$3,0,0,'Données projet'!$E$14+1,1))</f>
        <v>645.29541304800614</v>
      </c>
      <c r="DU183" s="59">
        <f t="shared" si="152"/>
        <v>336.65580771733323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124.90757183111678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124.90757183111678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69.338586737486978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319</v>
      </c>
      <c r="EK183" s="17">
        <f>EJ183*VLOOKUP('Données projet'!$B$15,Paramètres!$A$1:$I$89,3,0)*VLOOKUP('Données projet'!$B$15,Paramètres!$A$1:$I$89,5,0)</f>
        <v>233.89079999999998</v>
      </c>
      <c r="EL183" s="13">
        <f t="shared" si="179"/>
        <v>57.123140349023068</v>
      </c>
      <c r="EM183" s="20">
        <f t="shared" si="180"/>
        <v>506.84927944121517</v>
      </c>
      <c r="EN183" s="59">
        <f t="shared" si="128"/>
        <v>797.75743081200073</v>
      </c>
      <c r="EO183" s="59">
        <f ca="1">AVERAGE(OFFSET($EN$3,0,0,'Données projet'!$E$15+1,1))-AVERAGE(OFFSET($H$3,0,0,'Données projet'!$E$15+1,1))</f>
        <v>343.31122043016137</v>
      </c>
      <c r="EP183" s="59">
        <f t="shared" si="154"/>
        <v>333.61098411258877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5.4863919559214551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5.4863919559214551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69.338586737486978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319</v>
      </c>
      <c r="FF183" s="17">
        <f>FE183*VLOOKUP('Données projet'!$B$16,Paramètres!$A$1:$I$89,3,0)*VLOOKUP('Données projet'!$B$16,Paramètres!$A$1:$I$89,5,0)</f>
        <v>253.79640000000001</v>
      </c>
      <c r="FG183" s="13">
        <f t="shared" si="182"/>
        <v>61.39816832228076</v>
      </c>
      <c r="FH183" s="20">
        <f t="shared" si="183"/>
        <v>548.96387316130563</v>
      </c>
      <c r="FI183" s="59">
        <f t="shared" si="131"/>
        <v>839.87202453209125</v>
      </c>
      <c r="FJ183" s="59">
        <f ca="1">AVERAGE(OFFSET($FI$3,0,0,'Données projet'!$E$16+1,1))-AVERAGE(OFFSET($H$3,0,0,'Données projet'!$E$16+1,1))</f>
        <v>368.12945163484585</v>
      </c>
      <c r="FK183" s="59">
        <f t="shared" si="156"/>
        <v>357.27183934545121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7.3378117055198855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7.3378117055198855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69.338586737486978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69.338586737486978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3.0869565217391299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11.318840579710143</v>
      </c>
      <c r="H184" s="66">
        <f t="shared" si="110"/>
        <v>211.39130434782609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69.350060778893038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5.2499999999990337</v>
      </c>
      <c r="O184" s="13">
        <f>N184*VLOOKUP('Données projet'!$B$9,Paramètres!$A$1:$I$89,3,0)*VLOOKUP('Données projet'!$B$9,Paramètres!$A$1:$I$89,5,0)</f>
        <v>2.4569999999995478</v>
      </c>
      <c r="P184" s="13">
        <f t="shared" si="141"/>
        <v>1.0197977774625564</v>
      </c>
      <c r="Q184" s="20">
        <f t="shared" si="162"/>
        <v>6.0554227957464972</v>
      </c>
      <c r="R184" s="59">
        <f t="shared" si="109"/>
        <v>297.00564565168764</v>
      </c>
      <c r="S184" s="59">
        <f ca="1">AVERAGE(OFFSET($R$3,0,0,'Données projet'!$E$9+1,1))-AVERAGE(OFFSET($H$3,0,0,'Données projet'!$E$9+1,1))</f>
        <v>320.30433416149219</v>
      </c>
      <c r="T184" s="59">
        <f t="shared" si="142"/>
        <v>201.33422682092797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58.364177525225749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58.364177525225749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69.350060778893038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763.00000000000057</v>
      </c>
      <c r="AJ184" s="13">
        <f>AI184*VLOOKUP('Données projet'!$B$10,Paramètres!$A$1:$I$89,3,0)*VLOOKUP('Données projet'!$B$10,Paramètres!$A$1:$I$89,5,0)</f>
        <v>456.2740000000004</v>
      </c>
      <c r="AK184" s="13">
        <f t="shared" si="164"/>
        <v>103.09649786611838</v>
      </c>
      <c r="AL184" s="20">
        <f t="shared" si="165"/>
        <v>974.23695045015677</v>
      </c>
      <c r="AM184" s="59">
        <f t="shared" si="113"/>
        <v>1265.187173306098</v>
      </c>
      <c r="AN184" s="59">
        <f ca="1">AVERAGE(OFFSET($AM$3,0,0,'Données projet'!$E$10+1,1))-AVERAGE(OFFSET($H$3,0,0,'Données projet'!$E$10+1,1))</f>
        <v>569.80473816957431</v>
      </c>
      <c r="AO184" s="59">
        <f t="shared" si="144"/>
        <v>495.56567790763199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14.399375822617294</v>
      </c>
      <c r="AV184" s="21">
        <f>EXP(-LN(2)/25)*AV183+(1-EXP(-LN(2)/25))/(LN(2)/25)*Calculateur!AQ184*Calculateur!AS184*VLOOKUP('Données projet'!$B$10,Paramètres!$A$1:$I$89,3,0)*0.475*44/12</f>
        <v>0.99425659985680082</v>
      </c>
      <c r="AW184" s="21">
        <f>EXP(-LN(2)/2)*AW183+(1-EXP(-LN(2)/2))/(LN(2)/2)*AQ184*AT184*VLOOKUP('Données projet'!$B$10,Paramètres!$A$1:$I$89,3,0)*0.475*44/12</f>
        <v>1.4701660103584614E-24</v>
      </c>
      <c r="AX184" s="21">
        <f t="shared" si="166"/>
        <v>15.393632422474095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69.350060778893038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-2.5006556825246661E-14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180.42749272334603</v>
      </c>
      <c r="BJ184" s="59">
        <f t="shared" si="146"/>
        <v>346.61476512497495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3.2142055496178772</v>
      </c>
      <c r="BQ184" s="21">
        <f>EXP(-LN(2)/25)*BQ183+(1-EXP(-LN(2)/25))/(LN(2)/25)*Calculateur!BL184*Calculateur!BN184*VLOOKUP('Données projet'!$B$11,Paramètres!$A$1:$I$89,3,0)*0.475*44/12</f>
        <v>0.25174162846493048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3.4659471780828075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69.350060778893038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19.8100000000004</v>
      </c>
      <c r="BZ184" s="13">
        <f>BY184*VLOOKUP('Données projet'!$B$12,Paramètres!$A$1:$I$89,3,0)*VLOOKUP('Données projet'!$B$12,Paramètres!$A$1:$I$89,5,0)</f>
        <v>17.924088000000364</v>
      </c>
      <c r="CA184" s="13">
        <f t="shared" si="170"/>
        <v>5.9032212091029486</v>
      </c>
      <c r="CB184" s="20">
        <f t="shared" si="171"/>
        <v>41.499230205854936</v>
      </c>
      <c r="CC184" s="59">
        <f t="shared" si="119"/>
        <v>332.44945306179608</v>
      </c>
      <c r="CD184" s="59">
        <f ca="1">AVERAGE(OFFSET($CC$3,0,0,'Données projet'!$E$12+1,1))-AVERAGE(OFFSET($H$3,0,0,'Données projet'!$E$12+1,1))</f>
        <v>553.16421218123958</v>
      </c>
      <c r="CE184" s="59">
        <f t="shared" si="148"/>
        <v>291.73668613844416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102.93588711520395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102.93588711520395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69.350060778893038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19.8100000000004</v>
      </c>
      <c r="CU184" s="17">
        <f>CT184*VLOOKUP('Données projet'!$B$13,Paramètres!$A$1:$I$89,3,0)*VLOOKUP('Données projet'!$B$13,Paramètres!$A$1:$I$89,5,0)</f>
        <v>20.08734000000041</v>
      </c>
      <c r="CV184" s="13">
        <f t="shared" si="173"/>
        <v>6.5285137703520215</v>
      </c>
      <c r="CW184" s="20">
        <f t="shared" si="174"/>
        <v>46.355945316697152</v>
      </c>
      <c r="CX184" s="59">
        <f t="shared" si="122"/>
        <v>337.30616817263831</v>
      </c>
      <c r="CY184" s="59">
        <f ca="1">AVERAGE(OFFSET($CX$3,0,0,'Données projet'!$E$13+1,1))-AVERAGE(OFFSET($H$3,0,0,'Données projet'!$E$13+1,1))</f>
        <v>611.82989382187804</v>
      </c>
      <c r="CZ184" s="59">
        <f t="shared" si="150"/>
        <v>320.34124600136363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115.35918383600445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115.35918383600445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69.350060778893038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19.8100000000004</v>
      </c>
      <c r="DP184" s="17">
        <f>DO184*VLOOKUP('Données projet'!$B$14,Paramètres!$A$1:$I$89,3,0)*VLOOKUP('Données projet'!$B$14,Paramètres!$A$1:$I$89,5,0)</f>
        <v>21.323484000000427</v>
      </c>
      <c r="DQ184" s="13">
        <f t="shared" si="176"/>
        <v>6.88226100850307</v>
      </c>
      <c r="DR184" s="20">
        <f t="shared" si="177"/>
        <v>49.125005889810261</v>
      </c>
      <c r="DS184" s="59">
        <f t="shared" si="125"/>
        <v>340.07522874575142</v>
      </c>
      <c r="DT184" s="59">
        <f ca="1">AVERAGE(OFFSET($DS$3,0,0,'Données projet'!$E$14+1,1))-AVERAGE(OFFSET($H$3,0,0,'Données projet'!$E$14+1,1))</f>
        <v>645.29541304800614</v>
      </c>
      <c r="DU184" s="59">
        <f t="shared" si="152"/>
        <v>336.65580771733323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122.45821053360464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122.45821053360464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69.350060778893038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319</v>
      </c>
      <c r="EK184" s="17">
        <f>EJ184*VLOOKUP('Données projet'!$B$15,Paramètres!$A$1:$I$89,3,0)*VLOOKUP('Données projet'!$B$15,Paramètres!$A$1:$I$89,5,0)</f>
        <v>233.89079999999998</v>
      </c>
      <c r="EL184" s="13">
        <f t="shared" si="179"/>
        <v>57.123140349023068</v>
      </c>
      <c r="EM184" s="20">
        <f t="shared" si="180"/>
        <v>506.84927944121517</v>
      </c>
      <c r="EN184" s="59">
        <f t="shared" si="128"/>
        <v>797.79950229715632</v>
      </c>
      <c r="EO184" s="59">
        <f ca="1">AVERAGE(OFFSET($EN$3,0,0,'Données projet'!$E$15+1,1))-AVERAGE(OFFSET($H$3,0,0,'Données projet'!$E$15+1,1))</f>
        <v>343.31122043016137</v>
      </c>
      <c r="EP184" s="59">
        <f t="shared" si="154"/>
        <v>333.61098411258877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5.3788071560345019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5.3788071560345019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69.350060778893038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319</v>
      </c>
      <c r="FF184" s="17">
        <f>FE184*VLOOKUP('Données projet'!$B$16,Paramètres!$A$1:$I$89,3,0)*VLOOKUP('Données projet'!$B$16,Paramètres!$A$1:$I$89,5,0)</f>
        <v>253.79640000000001</v>
      </c>
      <c r="FG184" s="13">
        <f t="shared" si="182"/>
        <v>61.39816832228076</v>
      </c>
      <c r="FH184" s="20">
        <f t="shared" si="183"/>
        <v>548.96387316130563</v>
      </c>
      <c r="FI184" s="59">
        <f t="shared" si="131"/>
        <v>839.91409601724672</v>
      </c>
      <c r="FJ184" s="59">
        <f ca="1">AVERAGE(OFFSET($FI$3,0,0,'Données projet'!$E$16+1,1))-AVERAGE(OFFSET($H$3,0,0,'Données projet'!$E$16+1,1))</f>
        <v>368.12945163484585</v>
      </c>
      <c r="FK184" s="59">
        <f t="shared" si="156"/>
        <v>357.27183934545121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7.1939216935978498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7.1939216935978498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69.350060778893038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69.350060778893038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3.0869565217391299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11.318840579710143</v>
      </c>
      <c r="H185" s="66">
        <f t="shared" si="110"/>
        <v>211.39130434782609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69.361335771332847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5.2499999999990337</v>
      </c>
      <c r="O185" s="13">
        <f>N185*VLOOKUP('Données projet'!$B$9,Paramètres!$A$1:$I$89,3,0)*VLOOKUP('Données projet'!$B$9,Paramètres!$A$1:$I$89,5,0)</f>
        <v>2.4569999999995478</v>
      </c>
      <c r="P185" s="13">
        <f t="shared" si="141"/>
        <v>1.0197977774625564</v>
      </c>
      <c r="Q185" s="20">
        <f t="shared" si="162"/>
        <v>6.0554227957464972</v>
      </c>
      <c r="R185" s="59">
        <f t="shared" si="109"/>
        <v>297.04698729063358</v>
      </c>
      <c r="S185" s="59">
        <f ca="1">AVERAGE(OFFSET($R$3,0,0,'Données projet'!$E$9+1,1))-AVERAGE(OFFSET($H$3,0,0,'Données projet'!$E$9+1,1))</f>
        <v>320.30433416149219</v>
      </c>
      <c r="T185" s="59">
        <f t="shared" si="142"/>
        <v>201.33422682092797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57.219691602589286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57.219691602589286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69.361335771332847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763.00000000000057</v>
      </c>
      <c r="AJ185" s="13">
        <f>AI185*VLOOKUP('Données projet'!$B$10,Paramètres!$A$1:$I$89,3,0)*VLOOKUP('Données projet'!$B$10,Paramètres!$A$1:$I$89,5,0)</f>
        <v>456.2740000000004</v>
      </c>
      <c r="AK185" s="13">
        <f t="shared" si="164"/>
        <v>103.09649786611838</v>
      </c>
      <c r="AL185" s="20">
        <f t="shared" si="165"/>
        <v>974.23695045015677</v>
      </c>
      <c r="AM185" s="59">
        <f t="shared" si="113"/>
        <v>1265.2285149450438</v>
      </c>
      <c r="AN185" s="59">
        <f ca="1">AVERAGE(OFFSET($AM$3,0,0,'Données projet'!$E$10+1,1))-AVERAGE(OFFSET($H$3,0,0,'Données projet'!$E$10+1,1))</f>
        <v>569.80473816957431</v>
      </c>
      <c r="AO185" s="59">
        <f t="shared" si="144"/>
        <v>495.56567790763199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14.117012845487796</v>
      </c>
      <c r="AV185" s="21">
        <f>EXP(-LN(2)/25)*AV184+(1-EXP(-LN(2)/25))/(LN(2)/25)*Calculateur!AQ185*Calculateur!AS185*VLOOKUP('Données projet'!$B$10,Paramètres!$A$1:$I$89,3,0)*0.475*44/12</f>
        <v>0.96706860084803437</v>
      </c>
      <c r="AW185" s="21">
        <f>EXP(-LN(2)/2)*AW184+(1-EXP(-LN(2)/2))/(LN(2)/2)*AQ185*AT185*VLOOKUP('Données projet'!$B$10,Paramètres!$A$1:$I$89,3,0)*0.475*44/12</f>
        <v>1.0395643553944401E-24</v>
      </c>
      <c r="AX185" s="21">
        <f t="shared" si="166"/>
        <v>15.08408144633583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69.361335771332847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-2.5006556825246661E-14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180.42749272334603</v>
      </c>
      <c r="BJ185" s="59">
        <f t="shared" si="146"/>
        <v>346.61476512497495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3.1511769392616755</v>
      </c>
      <c r="BQ185" s="21">
        <f>EXP(-LN(2)/25)*BQ184+(1-EXP(-LN(2)/25))/(LN(2)/25)*Calculateur!BL185*Calculateur!BN185*VLOOKUP('Données projet'!$B$11,Paramètres!$A$1:$I$89,3,0)*0.475*44/12</f>
        <v>0.24485774039604008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3.3960346796577157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69.361335771332847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19.8100000000004</v>
      </c>
      <c r="BZ185" s="13">
        <f>BY185*VLOOKUP('Données projet'!$B$12,Paramètres!$A$1:$I$89,3,0)*VLOOKUP('Données projet'!$B$12,Paramètres!$A$1:$I$89,5,0)</f>
        <v>17.924088000000364</v>
      </c>
      <c r="CA185" s="13">
        <f t="shared" si="170"/>
        <v>5.9032212091029486</v>
      </c>
      <c r="CB185" s="20">
        <f t="shared" si="171"/>
        <v>41.499230205854936</v>
      </c>
      <c r="CC185" s="59">
        <f t="shared" si="119"/>
        <v>332.49079470074201</v>
      </c>
      <c r="CD185" s="59">
        <f ca="1">AVERAGE(OFFSET($CC$3,0,0,'Données projet'!$E$12+1,1))-AVERAGE(OFFSET($H$3,0,0,'Données projet'!$E$12+1,1))</f>
        <v>553.16421218123958</v>
      </c>
      <c r="CE185" s="59">
        <f t="shared" si="148"/>
        <v>291.73668613844416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100.91737715356648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100.91737715356648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69.361335771332847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19.8100000000004</v>
      </c>
      <c r="CU185" s="17">
        <f>CT185*VLOOKUP('Données projet'!$B$13,Paramètres!$A$1:$I$89,3,0)*VLOOKUP('Données projet'!$B$13,Paramètres!$A$1:$I$89,5,0)</f>
        <v>20.08734000000041</v>
      </c>
      <c r="CV185" s="13">
        <f t="shared" si="173"/>
        <v>6.5285137703520215</v>
      </c>
      <c r="CW185" s="20">
        <f t="shared" si="174"/>
        <v>46.355945316697152</v>
      </c>
      <c r="CX185" s="59">
        <f t="shared" si="122"/>
        <v>337.34750981158425</v>
      </c>
      <c r="CY185" s="59">
        <f ca="1">AVERAGE(OFFSET($CX$3,0,0,'Données projet'!$E$13+1,1))-AVERAGE(OFFSET($H$3,0,0,'Données projet'!$E$13+1,1))</f>
        <v>611.82989382187804</v>
      </c>
      <c r="CZ185" s="59">
        <f t="shared" si="150"/>
        <v>320.34124600136363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113.09706060313485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113.09706060313485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69.361335771332847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19.8100000000004</v>
      </c>
      <c r="DP185" s="17">
        <f>DO185*VLOOKUP('Données projet'!$B$14,Paramètres!$A$1:$I$89,3,0)*VLOOKUP('Données projet'!$B$14,Paramètres!$A$1:$I$89,5,0)</f>
        <v>21.323484000000427</v>
      </c>
      <c r="DQ185" s="13">
        <f t="shared" si="176"/>
        <v>6.88226100850307</v>
      </c>
      <c r="DR185" s="20">
        <f t="shared" si="177"/>
        <v>49.125005889810261</v>
      </c>
      <c r="DS185" s="59">
        <f t="shared" si="125"/>
        <v>340.11657038469735</v>
      </c>
      <c r="DT185" s="59">
        <f ca="1">AVERAGE(OFFSET($DS$3,0,0,'Données projet'!$E$14+1,1))-AVERAGE(OFFSET($H$3,0,0,'Données projet'!$E$14+1,1))</f>
        <v>645.29541304800614</v>
      </c>
      <c r="DU185" s="59">
        <f t="shared" si="152"/>
        <v>336.65580771733323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120.05687971717384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120.05687971717384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69.361335771332847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319</v>
      </c>
      <c r="EK185" s="17">
        <f>EJ185*VLOOKUP('Données projet'!$B$15,Paramètres!$A$1:$I$89,3,0)*VLOOKUP('Données projet'!$B$15,Paramètres!$A$1:$I$89,5,0)</f>
        <v>233.89079999999998</v>
      </c>
      <c r="EL185" s="13">
        <f t="shared" si="179"/>
        <v>57.123140349023068</v>
      </c>
      <c r="EM185" s="20">
        <f t="shared" si="180"/>
        <v>506.84927944121517</v>
      </c>
      <c r="EN185" s="59">
        <f t="shared" si="128"/>
        <v>797.84084393610226</v>
      </c>
      <c r="EO185" s="59">
        <f ca="1">AVERAGE(OFFSET($EN$3,0,0,'Données projet'!$E$15+1,1))-AVERAGE(OFFSET($H$3,0,0,'Données projet'!$E$15+1,1))</f>
        <v>343.31122043016137</v>
      </c>
      <c r="EP185" s="59">
        <f t="shared" si="154"/>
        <v>333.61098411258877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5.2733320284530834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5.2733320284530834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69.361335771332847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319</v>
      </c>
      <c r="FF185" s="17">
        <f>FE185*VLOOKUP('Données projet'!$B$16,Paramètres!$A$1:$I$89,3,0)*VLOOKUP('Données projet'!$B$16,Paramètres!$A$1:$I$89,5,0)</f>
        <v>253.79640000000001</v>
      </c>
      <c r="FG185" s="13">
        <f t="shared" si="182"/>
        <v>61.39816832228076</v>
      </c>
      <c r="FH185" s="20">
        <f t="shared" si="183"/>
        <v>548.96387316130563</v>
      </c>
      <c r="FI185" s="59">
        <f t="shared" si="131"/>
        <v>839.95543765619277</v>
      </c>
      <c r="FJ185" s="59">
        <f ca="1">AVERAGE(OFFSET($FI$3,0,0,'Données projet'!$E$16+1,1))-AVERAGE(OFFSET($H$3,0,0,'Données projet'!$E$16+1,1))</f>
        <v>368.12945163484585</v>
      </c>
      <c r="FK185" s="59">
        <f t="shared" si="156"/>
        <v>357.27183934545121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7.0528532770453642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7.0528532770453642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69.361335771332847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69.361335771332847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3.0869565217391299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11.318840579710143</v>
      </c>
      <c r="H186" s="66">
        <f t="shared" si="110"/>
        <v>211.39130434782609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69.372415167860908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5.2499999999990337</v>
      </c>
      <c r="O186" s="13">
        <f>N186*VLOOKUP('Données projet'!$B$9,Paramètres!$A$1:$I$89,3,0)*VLOOKUP('Données projet'!$B$9,Paramètres!$A$1:$I$89,5,0)</f>
        <v>2.4569999999995478</v>
      </c>
      <c r="P186" s="13">
        <f t="shared" si="141"/>
        <v>1.0197977774625564</v>
      </c>
      <c r="Q186" s="20">
        <f t="shared" si="162"/>
        <v>6.0554227957464972</v>
      </c>
      <c r="R186" s="59">
        <f t="shared" si="109"/>
        <v>297.08761174456981</v>
      </c>
      <c r="S186" s="59">
        <f ca="1">AVERAGE(OFFSET($R$3,0,0,'Données projet'!$E$9+1,1))-AVERAGE(OFFSET($H$3,0,0,'Données projet'!$E$9+1,1))</f>
        <v>320.30433416149219</v>
      </c>
      <c r="T186" s="59">
        <f t="shared" si="142"/>
        <v>201.33422682092797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56.097648350828244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56.097648350828244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69.372415167860908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763.00000000000057</v>
      </c>
      <c r="AJ186" s="13">
        <f>AI186*VLOOKUP('Données projet'!$B$10,Paramètres!$A$1:$I$89,3,0)*VLOOKUP('Données projet'!$B$10,Paramètres!$A$1:$I$89,5,0)</f>
        <v>456.2740000000004</v>
      </c>
      <c r="AK186" s="13">
        <f t="shared" si="164"/>
        <v>103.09649786611838</v>
      </c>
      <c r="AL186" s="20">
        <f t="shared" si="165"/>
        <v>974.23695045015677</v>
      </c>
      <c r="AM186" s="59">
        <f t="shared" si="113"/>
        <v>1265.2691393989801</v>
      </c>
      <c r="AN186" s="59">
        <f ca="1">AVERAGE(OFFSET($AM$3,0,0,'Données projet'!$E$10+1,1))-AVERAGE(OFFSET($H$3,0,0,'Données projet'!$E$10+1,1))</f>
        <v>569.80473816957431</v>
      </c>
      <c r="AO186" s="59">
        <f t="shared" si="144"/>
        <v>495.56567790763199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13.840186834115396</v>
      </c>
      <c r="AV186" s="21">
        <f>EXP(-LN(2)/25)*AV185+(1-EXP(-LN(2)/25))/(LN(2)/25)*Calculateur!AQ186*Calculateur!AS186*VLOOKUP('Données projet'!$B$10,Paramètres!$A$1:$I$89,3,0)*0.475*44/12</f>
        <v>0.94062405910191738</v>
      </c>
      <c r="AW186" s="21">
        <f>EXP(-LN(2)/2)*AW185+(1-EXP(-LN(2)/2))/(LN(2)/2)*AQ186*AT186*VLOOKUP('Données projet'!$B$10,Paramètres!$A$1:$I$89,3,0)*0.475*44/12</f>
        <v>7.3508300517923071E-25</v>
      </c>
      <c r="AX186" s="21">
        <f t="shared" si="166"/>
        <v>14.780810893217314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69.372415167860908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-2.5006556825246661E-14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180.42749272334603</v>
      </c>
      <c r="BJ186" s="59">
        <f t="shared" si="146"/>
        <v>346.61476512497495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3.0893842815109025</v>
      </c>
      <c r="BQ186" s="21">
        <f>EXP(-LN(2)/25)*BQ185+(1-EXP(-LN(2)/25))/(LN(2)/25)*Calculateur!BL186*Calculateur!BN186*VLOOKUP('Données projet'!$B$11,Paramètres!$A$1:$I$89,3,0)*0.475*44/12</f>
        <v>0.23816209260840143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3.3275463741193039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69.372415167860908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19.8100000000004</v>
      </c>
      <c r="BZ186" s="13">
        <f>BY186*VLOOKUP('Données projet'!$B$12,Paramètres!$A$1:$I$89,3,0)*VLOOKUP('Données projet'!$B$12,Paramètres!$A$1:$I$89,5,0)</f>
        <v>17.924088000000364</v>
      </c>
      <c r="CA186" s="13">
        <f t="shared" si="170"/>
        <v>5.9032212091029486</v>
      </c>
      <c r="CB186" s="20">
        <f t="shared" si="171"/>
        <v>41.499230205854936</v>
      </c>
      <c r="CC186" s="59">
        <f t="shared" si="119"/>
        <v>332.53141915467825</v>
      </c>
      <c r="CD186" s="59">
        <f ca="1">AVERAGE(OFFSET($CC$3,0,0,'Données projet'!$E$12+1,1))-AVERAGE(OFFSET($H$3,0,0,'Données projet'!$E$12+1,1))</f>
        <v>553.16421218123958</v>
      </c>
      <c r="CE186" s="59">
        <f t="shared" si="148"/>
        <v>291.73668613844416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98.938448941107197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98.938448941107197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69.372415167860908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19.8100000000004</v>
      </c>
      <c r="CU186" s="17">
        <f>CT186*VLOOKUP('Données projet'!$B$13,Paramètres!$A$1:$I$89,3,0)*VLOOKUP('Données projet'!$B$13,Paramètres!$A$1:$I$89,5,0)</f>
        <v>20.08734000000041</v>
      </c>
      <c r="CV186" s="13">
        <f t="shared" si="173"/>
        <v>6.5285137703520215</v>
      </c>
      <c r="CW186" s="20">
        <f t="shared" si="174"/>
        <v>46.355945316697152</v>
      </c>
      <c r="CX186" s="59">
        <f t="shared" si="122"/>
        <v>337.38813426552048</v>
      </c>
      <c r="CY186" s="59">
        <f ca="1">AVERAGE(OFFSET($CX$3,0,0,'Données projet'!$E$13+1,1))-AVERAGE(OFFSET($H$3,0,0,'Données projet'!$E$13+1,1))</f>
        <v>611.82989382187804</v>
      </c>
      <c r="CZ186" s="59">
        <f t="shared" si="150"/>
        <v>320.34124600136363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110.8792962271029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110.8792962271029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69.372415167860908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19.8100000000004</v>
      </c>
      <c r="DP186" s="17">
        <f>DO186*VLOOKUP('Données projet'!$B$14,Paramètres!$A$1:$I$89,3,0)*VLOOKUP('Données projet'!$B$14,Paramètres!$A$1:$I$89,5,0)</f>
        <v>21.323484000000427</v>
      </c>
      <c r="DQ186" s="13">
        <f t="shared" si="176"/>
        <v>6.88226100850307</v>
      </c>
      <c r="DR186" s="20">
        <f t="shared" si="177"/>
        <v>49.125005889810261</v>
      </c>
      <c r="DS186" s="59">
        <f t="shared" si="125"/>
        <v>340.15719483863359</v>
      </c>
      <c r="DT186" s="59">
        <f ca="1">AVERAGE(OFFSET($DS$3,0,0,'Données projet'!$E$14+1,1))-AVERAGE(OFFSET($H$3,0,0,'Données projet'!$E$14+1,1))</f>
        <v>645.29541304800614</v>
      </c>
      <c r="DU186" s="59">
        <f t="shared" si="152"/>
        <v>336.65580771733323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117.70263753338608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117.70263753338608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69.372415167860908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319</v>
      </c>
      <c r="EK186" s="17">
        <f>EJ186*VLOOKUP('Données projet'!$B$15,Paramètres!$A$1:$I$89,3,0)*VLOOKUP('Données projet'!$B$15,Paramètres!$A$1:$I$89,5,0)</f>
        <v>233.89079999999998</v>
      </c>
      <c r="EL186" s="13">
        <f t="shared" si="179"/>
        <v>57.123140349023068</v>
      </c>
      <c r="EM186" s="20">
        <f t="shared" si="180"/>
        <v>506.84927944121517</v>
      </c>
      <c r="EN186" s="59">
        <f t="shared" si="128"/>
        <v>797.88146839003844</v>
      </c>
      <c r="EO186" s="59">
        <f ca="1">AVERAGE(OFFSET($EN$3,0,0,'Données projet'!$E$15+1,1))-AVERAGE(OFFSET($H$3,0,0,'Données projet'!$E$15+1,1))</f>
        <v>343.31122043016137</v>
      </c>
      <c r="EP186" s="59">
        <f t="shared" si="154"/>
        <v>333.61098411258877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5.1699252037900614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5.1699252037900614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69.372415167860908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319</v>
      </c>
      <c r="FF186" s="17">
        <f>FE186*VLOOKUP('Données projet'!$B$16,Paramètres!$A$1:$I$89,3,0)*VLOOKUP('Données projet'!$B$16,Paramètres!$A$1:$I$89,5,0)</f>
        <v>253.79640000000001</v>
      </c>
      <c r="FG186" s="13">
        <f t="shared" si="182"/>
        <v>61.39816832228076</v>
      </c>
      <c r="FH186" s="20">
        <f t="shared" si="183"/>
        <v>548.96387316130563</v>
      </c>
      <c r="FI186" s="59">
        <f t="shared" si="131"/>
        <v>839.99606211012895</v>
      </c>
      <c r="FJ186" s="59">
        <f ca="1">AVERAGE(OFFSET($FI$3,0,0,'Données projet'!$E$16+1,1))-AVERAGE(OFFSET($H$3,0,0,'Données projet'!$E$16+1,1))</f>
        <v>368.12945163484585</v>
      </c>
      <c r="FK186" s="59">
        <f t="shared" si="156"/>
        <v>357.27183934545121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6.9145511260982344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6.9145511260982344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69.372415167860908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69.372415167860908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3.0869565217391299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11.318840579710143</v>
      </c>
      <c r="H187" s="66">
        <f t="shared" si="110"/>
        <v>211.39130434782609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69.383302361629035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5.2499999999990337</v>
      </c>
      <c r="O187" s="13">
        <f>N187*VLOOKUP('Données projet'!$B$9,Paramètres!$A$1:$I$89,3,0)*VLOOKUP('Données projet'!$B$9,Paramètres!$A$1:$I$89,5,0)</f>
        <v>2.4569999999995478</v>
      </c>
      <c r="P187" s="13">
        <f t="shared" si="141"/>
        <v>1.0197977774625564</v>
      </c>
      <c r="Q187" s="20">
        <f t="shared" si="162"/>
        <v>6.0554227957464972</v>
      </c>
      <c r="R187" s="59">
        <f t="shared" si="109"/>
        <v>297.12753145505297</v>
      </c>
      <c r="S187" s="59">
        <f ca="1">AVERAGE(OFFSET($R$3,0,0,'Données projet'!$E$9+1,1))-AVERAGE(OFFSET($H$3,0,0,'Données projet'!$E$9+1,1))</f>
        <v>320.30433416149219</v>
      </c>
      <c r="T187" s="59">
        <f t="shared" si="142"/>
        <v>201.33422682092797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54.997607682855431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54.997607682855431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69.383302361629035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763.00000000000057</v>
      </c>
      <c r="AJ187" s="13">
        <f>AI187*VLOOKUP('Données projet'!$B$10,Paramètres!$A$1:$I$89,3,0)*VLOOKUP('Données projet'!$B$10,Paramètres!$A$1:$I$89,5,0)</f>
        <v>456.2740000000004</v>
      </c>
      <c r="AK187" s="13">
        <f t="shared" si="164"/>
        <v>103.09649786611838</v>
      </c>
      <c r="AL187" s="20">
        <f t="shared" si="165"/>
        <v>974.23695045015677</v>
      </c>
      <c r="AM187" s="59">
        <f t="shared" si="113"/>
        <v>1265.3090591094633</v>
      </c>
      <c r="AN187" s="59">
        <f ca="1">AVERAGE(OFFSET($AM$3,0,0,'Données projet'!$E$10+1,1))-AVERAGE(OFFSET($H$3,0,0,'Données projet'!$E$10+1,1))</f>
        <v>569.80473816957431</v>
      </c>
      <c r="AO187" s="59">
        <f t="shared" si="144"/>
        <v>495.56567790763199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13.568789211978816</v>
      </c>
      <c r="AV187" s="21">
        <f>EXP(-LN(2)/25)*AV186+(1-EXP(-LN(2)/25))/(LN(2)/25)*Calculateur!AQ187*Calculateur!AS187*VLOOKUP('Données projet'!$B$10,Paramètres!$A$1:$I$89,3,0)*0.475*44/12</f>
        <v>0.91490264474050598</v>
      </c>
      <c r="AW187" s="21">
        <f>EXP(-LN(2)/2)*AW186+(1-EXP(-LN(2)/2))/(LN(2)/2)*AQ187*AT187*VLOOKUP('Données projet'!$B$10,Paramètres!$A$1:$I$89,3,0)*0.475*44/12</f>
        <v>5.1978217769722006E-25</v>
      </c>
      <c r="AX187" s="21">
        <f t="shared" si="166"/>
        <v>14.483691856719322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69.383302361629035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-2.5006556825246661E-14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180.42749272334603</v>
      </c>
      <c r="BJ187" s="59">
        <f t="shared" si="146"/>
        <v>346.61476512497495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3.0288033400888223</v>
      </c>
      <c r="BQ187" s="21">
        <f>EXP(-LN(2)/25)*BQ186+(1-EXP(-LN(2)/25))/(LN(2)/25)*Calculateur!BL187*Calculateur!BN187*VLOOKUP('Données projet'!$B$11,Paramètres!$A$1:$I$89,3,0)*0.475*44/12</f>
        <v>0.23164953766162458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3.2604528777504469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69.383302361629035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19.8100000000004</v>
      </c>
      <c r="BZ187" s="13">
        <f>BY187*VLOOKUP('Données projet'!$B$12,Paramètres!$A$1:$I$89,3,0)*VLOOKUP('Données projet'!$B$12,Paramètres!$A$1:$I$89,5,0)</f>
        <v>17.924088000000364</v>
      </c>
      <c r="CA187" s="13">
        <f t="shared" si="170"/>
        <v>5.9032212091029486</v>
      </c>
      <c r="CB187" s="20">
        <f t="shared" si="171"/>
        <v>41.499230205854936</v>
      </c>
      <c r="CC187" s="59">
        <f t="shared" si="119"/>
        <v>332.57133886516141</v>
      </c>
      <c r="CD187" s="59">
        <f ca="1">AVERAGE(OFFSET($CC$3,0,0,'Données projet'!$E$12+1,1))-AVERAGE(OFFSET($H$3,0,0,'Données projet'!$E$12+1,1))</f>
        <v>553.16421218123958</v>
      </c>
      <c r="CE187" s="59">
        <f t="shared" si="148"/>
        <v>291.73668613844416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96.998326303867216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96.998326303867216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69.383302361629035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19.8100000000004</v>
      </c>
      <c r="CU187" s="17">
        <f>CT187*VLOOKUP('Données projet'!$B$13,Paramètres!$A$1:$I$89,3,0)*VLOOKUP('Données projet'!$B$13,Paramètres!$A$1:$I$89,5,0)</f>
        <v>20.08734000000041</v>
      </c>
      <c r="CV187" s="13">
        <f t="shared" si="173"/>
        <v>6.5285137703520215</v>
      </c>
      <c r="CW187" s="20">
        <f t="shared" si="174"/>
        <v>46.355945316697152</v>
      </c>
      <c r="CX187" s="59">
        <f t="shared" si="122"/>
        <v>337.42805397600364</v>
      </c>
      <c r="CY187" s="59">
        <f ca="1">AVERAGE(OFFSET($CX$3,0,0,'Données projet'!$E$13+1,1))-AVERAGE(OFFSET($H$3,0,0,'Données projet'!$E$13+1,1))</f>
        <v>611.82989382187804</v>
      </c>
      <c r="CZ187" s="59">
        <f t="shared" si="150"/>
        <v>320.34124600136363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108.70502085778223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108.70502085778223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69.383302361629035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19.8100000000004</v>
      </c>
      <c r="DP187" s="17">
        <f>DO187*VLOOKUP('Données projet'!$B$14,Paramètres!$A$1:$I$89,3,0)*VLOOKUP('Données projet'!$B$14,Paramètres!$A$1:$I$89,5,0)</f>
        <v>21.323484000000427</v>
      </c>
      <c r="DQ187" s="13">
        <f t="shared" si="176"/>
        <v>6.88226100850307</v>
      </c>
      <c r="DR187" s="20">
        <f t="shared" si="177"/>
        <v>49.125005889810261</v>
      </c>
      <c r="DS187" s="59">
        <f t="shared" si="125"/>
        <v>340.19711454911675</v>
      </c>
      <c r="DT187" s="59">
        <f ca="1">AVERAGE(OFFSET($DS$3,0,0,'Données projet'!$E$14+1,1))-AVERAGE(OFFSET($H$3,0,0,'Données projet'!$E$14+1,1))</f>
        <v>645.29541304800614</v>
      </c>
      <c r="DU187" s="59">
        <f t="shared" si="152"/>
        <v>336.65580771733323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115.39456060287645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115.39456060287645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69.383302361629035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319</v>
      </c>
      <c r="EK187" s="17">
        <f>EJ187*VLOOKUP('Données projet'!$B$15,Paramètres!$A$1:$I$89,3,0)*VLOOKUP('Données projet'!$B$15,Paramètres!$A$1:$I$89,5,0)</f>
        <v>233.89079999999998</v>
      </c>
      <c r="EL187" s="13">
        <f t="shared" si="179"/>
        <v>57.123140349023068</v>
      </c>
      <c r="EM187" s="20">
        <f t="shared" si="180"/>
        <v>506.84927944121517</v>
      </c>
      <c r="EN187" s="59">
        <f t="shared" si="128"/>
        <v>797.92138810052165</v>
      </c>
      <c r="EO187" s="59">
        <f ca="1">AVERAGE(OFFSET($EN$3,0,0,'Données projet'!$E$15+1,1))-AVERAGE(OFFSET($H$3,0,0,'Données projet'!$E$15+1,1))</f>
        <v>343.31122043016137</v>
      </c>
      <c r="EP187" s="59">
        <f t="shared" si="154"/>
        <v>333.61098411258877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5.0685461238867457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5.0685461238867457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69.383302361629035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319</v>
      </c>
      <c r="FF187" s="17">
        <f>FE187*VLOOKUP('Données projet'!$B$16,Paramètres!$A$1:$I$89,3,0)*VLOOKUP('Données projet'!$B$16,Paramètres!$A$1:$I$89,5,0)</f>
        <v>253.79640000000001</v>
      </c>
      <c r="FG187" s="13">
        <f t="shared" si="182"/>
        <v>61.39816832228076</v>
      </c>
      <c r="FH187" s="20">
        <f t="shared" si="183"/>
        <v>548.96387316130563</v>
      </c>
      <c r="FI187" s="59">
        <f t="shared" si="131"/>
        <v>840.03598182061205</v>
      </c>
      <c r="FJ187" s="59">
        <f ca="1">AVERAGE(OFFSET($FI$3,0,0,'Données projet'!$E$16+1,1))-AVERAGE(OFFSET($H$3,0,0,'Données projet'!$E$16+1,1))</f>
        <v>368.12945163484585</v>
      </c>
      <c r="FK187" s="59">
        <f t="shared" si="156"/>
        <v>357.27183934545121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6.7789609959751953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6.7789609959751953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69.383302361629035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69.383302361629035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3.0869565217391299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11.318840579710143</v>
      </c>
      <c r="H188" s="66">
        <f t="shared" si="110"/>
        <v>211.39130434782609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69.394000686925395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5.2499999999990337</v>
      </c>
      <c r="O188" s="13">
        <f>N188*VLOOKUP('Données projet'!$B$9,Paramètres!$A$1:$I$89,3,0)*VLOOKUP('Données projet'!$B$9,Paramètres!$A$1:$I$89,5,0)</f>
        <v>2.4569999999995478</v>
      </c>
      <c r="P188" s="13">
        <f t="shared" si="141"/>
        <v>1.0197977774625564</v>
      </c>
      <c r="Q188" s="20">
        <f t="shared" si="162"/>
        <v>6.0554227957464972</v>
      </c>
      <c r="R188" s="59">
        <f t="shared" si="109"/>
        <v>297.16675864780626</v>
      </c>
      <c r="S188" s="59">
        <f ca="1">AVERAGE(OFFSET($R$3,0,0,'Données projet'!$E$9+1,1))-AVERAGE(OFFSET($H$3,0,0,'Données projet'!$E$9+1,1))</f>
        <v>320.30433416149219</v>
      </c>
      <c r="T188" s="59">
        <f t="shared" si="142"/>
        <v>201.33422682092797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53.919138141423005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53.919138141423005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69.394000686925395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763.00000000000057</v>
      </c>
      <c r="AJ188" s="13">
        <f>AI188*VLOOKUP('Données projet'!$B$10,Paramètres!$A$1:$I$89,3,0)*VLOOKUP('Données projet'!$B$10,Paramètres!$A$1:$I$89,5,0)</f>
        <v>456.2740000000004</v>
      </c>
      <c r="AK188" s="13">
        <f t="shared" si="164"/>
        <v>103.09649786611838</v>
      </c>
      <c r="AL188" s="20">
        <f t="shared" si="165"/>
        <v>974.23695045015677</v>
      </c>
      <c r="AM188" s="59">
        <f t="shared" si="113"/>
        <v>1265.3482863022166</v>
      </c>
      <c r="AN188" s="59">
        <f ca="1">AVERAGE(OFFSET($AM$3,0,0,'Données projet'!$E$10+1,1))-AVERAGE(OFFSET($H$3,0,0,'Données projet'!$E$10+1,1))</f>
        <v>569.80473816957431</v>
      </c>
      <c r="AO188" s="59">
        <f t="shared" si="144"/>
        <v>495.56567790763199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13.30271353167613</v>
      </c>
      <c r="AV188" s="21">
        <f>EXP(-LN(2)/25)*AV187+(1-EXP(-LN(2)/25))/(LN(2)/25)*Calculateur!AQ188*Calculateur!AS188*VLOOKUP('Données projet'!$B$10,Paramètres!$A$1:$I$89,3,0)*0.475*44/12</f>
        <v>0.88988458380743785</v>
      </c>
      <c r="AW188" s="21">
        <f>EXP(-LN(2)/2)*AW187+(1-EXP(-LN(2)/2))/(LN(2)/2)*AQ188*AT188*VLOOKUP('Données projet'!$B$10,Paramètres!$A$1:$I$89,3,0)*0.475*44/12</f>
        <v>3.6754150258961536E-25</v>
      </c>
      <c r="AX188" s="21">
        <f t="shared" si="166"/>
        <v>14.192598115483568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69.394000686925395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-2.5006556825246661E-14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180.42749272334603</v>
      </c>
      <c r="BJ188" s="59">
        <f t="shared" si="146"/>
        <v>346.61476512497495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2.9694103539773038</v>
      </c>
      <c r="BQ188" s="21">
        <f>EXP(-LN(2)/25)*BQ187+(1-EXP(-LN(2)/25))/(LN(2)/25)*Calculateur!BL188*Calculateur!BN188*VLOOKUP('Données projet'!$B$11,Paramètres!$A$1:$I$89,3,0)*0.475*44/12</f>
        <v>0.2253150688723477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3.1947254228496513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69.394000686925395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19.8100000000004</v>
      </c>
      <c r="BZ188" s="13">
        <f>BY188*VLOOKUP('Données projet'!$B$12,Paramètres!$A$1:$I$89,3,0)*VLOOKUP('Données projet'!$B$12,Paramètres!$A$1:$I$89,5,0)</f>
        <v>17.924088000000364</v>
      </c>
      <c r="CA188" s="13">
        <f t="shared" si="170"/>
        <v>5.9032212091029486</v>
      </c>
      <c r="CB188" s="20">
        <f t="shared" si="171"/>
        <v>41.499230205854936</v>
      </c>
      <c r="CC188" s="59">
        <f t="shared" si="119"/>
        <v>332.6105660579147</v>
      </c>
      <c r="CD188" s="59">
        <f ca="1">AVERAGE(OFFSET($CC$3,0,0,'Données projet'!$E$12+1,1))-AVERAGE(OFFSET($H$3,0,0,'Données projet'!$E$12+1,1))</f>
        <v>553.16421218123958</v>
      </c>
      <c r="CE188" s="59">
        <f t="shared" si="148"/>
        <v>291.73668613844416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95.096248288185549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95.096248288185549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69.394000686925395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19.8100000000004</v>
      </c>
      <c r="CU188" s="17">
        <f>CT188*VLOOKUP('Données projet'!$B$13,Paramètres!$A$1:$I$89,3,0)*VLOOKUP('Données projet'!$B$13,Paramètres!$A$1:$I$89,5,0)</f>
        <v>20.08734000000041</v>
      </c>
      <c r="CV188" s="13">
        <f t="shared" si="173"/>
        <v>6.5285137703520215</v>
      </c>
      <c r="CW188" s="20">
        <f t="shared" si="174"/>
        <v>46.355945316697152</v>
      </c>
      <c r="CX188" s="59">
        <f t="shared" si="122"/>
        <v>337.46728116875693</v>
      </c>
      <c r="CY188" s="59">
        <f ca="1">AVERAGE(OFFSET($CX$3,0,0,'Données projet'!$E$13+1,1))-AVERAGE(OFFSET($H$3,0,0,'Données projet'!$E$13+1,1))</f>
        <v>611.82989382187804</v>
      </c>
      <c r="CZ188" s="59">
        <f t="shared" si="150"/>
        <v>320.34124600136363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106.57338170227692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106.57338170227692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69.394000686925395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19.8100000000004</v>
      </c>
      <c r="DP188" s="17">
        <f>DO188*VLOOKUP('Données projet'!$B$14,Paramètres!$A$1:$I$89,3,0)*VLOOKUP('Données projet'!$B$14,Paramètres!$A$1:$I$89,5,0)</f>
        <v>21.323484000000427</v>
      </c>
      <c r="DQ188" s="13">
        <f t="shared" si="176"/>
        <v>6.88226100850307</v>
      </c>
      <c r="DR188" s="20">
        <f t="shared" si="177"/>
        <v>49.125005889810261</v>
      </c>
      <c r="DS188" s="59">
        <f t="shared" si="125"/>
        <v>340.23634174187004</v>
      </c>
      <c r="DT188" s="59">
        <f ca="1">AVERAGE(OFFSET($DS$3,0,0,'Données projet'!$E$14+1,1))-AVERAGE(OFFSET($H$3,0,0,'Données projet'!$E$14+1,1))</f>
        <v>645.29541304800614</v>
      </c>
      <c r="DU188" s="59">
        <f t="shared" si="152"/>
        <v>336.65580771733323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113.13174365318619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113.13174365318619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69.394000686925395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319</v>
      </c>
      <c r="EK188" s="17">
        <f>EJ188*VLOOKUP('Données projet'!$B$15,Paramètres!$A$1:$I$89,3,0)*VLOOKUP('Données projet'!$B$15,Paramètres!$A$1:$I$89,5,0)</f>
        <v>233.89079999999998</v>
      </c>
      <c r="EL188" s="13">
        <f t="shared" si="179"/>
        <v>57.123140349023068</v>
      </c>
      <c r="EM188" s="20">
        <f t="shared" si="180"/>
        <v>506.84927944121517</v>
      </c>
      <c r="EN188" s="59">
        <f t="shared" si="128"/>
        <v>797.96061529327494</v>
      </c>
      <c r="EO188" s="59">
        <f ca="1">AVERAGE(OFFSET($EN$3,0,0,'Données projet'!$E$15+1,1))-AVERAGE(OFFSET($H$3,0,0,'Données projet'!$E$15+1,1))</f>
        <v>343.31122043016137</v>
      </c>
      <c r="EP188" s="59">
        <f t="shared" si="154"/>
        <v>333.61098411258877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4.9691550259052013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4.9691550259052013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69.394000686925395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319</v>
      </c>
      <c r="FF188" s="17">
        <f>FE188*VLOOKUP('Données projet'!$B$16,Paramètres!$A$1:$I$89,3,0)*VLOOKUP('Données projet'!$B$16,Paramètres!$A$1:$I$89,5,0)</f>
        <v>253.79640000000001</v>
      </c>
      <c r="FG188" s="13">
        <f t="shared" si="182"/>
        <v>61.39816832228076</v>
      </c>
      <c r="FH188" s="20">
        <f t="shared" si="183"/>
        <v>548.96387316130563</v>
      </c>
      <c r="FI188" s="59">
        <f t="shared" si="131"/>
        <v>840.07520901336534</v>
      </c>
      <c r="FJ188" s="59">
        <f ca="1">AVERAGE(OFFSET($FI$3,0,0,'Données projet'!$E$16+1,1))-AVERAGE(OFFSET($H$3,0,0,'Données projet'!$E$16+1,1))</f>
        <v>368.12945163484585</v>
      </c>
      <c r="FK188" s="59">
        <f t="shared" si="156"/>
        <v>357.27183934545121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6.6460297056020554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6.6460297056020554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69.394000686925395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69.394000686925395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3.0869565217391299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11.318840579710143</v>
      </c>
      <c r="H189" s="66">
        <f t="shared" si="110"/>
        <v>211.39130434782609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69.404513420195741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5.2499999999990337</v>
      </c>
      <c r="O189" s="13">
        <f>N189*VLOOKUP('Données projet'!$B$9,Paramètres!$A$1:$I$89,3,0)*VLOOKUP('Données projet'!$B$9,Paramètres!$A$1:$I$89,5,0)</f>
        <v>2.4569999999995478</v>
      </c>
      <c r="P189" s="13">
        <f t="shared" si="141"/>
        <v>1.0197977774625564</v>
      </c>
      <c r="Q189" s="20">
        <f t="shared" si="162"/>
        <v>6.0554227957464972</v>
      </c>
      <c r="R189" s="59">
        <f t="shared" si="109"/>
        <v>297.20530533646422</v>
      </c>
      <c r="S189" s="59">
        <f ca="1">AVERAGE(OFFSET($R$3,0,0,'Données projet'!$E$9+1,1))-AVERAGE(OFFSET($H$3,0,0,'Données projet'!$E$9+1,1))</f>
        <v>320.30433416149219</v>
      </c>
      <c r="T189" s="59">
        <f t="shared" si="142"/>
        <v>201.33422682092797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52.861816729896603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52.861816729896603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69.404513420195741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763.00000000000057</v>
      </c>
      <c r="AJ189" s="13">
        <f>AI189*VLOOKUP('Données projet'!$B$10,Paramètres!$A$1:$I$89,3,0)*VLOOKUP('Données projet'!$B$10,Paramètres!$A$1:$I$89,5,0)</f>
        <v>456.2740000000004</v>
      </c>
      <c r="AK189" s="13">
        <f t="shared" si="164"/>
        <v>103.09649786611838</v>
      </c>
      <c r="AL189" s="20">
        <f t="shared" si="165"/>
        <v>974.23695045015677</v>
      </c>
      <c r="AM189" s="59">
        <f t="shared" si="113"/>
        <v>1265.3868329908746</v>
      </c>
      <c r="AN189" s="59">
        <f ca="1">AVERAGE(OFFSET($AM$3,0,0,'Données projet'!$E$10+1,1))-AVERAGE(OFFSET($H$3,0,0,'Données projet'!$E$10+1,1))</f>
        <v>569.80473816957431</v>
      </c>
      <c r="AO189" s="59">
        <f t="shared" si="144"/>
        <v>495.56567790763199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13.041855433174039</v>
      </c>
      <c r="AV189" s="21">
        <f>EXP(-LN(2)/25)*AV188+(1-EXP(-LN(2)/25))/(LN(2)/25)*Calculateur!AQ189*Calculateur!AS189*VLOOKUP('Données projet'!$B$10,Paramètres!$A$1:$I$89,3,0)*0.475*44/12</f>
        <v>0.86555064306622709</v>
      </c>
      <c r="AW189" s="21">
        <f>EXP(-LN(2)/2)*AW188+(1-EXP(-LN(2)/2))/(LN(2)/2)*AQ189*AT189*VLOOKUP('Données projet'!$B$10,Paramètres!$A$1:$I$89,3,0)*0.475*44/12</f>
        <v>2.5989108884861003E-25</v>
      </c>
      <c r="AX189" s="21">
        <f t="shared" si="166"/>
        <v>13.907406076240266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69.404513420195741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-2.5006556825246661E-14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180.42749272334603</v>
      </c>
      <c r="BJ189" s="59">
        <f t="shared" si="146"/>
        <v>346.61476512497495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2.9111820280972873</v>
      </c>
      <c r="BQ189" s="21">
        <f>EXP(-LN(2)/25)*BQ188+(1-EXP(-LN(2)/25))/(LN(2)/25)*Calculateur!BL189*Calculateur!BN189*VLOOKUP('Données projet'!$B$11,Paramètres!$A$1:$I$89,3,0)*0.475*44/12</f>
        <v>0.21915381646522886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3.130335844562516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69.404513420195741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19.8100000000004</v>
      </c>
      <c r="BZ189" s="13">
        <f>BY189*VLOOKUP('Données projet'!$B$12,Paramètres!$A$1:$I$89,3,0)*VLOOKUP('Données projet'!$B$12,Paramètres!$A$1:$I$89,5,0)</f>
        <v>17.924088000000364</v>
      </c>
      <c r="CA189" s="13">
        <f t="shared" si="170"/>
        <v>5.9032212091029486</v>
      </c>
      <c r="CB189" s="20">
        <f t="shared" si="171"/>
        <v>41.499230205854936</v>
      </c>
      <c r="CC189" s="59">
        <f t="shared" si="119"/>
        <v>332.64911274657265</v>
      </c>
      <c r="CD189" s="59">
        <f ca="1">AVERAGE(OFFSET($CC$3,0,0,'Données projet'!$E$12+1,1))-AVERAGE(OFFSET($H$3,0,0,'Données projet'!$E$12+1,1))</f>
        <v>553.16421218123958</v>
      </c>
      <c r="CE189" s="59">
        <f t="shared" si="148"/>
        <v>291.73668613844416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93.231468862238373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93.231468862238373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69.404513420195741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19.8100000000004</v>
      </c>
      <c r="CU189" s="17">
        <f>CT189*VLOOKUP('Données projet'!$B$13,Paramètres!$A$1:$I$89,3,0)*VLOOKUP('Données projet'!$B$13,Paramètres!$A$1:$I$89,5,0)</f>
        <v>20.08734000000041</v>
      </c>
      <c r="CV189" s="13">
        <f t="shared" si="173"/>
        <v>6.5285137703520215</v>
      </c>
      <c r="CW189" s="20">
        <f t="shared" si="174"/>
        <v>46.355945316697152</v>
      </c>
      <c r="CX189" s="59">
        <f t="shared" si="122"/>
        <v>337.50582785741489</v>
      </c>
      <c r="CY189" s="59">
        <f ca="1">AVERAGE(OFFSET($CX$3,0,0,'Données projet'!$E$13+1,1))-AVERAGE(OFFSET($H$3,0,0,'Données projet'!$E$13+1,1))</f>
        <v>611.82989382187804</v>
      </c>
      <c r="CZ189" s="59">
        <f t="shared" si="150"/>
        <v>320.34124600136363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104.48354269043956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104.48354269043956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69.404513420195741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19.8100000000004</v>
      </c>
      <c r="DP189" s="17">
        <f>DO189*VLOOKUP('Données projet'!$B$14,Paramètres!$A$1:$I$89,3,0)*VLOOKUP('Données projet'!$B$14,Paramètres!$A$1:$I$89,5,0)</f>
        <v>21.323484000000427</v>
      </c>
      <c r="DQ189" s="13">
        <f t="shared" si="176"/>
        <v>6.88226100850307</v>
      </c>
      <c r="DR189" s="20">
        <f t="shared" si="177"/>
        <v>49.125005889810261</v>
      </c>
      <c r="DS189" s="59">
        <f t="shared" si="125"/>
        <v>340.27488843052799</v>
      </c>
      <c r="DT189" s="59">
        <f ca="1">AVERAGE(OFFSET($DS$3,0,0,'Données projet'!$E$14+1,1))-AVERAGE(OFFSET($H$3,0,0,'Données projet'!$E$14+1,1))</f>
        <v>645.29541304800614</v>
      </c>
      <c r="DU189" s="59">
        <f t="shared" si="152"/>
        <v>336.65580771733323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110.9132991636973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110.9132991636973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69.404513420195741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319</v>
      </c>
      <c r="EK189" s="17">
        <f>EJ189*VLOOKUP('Données projet'!$B$15,Paramètres!$A$1:$I$89,3,0)*VLOOKUP('Données projet'!$B$15,Paramètres!$A$1:$I$89,5,0)</f>
        <v>233.89079999999998</v>
      </c>
      <c r="EL189" s="13">
        <f t="shared" si="179"/>
        <v>57.123140349023068</v>
      </c>
      <c r="EM189" s="20">
        <f t="shared" si="180"/>
        <v>506.84927944121517</v>
      </c>
      <c r="EN189" s="59">
        <f t="shared" si="128"/>
        <v>797.99916198193296</v>
      </c>
      <c r="EO189" s="59">
        <f ca="1">AVERAGE(OFFSET($EN$3,0,0,'Données projet'!$E$15+1,1))-AVERAGE(OFFSET($H$3,0,0,'Données projet'!$E$15+1,1))</f>
        <v>343.31122043016137</v>
      </c>
      <c r="EP189" s="59">
        <f t="shared" si="154"/>
        <v>333.61098411258877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4.8717129267324912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4.8717129267324912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69.404513420195741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319</v>
      </c>
      <c r="FF189" s="17">
        <f>FE189*VLOOKUP('Données projet'!$B$16,Paramètres!$A$1:$I$89,3,0)*VLOOKUP('Données projet'!$B$16,Paramètres!$A$1:$I$89,5,0)</f>
        <v>253.79640000000001</v>
      </c>
      <c r="FG189" s="13">
        <f t="shared" si="182"/>
        <v>61.39816832228076</v>
      </c>
      <c r="FH189" s="20">
        <f t="shared" si="183"/>
        <v>548.96387316130563</v>
      </c>
      <c r="FI189" s="59">
        <f t="shared" si="131"/>
        <v>840.11375570202335</v>
      </c>
      <c r="FJ189" s="59">
        <f ca="1">AVERAGE(OFFSET($FI$3,0,0,'Données projet'!$E$16+1,1))-AVERAGE(OFFSET($H$3,0,0,'Données projet'!$E$16+1,1))</f>
        <v>368.12945163484585</v>
      </c>
      <c r="FK189" s="59">
        <f t="shared" si="156"/>
        <v>357.27183934545121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6.5157051167530522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6.5157051167530522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69.404513420195741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69.404513420195741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3.0869565217391299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11.318840579710143</v>
      </c>
      <c r="H190" s="66">
        <f t="shared" si="110"/>
        <v>211.39130434782609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69.414843781046798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5.2499999999990337</v>
      </c>
      <c r="O190" s="13">
        <f>N190*VLOOKUP('Données projet'!$B$9,Paramètres!$A$1:$I$89,3,0)*VLOOKUP('Données projet'!$B$9,Paramètres!$A$1:$I$89,5,0)</f>
        <v>2.4569999999995478</v>
      </c>
      <c r="P190" s="13">
        <f t="shared" si="141"/>
        <v>1.0197977774625564</v>
      </c>
      <c r="Q190" s="20">
        <f t="shared" si="162"/>
        <v>6.0554227957464972</v>
      </c>
      <c r="R190" s="59">
        <f t="shared" si="109"/>
        <v>297.24318332625143</v>
      </c>
      <c r="S190" s="59">
        <f ca="1">AVERAGE(OFFSET($R$3,0,0,'Données projet'!$E$9+1,1))-AVERAGE(OFFSET($H$3,0,0,'Données projet'!$E$9+1,1))</f>
        <v>320.30433416149219</v>
      </c>
      <c r="T190" s="59">
        <f t="shared" si="142"/>
        <v>201.33422682092797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51.825228746347854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51.825228746347854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69.414843781046798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763.00000000000057</v>
      </c>
      <c r="AJ190" s="13">
        <f>AI190*VLOOKUP('Données projet'!$B$10,Paramètres!$A$1:$I$89,3,0)*VLOOKUP('Données projet'!$B$10,Paramètres!$A$1:$I$89,5,0)</f>
        <v>456.2740000000004</v>
      </c>
      <c r="AK190" s="13">
        <f t="shared" si="164"/>
        <v>103.09649786611838</v>
      </c>
      <c r="AL190" s="20">
        <f t="shared" si="165"/>
        <v>974.23695045015677</v>
      </c>
      <c r="AM190" s="59">
        <f t="shared" si="113"/>
        <v>1265.4247109806618</v>
      </c>
      <c r="AN190" s="59">
        <f ca="1">AVERAGE(OFFSET($AM$3,0,0,'Données projet'!$E$10+1,1))-AVERAGE(OFFSET($H$3,0,0,'Données projet'!$E$10+1,1))</f>
        <v>569.80473816957431</v>
      </c>
      <c r="AO190" s="59">
        <f t="shared" si="144"/>
        <v>495.56567790763199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12.786112602875845</v>
      </c>
      <c r="AV190" s="21">
        <f>EXP(-LN(2)/25)*AV189+(1-EXP(-LN(2)/25))/(LN(2)/25)*Calculateur!AQ190*Calculateur!AS190*VLOOKUP('Données projet'!$B$10,Paramètres!$A$1:$I$89,3,0)*0.475*44/12</f>
        <v>0.84188211521425105</v>
      </c>
      <c r="AW190" s="21">
        <f>EXP(-LN(2)/2)*AW189+(1-EXP(-LN(2)/2))/(LN(2)/2)*AQ190*AT190*VLOOKUP('Données projet'!$B$10,Paramètres!$A$1:$I$89,3,0)*0.475*44/12</f>
        <v>1.8377075129480768E-25</v>
      </c>
      <c r="AX190" s="21">
        <f t="shared" si="166"/>
        <v>13.627994718090095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69.414843781046798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-2.5006556825246661E-14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180.42749272334603</v>
      </c>
      <c r="BJ190" s="59">
        <f t="shared" si="146"/>
        <v>346.61476512497495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2.8540955241720063</v>
      </c>
      <c r="BQ190" s="21">
        <f>EXP(-LN(2)/25)*BQ189+(1-EXP(-LN(2)/25))/(LN(2)/25)*Calculateur!BL190*Calculateur!BN190*VLOOKUP('Données projet'!$B$11,Paramètres!$A$1:$I$89,3,0)*0.475*44/12</f>
        <v>0.21316104382918885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3.0672565680011949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69.414843781046798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19.8100000000004</v>
      </c>
      <c r="BZ190" s="13">
        <f>BY190*VLOOKUP('Données projet'!$B$12,Paramètres!$A$1:$I$89,3,0)*VLOOKUP('Données projet'!$B$12,Paramètres!$A$1:$I$89,5,0)</f>
        <v>17.924088000000364</v>
      </c>
      <c r="CA190" s="13">
        <f t="shared" si="170"/>
        <v>5.9032212091029486</v>
      </c>
      <c r="CB190" s="20">
        <f t="shared" si="171"/>
        <v>41.499230205854936</v>
      </c>
      <c r="CC190" s="59">
        <f t="shared" si="119"/>
        <v>332.68699073635986</v>
      </c>
      <c r="CD190" s="59">
        <f ca="1">AVERAGE(OFFSET($CC$3,0,0,'Données projet'!$E$12+1,1))-AVERAGE(OFFSET($H$3,0,0,'Données projet'!$E$12+1,1))</f>
        <v>553.16421218123958</v>
      </c>
      <c r="CE190" s="59">
        <f t="shared" si="148"/>
        <v>291.73668613844416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91.403256623430877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91.403256623430877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69.414843781046798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19.8100000000004</v>
      </c>
      <c r="CU190" s="17">
        <f>CT190*VLOOKUP('Données projet'!$B$13,Paramètres!$A$1:$I$89,3,0)*VLOOKUP('Données projet'!$B$13,Paramètres!$A$1:$I$89,5,0)</f>
        <v>20.08734000000041</v>
      </c>
      <c r="CV190" s="13">
        <f t="shared" si="173"/>
        <v>6.5285137703520215</v>
      </c>
      <c r="CW190" s="20">
        <f t="shared" si="174"/>
        <v>46.355945316697152</v>
      </c>
      <c r="CX190" s="59">
        <f t="shared" si="122"/>
        <v>337.54370584720209</v>
      </c>
      <c r="CY190" s="59">
        <f ca="1">AVERAGE(OFFSET($CX$3,0,0,'Données projet'!$E$13+1,1))-AVERAGE(OFFSET($H$3,0,0,'Données projet'!$E$13+1,1))</f>
        <v>611.82989382187804</v>
      </c>
      <c r="CZ190" s="59">
        <f t="shared" si="150"/>
        <v>320.34124600136363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102.4346841469484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102.4346841469484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69.414843781046798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19.8100000000004</v>
      </c>
      <c r="DP190" s="17">
        <f>DO190*VLOOKUP('Données projet'!$B$14,Paramètres!$A$1:$I$89,3,0)*VLOOKUP('Données projet'!$B$14,Paramètres!$A$1:$I$89,5,0)</f>
        <v>21.323484000000427</v>
      </c>
      <c r="DQ190" s="13">
        <f t="shared" si="176"/>
        <v>6.88226100850307</v>
      </c>
      <c r="DR190" s="20">
        <f t="shared" si="177"/>
        <v>49.125005889810261</v>
      </c>
      <c r="DS190" s="59">
        <f t="shared" si="125"/>
        <v>340.3127664203152</v>
      </c>
      <c r="DT190" s="59">
        <f ca="1">AVERAGE(OFFSET($DS$3,0,0,'Données projet'!$E$14+1,1))-AVERAGE(OFFSET($H$3,0,0,'Données projet'!$E$14+1,1))</f>
        <v>645.29541304800614</v>
      </c>
      <c r="DU190" s="59">
        <f t="shared" si="152"/>
        <v>336.65580771733323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108.73835701752976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108.73835701752976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69.414843781046798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319</v>
      </c>
      <c r="EK190" s="17">
        <f>EJ190*VLOOKUP('Données projet'!$B$15,Paramètres!$A$1:$I$89,3,0)*VLOOKUP('Données projet'!$B$15,Paramètres!$A$1:$I$89,5,0)</f>
        <v>233.89079999999998</v>
      </c>
      <c r="EL190" s="13">
        <f t="shared" si="179"/>
        <v>57.123140349023068</v>
      </c>
      <c r="EM190" s="20">
        <f t="shared" si="180"/>
        <v>506.84927944121517</v>
      </c>
      <c r="EN190" s="59">
        <f t="shared" si="128"/>
        <v>798.03703997172011</v>
      </c>
      <c r="EO190" s="59">
        <f ca="1">AVERAGE(OFFSET($EN$3,0,0,'Données projet'!$E$15+1,1))-AVERAGE(OFFSET($H$3,0,0,'Données projet'!$E$15+1,1))</f>
        <v>343.31122043016137</v>
      </c>
      <c r="EP190" s="59">
        <f t="shared" si="154"/>
        <v>333.61098411258877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4.776181607690746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4.776181607690746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69.414843781046798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319</v>
      </c>
      <c r="FF190" s="17">
        <f>FE190*VLOOKUP('Données projet'!$B$16,Paramètres!$A$1:$I$89,3,0)*VLOOKUP('Données projet'!$B$16,Paramètres!$A$1:$I$89,5,0)</f>
        <v>253.79640000000001</v>
      </c>
      <c r="FG190" s="13">
        <f t="shared" si="182"/>
        <v>61.39816832228076</v>
      </c>
      <c r="FH190" s="20">
        <f t="shared" si="183"/>
        <v>548.96387316130563</v>
      </c>
      <c r="FI190" s="59">
        <f t="shared" si="131"/>
        <v>840.1516336918105</v>
      </c>
      <c r="FJ190" s="59">
        <f ca="1">AVERAGE(OFFSET($FI$3,0,0,'Données projet'!$E$16+1,1))-AVERAGE(OFFSET($H$3,0,0,'Données projet'!$E$16+1,1))</f>
        <v>368.12945163484585</v>
      </c>
      <c r="FK190" s="59">
        <f t="shared" si="156"/>
        <v>357.27183934545121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6.3879361136012278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6.3879361136012278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69.414843781046798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69.414843781046798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3.0869565217391299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11.318840579710143</v>
      </c>
      <c r="H191" s="66">
        <f t="shared" si="110"/>
        <v>211.39130434782609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69.424994933232313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5.2499999999990337</v>
      </c>
      <c r="O191" s="13">
        <f>N191*VLOOKUP('Données projet'!$B$9,Paramètres!$A$1:$I$89,3,0)*VLOOKUP('Données projet'!$B$9,Paramètres!$A$1:$I$89,5,0)</f>
        <v>2.4569999999995478</v>
      </c>
      <c r="P191" s="13">
        <f t="shared" si="141"/>
        <v>1.0197977774625564</v>
      </c>
      <c r="Q191" s="20">
        <f t="shared" si="162"/>
        <v>6.0554227957464972</v>
      </c>
      <c r="R191" s="59">
        <f t="shared" si="109"/>
        <v>297.28040421759835</v>
      </c>
      <c r="S191" s="59">
        <f ca="1">AVERAGE(OFFSET($R$3,0,0,'Données projet'!$E$9+1,1))-AVERAGE(OFFSET($H$3,0,0,'Données projet'!$E$9+1,1))</f>
        <v>320.30433416149219</v>
      </c>
      <c r="T191" s="59">
        <f t="shared" si="142"/>
        <v>201.33422682092797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50.808967620900255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50.808967620900255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69.424994933232313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763.00000000000057</v>
      </c>
      <c r="AJ191" s="13">
        <f>AI191*VLOOKUP('Données projet'!$B$10,Paramètres!$A$1:$I$89,3,0)*VLOOKUP('Données projet'!$B$10,Paramètres!$A$1:$I$89,5,0)</f>
        <v>456.2740000000004</v>
      </c>
      <c r="AK191" s="13">
        <f t="shared" si="164"/>
        <v>103.09649786611838</v>
      </c>
      <c r="AL191" s="20">
        <f t="shared" si="165"/>
        <v>974.23695045015677</v>
      </c>
      <c r="AM191" s="59">
        <f t="shared" si="113"/>
        <v>1265.4619318720086</v>
      </c>
      <c r="AN191" s="59">
        <f ca="1">AVERAGE(OFFSET($AM$3,0,0,'Données projet'!$E$10+1,1))-AVERAGE(OFFSET($H$3,0,0,'Données projet'!$E$10+1,1))</f>
        <v>569.80473816957431</v>
      </c>
      <c r="AO191" s="59">
        <f t="shared" si="144"/>
        <v>495.56567790763199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12.535384733492073</v>
      </c>
      <c r="AV191" s="21">
        <f>EXP(-LN(2)/25)*AV190+(1-EXP(-LN(2)/25))/(LN(2)/25)*Calculateur!AQ191*Calculateur!AS191*VLOOKUP('Données projet'!$B$10,Paramètres!$A$1:$I$89,3,0)*0.475*44/12</f>
        <v>0.81886080450106102</v>
      </c>
      <c r="AW191" s="21">
        <f>EXP(-LN(2)/2)*AW190+(1-EXP(-LN(2)/2))/(LN(2)/2)*AQ191*AT191*VLOOKUP('Données projet'!$B$10,Paramètres!$A$1:$I$89,3,0)*0.475*44/12</f>
        <v>1.2994554442430502E-25</v>
      </c>
      <c r="AX191" s="21">
        <f t="shared" si="166"/>
        <v>13.354245537993133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69.424994933232313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-2.5006556825246661E-14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180.42749272334603</v>
      </c>
      <c r="BJ191" s="59">
        <f t="shared" si="146"/>
        <v>346.61476512497495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2.7981284517693705</v>
      </c>
      <c r="BQ191" s="21">
        <f>EXP(-LN(2)/25)*BQ190+(1-EXP(-LN(2)/25))/(LN(2)/25)*Calculateur!BL191*Calculateur!BN191*VLOOKUP('Données projet'!$B$11,Paramètres!$A$1:$I$89,3,0)*0.475*44/12</f>
        <v>0.20733214387602758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3.0054605956453981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69.424994933232313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19.8100000000004</v>
      </c>
      <c r="BZ191" s="13">
        <f>BY191*VLOOKUP('Données projet'!$B$12,Paramètres!$A$1:$I$89,3,0)*VLOOKUP('Données projet'!$B$12,Paramètres!$A$1:$I$89,5,0)</f>
        <v>17.924088000000364</v>
      </c>
      <c r="CA191" s="13">
        <f t="shared" si="170"/>
        <v>5.9032212091029486</v>
      </c>
      <c r="CB191" s="20">
        <f t="shared" si="171"/>
        <v>41.499230205854936</v>
      </c>
      <c r="CC191" s="59">
        <f t="shared" si="119"/>
        <v>332.72421162770678</v>
      </c>
      <c r="CD191" s="59">
        <f ca="1">AVERAGE(OFFSET($CC$3,0,0,'Données projet'!$E$12+1,1))-AVERAGE(OFFSET($H$3,0,0,'Données projet'!$E$12+1,1))</f>
        <v>553.16421218123958</v>
      </c>
      <c r="CE191" s="59">
        <f t="shared" si="148"/>
        <v>291.73668613844416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89.610894511527036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89.610894511527036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69.424994933232313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19.8100000000004</v>
      </c>
      <c r="CU191" s="17">
        <f>CT191*VLOOKUP('Données projet'!$B$13,Paramètres!$A$1:$I$89,3,0)*VLOOKUP('Données projet'!$B$13,Paramètres!$A$1:$I$89,5,0)</f>
        <v>20.08734000000041</v>
      </c>
      <c r="CV191" s="13">
        <f t="shared" si="173"/>
        <v>6.5285137703520215</v>
      </c>
      <c r="CW191" s="20">
        <f t="shared" si="174"/>
        <v>46.355945316697152</v>
      </c>
      <c r="CX191" s="59">
        <f t="shared" si="122"/>
        <v>337.58092673854901</v>
      </c>
      <c r="CY191" s="59">
        <f ca="1">AVERAGE(OFFSET($CX$3,0,0,'Données projet'!$E$13+1,1))-AVERAGE(OFFSET($H$3,0,0,'Données projet'!$E$13+1,1))</f>
        <v>611.82989382187804</v>
      </c>
      <c r="CZ191" s="59">
        <f t="shared" si="150"/>
        <v>320.34124600136363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100.42600246981478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100.42600246981478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69.424994933232313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19.8100000000004</v>
      </c>
      <c r="DP191" s="17">
        <f>DO191*VLOOKUP('Données projet'!$B$14,Paramètres!$A$1:$I$89,3,0)*VLOOKUP('Données projet'!$B$14,Paramètres!$A$1:$I$89,5,0)</f>
        <v>21.323484000000427</v>
      </c>
      <c r="DQ191" s="13">
        <f t="shared" si="176"/>
        <v>6.88226100850307</v>
      </c>
      <c r="DR191" s="20">
        <f t="shared" si="177"/>
        <v>49.125005889810261</v>
      </c>
      <c r="DS191" s="59">
        <f t="shared" si="125"/>
        <v>340.34998731166212</v>
      </c>
      <c r="DT191" s="59">
        <f ca="1">AVERAGE(OFFSET($DS$3,0,0,'Données projet'!$E$14+1,1))-AVERAGE(OFFSET($H$3,0,0,'Données projet'!$E$14+1,1))</f>
        <v>645.29541304800614</v>
      </c>
      <c r="DU191" s="59">
        <f t="shared" si="152"/>
        <v>336.65580771733323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106.60606416026485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106.60606416026485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69.424994933232313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319</v>
      </c>
      <c r="EK191" s="17">
        <f>EJ191*VLOOKUP('Données projet'!$B$15,Paramètres!$A$1:$I$89,3,0)*VLOOKUP('Données projet'!$B$15,Paramètres!$A$1:$I$89,5,0)</f>
        <v>233.89079999999998</v>
      </c>
      <c r="EL191" s="13">
        <f t="shared" si="179"/>
        <v>57.123140349023068</v>
      </c>
      <c r="EM191" s="20">
        <f t="shared" si="180"/>
        <v>506.84927944121517</v>
      </c>
      <c r="EN191" s="59">
        <f t="shared" si="128"/>
        <v>798.07426086306702</v>
      </c>
      <c r="EO191" s="59">
        <f ca="1">AVERAGE(OFFSET($EN$3,0,0,'Données projet'!$E$15+1,1))-AVERAGE(OFFSET($H$3,0,0,'Données projet'!$E$15+1,1))</f>
        <v>343.31122043016137</v>
      </c>
      <c r="EP191" s="59">
        <f t="shared" si="154"/>
        <v>333.61098411258877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4.682523599547058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4.682523599547058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69.424994933232313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319</v>
      </c>
      <c r="FF191" s="17">
        <f>FE191*VLOOKUP('Données projet'!$B$16,Paramètres!$A$1:$I$89,3,0)*VLOOKUP('Données projet'!$B$16,Paramètres!$A$1:$I$89,5,0)</f>
        <v>253.79640000000001</v>
      </c>
      <c r="FG191" s="13">
        <f t="shared" si="182"/>
        <v>61.39816832228076</v>
      </c>
      <c r="FH191" s="20">
        <f t="shared" si="183"/>
        <v>548.96387316130563</v>
      </c>
      <c r="FI191" s="59">
        <f t="shared" si="131"/>
        <v>840.18885458315754</v>
      </c>
      <c r="FJ191" s="59">
        <f ca="1">AVERAGE(OFFSET($FI$3,0,0,'Données projet'!$E$16+1,1))-AVERAGE(OFFSET($H$3,0,0,'Données projet'!$E$16+1,1))</f>
        <v>368.12945163484585</v>
      </c>
      <c r="FK191" s="59">
        <f t="shared" si="156"/>
        <v>357.27183934545121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6.262672582669814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6.262672582669814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69.424994933232313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69.424994933232313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3.0869565217391299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11.318840579710143</v>
      </c>
      <c r="H192" s="66">
        <f t="shared" si="110"/>
        <v>211.39130434782609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69.43496998562199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5.2499999999990337</v>
      </c>
      <c r="O192" s="13">
        <f>N192*VLOOKUP('Données projet'!$B$9,Paramètres!$A$1:$I$89,3,0)*VLOOKUP('Données projet'!$B$9,Paramètres!$A$1:$I$89,5,0)</f>
        <v>2.4569999999995478</v>
      </c>
      <c r="P192" s="13">
        <f t="shared" si="141"/>
        <v>1.0197977774625564</v>
      </c>
      <c r="Q192" s="20">
        <f t="shared" si="162"/>
        <v>6.0554227957464972</v>
      </c>
      <c r="R192" s="59">
        <f t="shared" si="109"/>
        <v>297.31697940969377</v>
      </c>
      <c r="S192" s="59">
        <f ca="1">AVERAGE(OFFSET($R$3,0,0,'Données projet'!$E$9+1,1))-AVERAGE(OFFSET($H$3,0,0,'Données projet'!$E$9+1,1))</f>
        <v>320.30433416149219</v>
      </c>
      <c r="T192" s="59">
        <f t="shared" si="142"/>
        <v>201.33422682092797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49.8126347562646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49.8126347562646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69.43496998562199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763.00000000000057</v>
      </c>
      <c r="AJ192" s="13">
        <f>AI192*VLOOKUP('Données projet'!$B$10,Paramètres!$A$1:$I$89,3,0)*VLOOKUP('Données projet'!$B$10,Paramètres!$A$1:$I$89,5,0)</f>
        <v>456.2740000000004</v>
      </c>
      <c r="AK192" s="13">
        <f t="shared" si="164"/>
        <v>103.09649786611838</v>
      </c>
      <c r="AL192" s="20">
        <f t="shared" si="165"/>
        <v>974.23695045015677</v>
      </c>
      <c r="AM192" s="59">
        <f t="shared" si="113"/>
        <v>1265.4985070641042</v>
      </c>
      <c r="AN192" s="59">
        <f ca="1">AVERAGE(OFFSET($AM$3,0,0,'Données projet'!$E$10+1,1))-AVERAGE(OFFSET($H$3,0,0,'Données projet'!$E$10+1,1))</f>
        <v>569.80473816957431</v>
      </c>
      <c r="AO192" s="59">
        <f t="shared" si="144"/>
        <v>495.56567790763199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12.289573484698018</v>
      </c>
      <c r="AV192" s="21">
        <f>EXP(-LN(2)/25)*AV191+(1-EXP(-LN(2)/25))/(LN(2)/25)*Calculateur!AQ192*Calculateur!AS192*VLOOKUP('Données projet'!$B$10,Paramètres!$A$1:$I$89,3,0)*0.475*44/12</f>
        <v>0.79646901273996129</v>
      </c>
      <c r="AW192" s="21">
        <f>EXP(-LN(2)/2)*AW191+(1-EXP(-LN(2)/2))/(LN(2)/2)*AQ192*AT192*VLOOKUP('Données projet'!$B$10,Paramètres!$A$1:$I$89,3,0)*0.475*44/12</f>
        <v>9.1885375647403839E-26</v>
      </c>
      <c r="AX192" s="21">
        <f t="shared" si="166"/>
        <v>13.08604249743798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69.43496998562199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-2.5006556825246661E-14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180.42749272334603</v>
      </c>
      <c r="BJ192" s="59">
        <f t="shared" si="146"/>
        <v>346.61476512497495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2.7432588595200071</v>
      </c>
      <c r="BQ192" s="21">
        <f>EXP(-LN(2)/25)*BQ191+(1-EXP(-LN(2)/25))/(LN(2)/25)*Calculateur!BL192*Calculateur!BN192*VLOOKUP('Données projet'!$B$11,Paramètres!$A$1:$I$89,3,0)*0.475*44/12</f>
        <v>0.20166263549861402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2.9449214950186211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69.43496998562199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19.8100000000004</v>
      </c>
      <c r="BZ192" s="13">
        <f>BY192*VLOOKUP('Données projet'!$B$12,Paramètres!$A$1:$I$89,3,0)*VLOOKUP('Données projet'!$B$12,Paramètres!$A$1:$I$89,5,0)</f>
        <v>17.924088000000364</v>
      </c>
      <c r="CA192" s="13">
        <f t="shared" si="170"/>
        <v>5.9032212091029486</v>
      </c>
      <c r="CB192" s="20">
        <f t="shared" si="171"/>
        <v>41.499230205854936</v>
      </c>
      <c r="CC192" s="59">
        <f t="shared" si="119"/>
        <v>332.76078681980221</v>
      </c>
      <c r="CD192" s="59">
        <f ca="1">AVERAGE(OFFSET($CC$3,0,0,'Données projet'!$E$12+1,1))-AVERAGE(OFFSET($H$3,0,0,'Données projet'!$E$12+1,1))</f>
        <v>553.16421218123958</v>
      </c>
      <c r="CE192" s="59">
        <f t="shared" si="148"/>
        <v>291.73668613844416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87.853679527404694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87.853679527404694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69.43496998562199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19.8100000000004</v>
      </c>
      <c r="CU192" s="17">
        <f>CT192*VLOOKUP('Données projet'!$B$13,Paramètres!$A$1:$I$89,3,0)*VLOOKUP('Données projet'!$B$13,Paramètres!$A$1:$I$89,5,0)</f>
        <v>20.08734000000041</v>
      </c>
      <c r="CV192" s="13">
        <f t="shared" si="173"/>
        <v>6.5285137703520215</v>
      </c>
      <c r="CW192" s="20">
        <f t="shared" si="174"/>
        <v>46.355945316697152</v>
      </c>
      <c r="CX192" s="59">
        <f t="shared" si="122"/>
        <v>337.61750193064444</v>
      </c>
      <c r="CY192" s="59">
        <f ca="1">AVERAGE(OFFSET($CX$3,0,0,'Données projet'!$E$13+1,1))-AVERAGE(OFFSET($H$3,0,0,'Données projet'!$E$13+1,1))</f>
        <v>611.82989382187804</v>
      </c>
      <c r="CZ192" s="59">
        <f t="shared" si="150"/>
        <v>320.34124600136363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98.456709815194898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98.456709815194898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69.43496998562199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19.8100000000004</v>
      </c>
      <c r="DP192" s="17">
        <f>DO192*VLOOKUP('Données projet'!$B$14,Paramètres!$A$1:$I$89,3,0)*VLOOKUP('Données projet'!$B$14,Paramètres!$A$1:$I$89,5,0)</f>
        <v>21.323484000000427</v>
      </c>
      <c r="DQ192" s="13">
        <f t="shared" si="176"/>
        <v>6.88226100850307</v>
      </c>
      <c r="DR192" s="20">
        <f t="shared" si="177"/>
        <v>49.125005889810261</v>
      </c>
      <c r="DS192" s="59">
        <f t="shared" si="125"/>
        <v>340.38656250375755</v>
      </c>
      <c r="DT192" s="59">
        <f ca="1">AVERAGE(OFFSET($DS$3,0,0,'Données projet'!$E$14+1,1))-AVERAGE(OFFSET($H$3,0,0,'Données projet'!$E$14+1,1))</f>
        <v>645.29541304800614</v>
      </c>
      <c r="DU192" s="59">
        <f t="shared" si="152"/>
        <v>336.65580771733323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104.51558426536067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104.51558426536067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69.43496998562199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319</v>
      </c>
      <c r="EK192" s="17">
        <f>EJ192*VLOOKUP('Données projet'!$B$15,Paramètres!$A$1:$I$89,3,0)*VLOOKUP('Données projet'!$B$15,Paramètres!$A$1:$I$89,5,0)</f>
        <v>233.89079999999998</v>
      </c>
      <c r="EL192" s="13">
        <f t="shared" si="179"/>
        <v>57.123140349023068</v>
      </c>
      <c r="EM192" s="20">
        <f t="shared" si="180"/>
        <v>506.84927944121517</v>
      </c>
      <c r="EN192" s="59">
        <f t="shared" si="128"/>
        <v>798.11083605516251</v>
      </c>
      <c r="EO192" s="59">
        <f ca="1">AVERAGE(OFFSET($EN$3,0,0,'Données projet'!$E$15+1,1))-AVERAGE(OFFSET($H$3,0,0,'Données projet'!$E$15+1,1))</f>
        <v>343.31122043016137</v>
      </c>
      <c r="EP192" s="59">
        <f t="shared" si="154"/>
        <v>333.61098411258877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4.5907021678173239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4.5907021678173239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69.43496998562199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319</v>
      </c>
      <c r="FF192" s="17">
        <f>FE192*VLOOKUP('Données projet'!$B$16,Paramètres!$A$1:$I$89,3,0)*VLOOKUP('Données projet'!$B$16,Paramètres!$A$1:$I$89,5,0)</f>
        <v>253.79640000000001</v>
      </c>
      <c r="FG192" s="13">
        <f t="shared" si="182"/>
        <v>61.39816832228076</v>
      </c>
      <c r="FH192" s="20">
        <f t="shared" si="183"/>
        <v>548.96387316130563</v>
      </c>
      <c r="FI192" s="59">
        <f t="shared" si="131"/>
        <v>840.22542977525291</v>
      </c>
      <c r="FJ192" s="59">
        <f ca="1">AVERAGE(OFFSET($FI$3,0,0,'Données projet'!$E$16+1,1))-AVERAGE(OFFSET($H$3,0,0,'Données projet'!$E$16+1,1))</f>
        <v>368.12945163484585</v>
      </c>
      <c r="FK192" s="59">
        <f t="shared" si="156"/>
        <v>357.27183934545121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6.1398653931767555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6.1398653931767555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69.43496998562199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69.43496998562199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3.0869565217391299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11.318840579710143</v>
      </c>
      <c r="H193" s="66">
        <f t="shared" si="110"/>
        <v>211.39130434782609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69.44477199315358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5.2499999999990337</v>
      </c>
      <c r="O193" s="13">
        <f>N193*VLOOKUP('Données projet'!$B$9,Paramètres!$A$1:$I$89,3,0)*VLOOKUP('Données projet'!$B$9,Paramètres!$A$1:$I$89,5,0)</f>
        <v>2.4569999999995478</v>
      </c>
      <c r="P193" s="13">
        <f t="shared" si="141"/>
        <v>1.0197977774625564</v>
      </c>
      <c r="Q193" s="20">
        <f t="shared" si="162"/>
        <v>6.0554227957464972</v>
      </c>
      <c r="R193" s="59">
        <f t="shared" si="109"/>
        <v>297.35292010397626</v>
      </c>
      <c r="S193" s="59">
        <f ca="1">AVERAGE(OFFSET($R$3,0,0,'Données projet'!$E$9+1,1))-AVERAGE(OFFSET($H$3,0,0,'Données projet'!$E$9+1,1))</f>
        <v>320.30433416149219</v>
      </c>
      <c r="T193" s="59">
        <f t="shared" si="142"/>
        <v>201.33422682092797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48.835839371401413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48.835839371401413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69.44477199315358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763.00000000000057</v>
      </c>
      <c r="AJ193" s="13">
        <f>AI193*VLOOKUP('Données projet'!$B$10,Paramètres!$A$1:$I$89,3,0)*VLOOKUP('Données projet'!$B$10,Paramètres!$A$1:$I$89,5,0)</f>
        <v>456.2740000000004</v>
      </c>
      <c r="AK193" s="13">
        <f t="shared" si="164"/>
        <v>103.09649786611838</v>
      </c>
      <c r="AL193" s="20">
        <f t="shared" si="165"/>
        <v>974.23695045015677</v>
      </c>
      <c r="AM193" s="59">
        <f t="shared" si="113"/>
        <v>1265.5344477583865</v>
      </c>
      <c r="AN193" s="59">
        <f ca="1">AVERAGE(OFFSET($AM$3,0,0,'Données projet'!$E$10+1,1))-AVERAGE(OFFSET($H$3,0,0,'Données projet'!$E$10+1,1))</f>
        <v>569.80473816957431</v>
      </c>
      <c r="AO193" s="59">
        <f t="shared" si="144"/>
        <v>495.56567790763199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12.048582444562756</v>
      </c>
      <c r="AV193" s="21">
        <f>EXP(-LN(2)/25)*AV192+(1-EXP(-LN(2)/25))/(LN(2)/25)*Calculateur!AQ193*Calculateur!AS193*VLOOKUP('Données projet'!$B$10,Paramètres!$A$1:$I$89,3,0)*0.475*44/12</f>
        <v>0.77468952570210203</v>
      </c>
      <c r="AW193" s="21">
        <f>EXP(-LN(2)/2)*AW192+(1-EXP(-LN(2)/2))/(LN(2)/2)*AQ193*AT193*VLOOKUP('Données projet'!$B$10,Paramètres!$A$1:$I$89,3,0)*0.475*44/12</f>
        <v>6.4972772212152508E-26</v>
      </c>
      <c r="AX193" s="21">
        <f t="shared" si="166"/>
        <v>12.823271970264859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69.44477199315358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-2.5006556825246661E-14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180.42749272334603</v>
      </c>
      <c r="BJ193" s="59">
        <f t="shared" si="146"/>
        <v>346.61476512497495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2.6894652265075072</v>
      </c>
      <c r="BQ193" s="21">
        <f>EXP(-LN(2)/25)*BQ192+(1-EXP(-LN(2)/25))/(LN(2)/25)*Calculateur!BL193*Calculateur!BN193*VLOOKUP('Données projet'!$B$11,Paramètres!$A$1:$I$89,3,0)*0.475*44/12</f>
        <v>0.19614816012592731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2.8856133866334344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69.44477199315358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19.8100000000004</v>
      </c>
      <c r="BZ193" s="13">
        <f>BY193*VLOOKUP('Données projet'!$B$12,Paramètres!$A$1:$I$89,3,0)*VLOOKUP('Données projet'!$B$12,Paramètres!$A$1:$I$89,5,0)</f>
        <v>17.924088000000364</v>
      </c>
      <c r="CA193" s="13">
        <f t="shared" si="170"/>
        <v>5.9032212091029486</v>
      </c>
      <c r="CB193" s="20">
        <f t="shared" si="171"/>
        <v>41.499230205854936</v>
      </c>
      <c r="CC193" s="59">
        <f t="shared" si="119"/>
        <v>332.79672751408469</v>
      </c>
      <c r="CD193" s="59">
        <f ca="1">AVERAGE(OFFSET($CC$3,0,0,'Données projet'!$E$12+1,1))-AVERAGE(OFFSET($H$3,0,0,'Données projet'!$E$12+1,1))</f>
        <v>553.16421218123958</v>
      </c>
      <c r="CE193" s="59">
        <f t="shared" si="148"/>
        <v>291.73668613844416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86.130922457325681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86.130922457325681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69.44477199315358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19.8100000000004</v>
      </c>
      <c r="CU193" s="17">
        <f>CT193*VLOOKUP('Données projet'!$B$13,Paramètres!$A$1:$I$89,3,0)*VLOOKUP('Données projet'!$B$13,Paramètres!$A$1:$I$89,5,0)</f>
        <v>20.08734000000041</v>
      </c>
      <c r="CV193" s="13">
        <f t="shared" si="173"/>
        <v>6.5285137703520215</v>
      </c>
      <c r="CW193" s="20">
        <f t="shared" si="174"/>
        <v>46.355945316697152</v>
      </c>
      <c r="CX193" s="59">
        <f t="shared" si="122"/>
        <v>337.65344262492692</v>
      </c>
      <c r="CY193" s="59">
        <f ca="1">AVERAGE(OFFSET($CX$3,0,0,'Données projet'!$E$13+1,1))-AVERAGE(OFFSET($H$3,0,0,'Données projet'!$E$13+1,1))</f>
        <v>611.82989382187804</v>
      </c>
      <c r="CZ193" s="59">
        <f t="shared" si="150"/>
        <v>320.34124600136363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96.526033788382207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96.526033788382207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69.44477199315358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19.8100000000004</v>
      </c>
      <c r="DP193" s="17">
        <f>DO193*VLOOKUP('Données projet'!$B$14,Paramètres!$A$1:$I$89,3,0)*VLOOKUP('Données projet'!$B$14,Paramètres!$A$1:$I$89,5,0)</f>
        <v>21.323484000000427</v>
      </c>
      <c r="DQ193" s="13">
        <f t="shared" si="176"/>
        <v>6.88226100850307</v>
      </c>
      <c r="DR193" s="20">
        <f t="shared" si="177"/>
        <v>49.125005889810261</v>
      </c>
      <c r="DS193" s="59">
        <f t="shared" si="125"/>
        <v>340.42250319804003</v>
      </c>
      <c r="DT193" s="59">
        <f ca="1">AVERAGE(OFFSET($DS$3,0,0,'Données projet'!$E$14+1,1))-AVERAGE(OFFSET($H$3,0,0,'Données projet'!$E$14+1,1))</f>
        <v>645.29541304800614</v>
      </c>
      <c r="DU193" s="59">
        <f t="shared" si="152"/>
        <v>336.65580771733323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102.46609740612874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102.46609740612874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69.44477199315358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319</v>
      </c>
      <c r="EK193" s="17">
        <f>EJ193*VLOOKUP('Données projet'!$B$15,Paramètres!$A$1:$I$89,3,0)*VLOOKUP('Données projet'!$B$15,Paramètres!$A$1:$I$89,5,0)</f>
        <v>233.89079999999998</v>
      </c>
      <c r="EL193" s="13">
        <f t="shared" si="179"/>
        <v>57.123140349023068</v>
      </c>
      <c r="EM193" s="20">
        <f t="shared" si="180"/>
        <v>506.84927944121517</v>
      </c>
      <c r="EN193" s="59">
        <f t="shared" si="128"/>
        <v>798.14677674944494</v>
      </c>
      <c r="EO193" s="59">
        <f ca="1">AVERAGE(OFFSET($EN$3,0,0,'Données projet'!$E$15+1,1))-AVERAGE(OFFSET($H$3,0,0,'Données projet'!$E$15+1,1))</f>
        <v>343.31122043016137</v>
      </c>
      <c r="EP193" s="59">
        <f t="shared" si="154"/>
        <v>333.61098411258877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4.5006812983582662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4.5006812983582662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69.44477199315358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319</v>
      </c>
      <c r="FF193" s="17">
        <f>FE193*VLOOKUP('Données projet'!$B$16,Paramètres!$A$1:$I$89,3,0)*VLOOKUP('Données projet'!$B$16,Paramètres!$A$1:$I$89,5,0)</f>
        <v>253.79640000000001</v>
      </c>
      <c r="FG193" s="13">
        <f t="shared" si="182"/>
        <v>61.39816832228076</v>
      </c>
      <c r="FH193" s="20">
        <f t="shared" si="183"/>
        <v>548.96387316130563</v>
      </c>
      <c r="FI193" s="59">
        <f t="shared" si="131"/>
        <v>840.26137046953545</v>
      </c>
      <c r="FJ193" s="59">
        <f ca="1">AVERAGE(OFFSET($FI$3,0,0,'Données projet'!$E$16+1,1))-AVERAGE(OFFSET($H$3,0,0,'Données projet'!$E$16+1,1))</f>
        <v>368.12945163484585</v>
      </c>
      <c r="FK193" s="59">
        <f t="shared" si="156"/>
        <v>357.27183934545121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6.0194663777646662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6.0194663777646662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69.44477199315358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69.44477199315358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3.0869565217391299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11.318840579710143</v>
      </c>
      <c r="H194" s="66">
        <f t="shared" si="110"/>
        <v>211.39130434782609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69.454403957768491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5.2499999999990337</v>
      </c>
      <c r="O194" s="13">
        <f>N194*VLOOKUP('Données projet'!$B$9,Paramètres!$A$1:$I$89,3,0)*VLOOKUP('Données projet'!$B$9,Paramètres!$A$1:$I$89,5,0)</f>
        <v>2.4569999999995478</v>
      </c>
      <c r="P194" s="13">
        <f t="shared" si="141"/>
        <v>1.0197977774625564</v>
      </c>
      <c r="Q194" s="20">
        <f t="shared" si="162"/>
        <v>6.0554227957464972</v>
      </c>
      <c r="R194" s="59">
        <f t="shared" si="109"/>
        <v>297.38823730756428</v>
      </c>
      <c r="S194" s="59">
        <f ca="1">AVERAGE(OFFSET($R$3,0,0,'Données projet'!$E$9+1,1))-AVERAGE(OFFSET($H$3,0,0,'Données projet'!$E$9+1,1))</f>
        <v>320.30433416149219</v>
      </c>
      <c r="T194" s="59">
        <f t="shared" si="142"/>
        <v>201.33422682092797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47.878198348249036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47.878198348249036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69.454403957768491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763.00000000000057</v>
      </c>
      <c r="AJ194" s="13">
        <f>AI194*VLOOKUP('Données projet'!$B$10,Paramètres!$A$1:$I$89,3,0)*VLOOKUP('Données projet'!$B$10,Paramètres!$A$1:$I$89,5,0)</f>
        <v>456.2740000000004</v>
      </c>
      <c r="AK194" s="13">
        <f t="shared" si="164"/>
        <v>103.09649786611838</v>
      </c>
      <c r="AL194" s="20">
        <f t="shared" si="165"/>
        <v>974.23695045015677</v>
      </c>
      <c r="AM194" s="59">
        <f t="shared" si="113"/>
        <v>1265.5697649619747</v>
      </c>
      <c r="AN194" s="59">
        <f ca="1">AVERAGE(OFFSET($AM$3,0,0,'Données projet'!$E$10+1,1))-AVERAGE(OFFSET($H$3,0,0,'Données projet'!$E$10+1,1))</f>
        <v>569.80473816957431</v>
      </c>
      <c r="AO194" s="59">
        <f t="shared" si="144"/>
        <v>495.56567790763199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11.812317091734528</v>
      </c>
      <c r="AV194" s="21">
        <f>EXP(-LN(2)/25)*AV193+(1-EXP(-LN(2)/25))/(LN(2)/25)*Calculateur!AQ194*Calculateur!AS194*VLOOKUP('Données projet'!$B$10,Paramètres!$A$1:$I$89,3,0)*0.475*44/12</f>
        <v>0.75350559988262644</v>
      </c>
      <c r="AW194" s="21">
        <f>EXP(-LN(2)/2)*AW193+(1-EXP(-LN(2)/2))/(LN(2)/2)*AQ194*AT194*VLOOKUP('Données projet'!$B$10,Paramètres!$A$1:$I$89,3,0)*0.475*44/12</f>
        <v>4.5942687823701919E-26</v>
      </c>
      <c r="AX194" s="21">
        <f t="shared" si="166"/>
        <v>12.565822691617154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69.454403957768491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-2.5006556825246661E-14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180.42749272334603</v>
      </c>
      <c r="BJ194" s="59">
        <f t="shared" si="146"/>
        <v>346.61476512497495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2.6367264538275061</v>
      </c>
      <c r="BQ194" s="21">
        <f>EXP(-LN(2)/25)*BQ193+(1-EXP(-LN(2)/25))/(LN(2)/25)*Calculateur!BL194*Calculateur!BN194*VLOOKUP('Données projet'!$B$11,Paramètres!$A$1:$I$89,3,0)*0.475*44/12</f>
        <v>0.19078447837230039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2.8275109321998064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69.454403957768491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19.8100000000004</v>
      </c>
      <c r="BZ194" s="13">
        <f>BY194*VLOOKUP('Données projet'!$B$12,Paramètres!$A$1:$I$89,3,0)*VLOOKUP('Données projet'!$B$12,Paramètres!$A$1:$I$89,5,0)</f>
        <v>17.924088000000364</v>
      </c>
      <c r="CA194" s="13">
        <f t="shared" si="170"/>
        <v>5.9032212091029486</v>
      </c>
      <c r="CB194" s="20">
        <f t="shared" si="171"/>
        <v>41.499230205854936</v>
      </c>
      <c r="CC194" s="59">
        <f t="shared" si="119"/>
        <v>332.83204471767272</v>
      </c>
      <c r="CD194" s="59">
        <f ca="1">AVERAGE(OFFSET($CC$3,0,0,'Données projet'!$E$12+1,1))-AVERAGE(OFFSET($H$3,0,0,'Données projet'!$E$12+1,1))</f>
        <v>553.16421218123958</v>
      </c>
      <c r="CE194" s="59">
        <f t="shared" si="148"/>
        <v>291.73668613844416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84.441947602612856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84.441947602612856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69.454403957768491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19.8100000000004</v>
      </c>
      <c r="CU194" s="17">
        <f>CT194*VLOOKUP('Données projet'!$B$13,Paramètres!$A$1:$I$89,3,0)*VLOOKUP('Données projet'!$B$13,Paramètres!$A$1:$I$89,5,0)</f>
        <v>20.08734000000041</v>
      </c>
      <c r="CV194" s="13">
        <f t="shared" si="173"/>
        <v>6.5285137703520215</v>
      </c>
      <c r="CW194" s="20">
        <f t="shared" si="174"/>
        <v>46.355945316697152</v>
      </c>
      <c r="CX194" s="59">
        <f t="shared" si="122"/>
        <v>337.68875982851495</v>
      </c>
      <c r="CY194" s="59">
        <f ca="1">AVERAGE(OFFSET($CX$3,0,0,'Données projet'!$E$13+1,1))-AVERAGE(OFFSET($H$3,0,0,'Données projet'!$E$13+1,1))</f>
        <v>611.82989382187804</v>
      </c>
      <c r="CZ194" s="59">
        <f t="shared" si="150"/>
        <v>320.34124600136363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94.633217140859216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94.633217140859216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69.454403957768491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19.8100000000004</v>
      </c>
      <c r="DP194" s="17">
        <f>DO194*VLOOKUP('Données projet'!$B$14,Paramètres!$A$1:$I$89,3,0)*VLOOKUP('Données projet'!$B$14,Paramètres!$A$1:$I$89,5,0)</f>
        <v>21.323484000000427</v>
      </c>
      <c r="DQ194" s="13">
        <f t="shared" si="176"/>
        <v>6.88226100850307</v>
      </c>
      <c r="DR194" s="20">
        <f t="shared" si="177"/>
        <v>49.125005889810261</v>
      </c>
      <c r="DS194" s="59">
        <f t="shared" si="125"/>
        <v>340.45782040162806</v>
      </c>
      <c r="DT194" s="59">
        <f ca="1">AVERAGE(OFFSET($DS$3,0,0,'Données projet'!$E$14+1,1))-AVERAGE(OFFSET($H$3,0,0,'Données projet'!$E$14+1,1))</f>
        <v>645.29541304800614</v>
      </c>
      <c r="DU194" s="59">
        <f t="shared" si="152"/>
        <v>336.65580771733323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100.45679973414279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100.45679973414279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69.454403957768491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319</v>
      </c>
      <c r="EK194" s="17">
        <f>EJ194*VLOOKUP('Données projet'!$B$15,Paramètres!$A$1:$I$89,3,0)*VLOOKUP('Données projet'!$B$15,Paramètres!$A$1:$I$89,5,0)</f>
        <v>233.89079999999998</v>
      </c>
      <c r="EL194" s="13">
        <f t="shared" si="179"/>
        <v>57.123140349023068</v>
      </c>
      <c r="EM194" s="20">
        <f t="shared" si="180"/>
        <v>506.84927944121517</v>
      </c>
      <c r="EN194" s="59">
        <f t="shared" si="128"/>
        <v>798.18209395303302</v>
      </c>
      <c r="EO194" s="59">
        <f ca="1">AVERAGE(OFFSET($EN$3,0,0,'Données projet'!$E$15+1,1))-AVERAGE(OFFSET($H$3,0,0,'Données projet'!$E$15+1,1))</f>
        <v>343.31122043016137</v>
      </c>
      <c r="EP194" s="59">
        <f t="shared" si="154"/>
        <v>333.61098411258877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4.4124256832419917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4.4124256832419917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69.454403957768491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319</v>
      </c>
      <c r="FF194" s="17">
        <f>FE194*VLOOKUP('Données projet'!$B$16,Paramètres!$A$1:$I$89,3,0)*VLOOKUP('Données projet'!$B$16,Paramètres!$A$1:$I$89,5,0)</f>
        <v>253.79640000000001</v>
      </c>
      <c r="FG194" s="13">
        <f t="shared" si="182"/>
        <v>61.39816832228076</v>
      </c>
      <c r="FH194" s="20">
        <f t="shared" si="183"/>
        <v>548.96387316130563</v>
      </c>
      <c r="FI194" s="59">
        <f t="shared" si="131"/>
        <v>840.29668767312342</v>
      </c>
      <c r="FJ194" s="59">
        <f ca="1">AVERAGE(OFFSET($FI$3,0,0,'Données projet'!$E$16+1,1))-AVERAGE(OFFSET($H$3,0,0,'Données projet'!$E$16+1,1))</f>
        <v>368.12945163484585</v>
      </c>
      <c r="FK194" s="59">
        <f t="shared" si="156"/>
        <v>357.27183934545121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5.90142831360866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5.90142831360866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69.454403957768491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69.454403957768491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3.0869565217391299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11.318840579710143</v>
      </c>
      <c r="H195" s="66">
        <f t="shared" si="110"/>
        <v>211.39130434782609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69.463868829331204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5.2499999999990337</v>
      </c>
      <c r="O195" s="13">
        <f>N195*VLOOKUP('Données projet'!$B$9,Paramètres!$A$1:$I$89,3,0)*VLOOKUP('Données projet'!$B$9,Paramètres!$A$1:$I$89,5,0)</f>
        <v>2.4569999999995478</v>
      </c>
      <c r="P195" s="13">
        <f t="shared" si="141"/>
        <v>1.0197977774625564</v>
      </c>
      <c r="Q195" s="20">
        <f t="shared" si="162"/>
        <v>6.0554227957464972</v>
      </c>
      <c r="R195" s="59">
        <f t="shared" ref="R195:R203" si="191">Q195+(I195+J195)*44/12</f>
        <v>297.42294183662756</v>
      </c>
      <c r="S195" s="59">
        <f ca="1">AVERAGE(OFFSET($R$3,0,0,'Données projet'!$E$9+1,1))-AVERAGE(OFFSET($H$3,0,0,'Données projet'!$E$9+1,1))</f>
        <v>320.30433416149219</v>
      </c>
      <c r="T195" s="59">
        <f t="shared" si="142"/>
        <v>201.33422682092797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46.939336081457327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46.939336081457327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69.463868829331204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763.00000000000057</v>
      </c>
      <c r="AJ195" s="13">
        <f>AI195*VLOOKUP('Données projet'!$B$10,Paramètres!$A$1:$I$89,3,0)*VLOOKUP('Données projet'!$B$10,Paramètres!$A$1:$I$89,5,0)</f>
        <v>456.2740000000004</v>
      </c>
      <c r="AK195" s="13">
        <f t="shared" si="164"/>
        <v>103.09649786611838</v>
      </c>
      <c r="AL195" s="20">
        <f t="shared" si="165"/>
        <v>974.23695045015677</v>
      </c>
      <c r="AM195" s="59">
        <f t="shared" si="113"/>
        <v>1265.6044694910379</v>
      </c>
      <c r="AN195" s="59">
        <f ca="1">AVERAGE(OFFSET($AM$3,0,0,'Données projet'!$E$10+1,1))-AVERAGE(OFFSET($H$3,0,0,'Données projet'!$E$10+1,1))</f>
        <v>569.80473816957431</v>
      </c>
      <c r="AO195" s="59">
        <f t="shared" si="144"/>
        <v>495.56567790763199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11.580684758367624</v>
      </c>
      <c r="AV195" s="21">
        <f>EXP(-LN(2)/25)*AV194+(1-EXP(-LN(2)/25))/(LN(2)/25)*Calculateur!AQ195*Calculateur!AS195*VLOOKUP('Données projet'!$B$10,Paramètres!$A$1:$I$89,3,0)*0.475*44/12</f>
        <v>0.73290094962869867</v>
      </c>
      <c r="AW195" s="21">
        <f>EXP(-LN(2)/2)*AW194+(1-EXP(-LN(2)/2))/(LN(2)/2)*AQ195*AT195*VLOOKUP('Données projet'!$B$10,Paramètres!$A$1:$I$89,3,0)*0.475*44/12</f>
        <v>3.2486386106076254E-26</v>
      </c>
      <c r="AX195" s="21">
        <f t="shared" si="166"/>
        <v>12.313585707996323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69.463868829331204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-2.5006556825246661E-14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180.42749272334603</v>
      </c>
      <c r="BJ195" s="59">
        <f t="shared" si="146"/>
        <v>346.61476512497495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2.5850218563122844</v>
      </c>
      <c r="BQ195" s="21">
        <f>EXP(-LN(2)/25)*BQ194+(1-EXP(-LN(2)/25))/(LN(2)/25)*Calculateur!BL195*Calculateur!BN195*VLOOKUP('Données projet'!$B$11,Paramètres!$A$1:$I$89,3,0)*0.475*44/12</f>
        <v>0.18556746677829017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2.7705893230905745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69.463868829331204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19.8100000000004</v>
      </c>
      <c r="BZ195" s="13">
        <f>BY195*VLOOKUP('Données projet'!$B$12,Paramètres!$A$1:$I$89,3,0)*VLOOKUP('Données projet'!$B$12,Paramètres!$A$1:$I$89,5,0)</f>
        <v>17.924088000000364</v>
      </c>
      <c r="CA195" s="13">
        <f t="shared" si="170"/>
        <v>5.9032212091029486</v>
      </c>
      <c r="CB195" s="20">
        <f t="shared" si="171"/>
        <v>41.499230205854936</v>
      </c>
      <c r="CC195" s="59">
        <f t="shared" si="119"/>
        <v>332.86674924673599</v>
      </c>
      <c r="CD195" s="59">
        <f ca="1">AVERAGE(OFFSET($CC$3,0,0,'Données projet'!$E$12+1,1))-AVERAGE(OFFSET($H$3,0,0,'Données projet'!$E$12+1,1))</f>
        <v>553.16421218123958</v>
      </c>
      <c r="CE195" s="59">
        <f t="shared" si="148"/>
        <v>291.73668613844416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82.78609251462801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82.78609251462801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69.463868829331204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19.8100000000004</v>
      </c>
      <c r="CU195" s="17">
        <f>CT195*VLOOKUP('Données projet'!$B$13,Paramètres!$A$1:$I$89,3,0)*VLOOKUP('Données projet'!$B$13,Paramètres!$A$1:$I$89,5,0)</f>
        <v>20.08734000000041</v>
      </c>
      <c r="CV195" s="13">
        <f t="shared" si="173"/>
        <v>6.5285137703520215</v>
      </c>
      <c r="CW195" s="20">
        <f t="shared" si="174"/>
        <v>46.355945316697152</v>
      </c>
      <c r="CX195" s="59">
        <f t="shared" si="122"/>
        <v>337.72346435757822</v>
      </c>
      <c r="CY195" s="59">
        <f ca="1">AVERAGE(OFFSET($CX$3,0,0,'Données projet'!$E$13+1,1))-AVERAGE(OFFSET($H$3,0,0,'Données projet'!$E$13+1,1))</f>
        <v>611.82989382187804</v>
      </c>
      <c r="CZ195" s="59">
        <f t="shared" si="150"/>
        <v>320.34124600136363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92.77751747328999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92.77751747328999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69.463868829331204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19.8100000000004</v>
      </c>
      <c r="DP195" s="17">
        <f>DO195*VLOOKUP('Données projet'!$B$14,Paramètres!$A$1:$I$89,3,0)*VLOOKUP('Données projet'!$B$14,Paramètres!$A$1:$I$89,5,0)</f>
        <v>21.323484000000427</v>
      </c>
      <c r="DQ195" s="13">
        <f t="shared" si="176"/>
        <v>6.88226100850307</v>
      </c>
      <c r="DR195" s="20">
        <f t="shared" si="177"/>
        <v>49.125005889810261</v>
      </c>
      <c r="DS195" s="59">
        <f t="shared" si="125"/>
        <v>340.49252493069133</v>
      </c>
      <c r="DT195" s="59">
        <f ca="1">AVERAGE(OFFSET($DS$3,0,0,'Données projet'!$E$14+1,1))-AVERAGE(OFFSET($H$3,0,0,'Données projet'!$E$14+1,1))</f>
        <v>645.29541304800614</v>
      </c>
      <c r="DU195" s="59">
        <f t="shared" si="152"/>
        <v>336.65580771733323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98.486903163953926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98.486903163953926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69.463868829331204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319</v>
      </c>
      <c r="EK195" s="17">
        <f>EJ195*VLOOKUP('Données projet'!$B$15,Paramètres!$A$1:$I$89,3,0)*VLOOKUP('Données projet'!$B$15,Paramètres!$A$1:$I$89,5,0)</f>
        <v>233.89079999999998</v>
      </c>
      <c r="EL195" s="13">
        <f t="shared" si="179"/>
        <v>57.123140349023068</v>
      </c>
      <c r="EM195" s="20">
        <f t="shared" si="180"/>
        <v>506.84927944121517</v>
      </c>
      <c r="EN195" s="59">
        <f t="shared" si="128"/>
        <v>798.21679848209624</v>
      </c>
      <c r="EO195" s="59">
        <f ca="1">AVERAGE(OFFSET($EN$3,0,0,'Données projet'!$E$15+1,1))-AVERAGE(OFFSET($H$3,0,0,'Données projet'!$E$15+1,1))</f>
        <v>343.31122043016137</v>
      </c>
      <c r="EP195" s="59">
        <f t="shared" si="154"/>
        <v>333.61098411258877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4.3259007069075377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4.3259007069075377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69.463868829331204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319</v>
      </c>
      <c r="FF195" s="17">
        <f>FE195*VLOOKUP('Données projet'!$B$16,Paramètres!$A$1:$I$89,3,0)*VLOOKUP('Données projet'!$B$16,Paramètres!$A$1:$I$89,5,0)</f>
        <v>253.79640000000001</v>
      </c>
      <c r="FG195" s="13">
        <f t="shared" si="182"/>
        <v>61.39816832228076</v>
      </c>
      <c r="FH195" s="20">
        <f t="shared" si="183"/>
        <v>548.96387316130563</v>
      </c>
      <c r="FI195" s="59">
        <f t="shared" si="131"/>
        <v>840.33139220218663</v>
      </c>
      <c r="FJ195" s="59">
        <f ca="1">AVERAGE(OFFSET($FI$3,0,0,'Données projet'!$E$16+1,1))-AVERAGE(OFFSET($H$3,0,0,'Données projet'!$E$16+1,1))</f>
        <v>368.12945163484585</v>
      </c>
      <c r="FK195" s="59">
        <f t="shared" si="156"/>
        <v>357.27183934545121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5.7857049038946426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5.7857049038946426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69.463868829331204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69.463868829331204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3.0869565217391299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11.318840579710143</v>
      </c>
      <c r="H196" s="66">
        <f t="shared" ref="H196:H203" si="192">(B196+E196+F196)*44/12+(C196+D196)*0.475*44/12</f>
        <v>211.39130434782609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69.473169506532571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5.2499999999990337</v>
      </c>
      <c r="O196" s="13">
        <f>N196*VLOOKUP('Données projet'!$B$9,Paramètres!$A$1:$I$89,3,0)*VLOOKUP('Données projet'!$B$9,Paramètres!$A$1:$I$89,5,0)</f>
        <v>2.4569999999995478</v>
      </c>
      <c r="P196" s="13">
        <f t="shared" si="141"/>
        <v>1.0197977774625564</v>
      </c>
      <c r="Q196" s="20">
        <f t="shared" si="162"/>
        <v>6.0554227957464972</v>
      </c>
      <c r="R196" s="59">
        <f t="shared" si="191"/>
        <v>297.45704431969926</v>
      </c>
      <c r="S196" s="59">
        <f ca="1">AVERAGE(OFFSET($R$3,0,0,'Données projet'!$E$9+1,1))-AVERAGE(OFFSET($H$3,0,0,'Données projet'!$E$9+1,1))</f>
        <v>320.30433416149219</v>
      </c>
      <c r="T196" s="59">
        <f t="shared" si="142"/>
        <v>201.33422682092797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46.018884331067966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46.018884331067966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69.473169506532571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763.00000000000057</v>
      </c>
      <c r="AJ196" s="13">
        <f>AI196*VLOOKUP('Données projet'!$B$10,Paramètres!$A$1:$I$89,3,0)*VLOOKUP('Données projet'!$B$10,Paramètres!$A$1:$I$89,5,0)</f>
        <v>456.2740000000004</v>
      </c>
      <c r="AK196" s="13">
        <f t="shared" si="164"/>
        <v>103.09649786611838</v>
      </c>
      <c r="AL196" s="20">
        <f t="shared" si="165"/>
        <v>974.23695045015677</v>
      </c>
      <c r="AM196" s="59">
        <f t="shared" ref="AM196:AM203" si="193">AL196+(AD196+AE196)*44/12</f>
        <v>1265.6385719741095</v>
      </c>
      <c r="AN196" s="59">
        <f ca="1">AVERAGE(OFFSET($AM$3,0,0,'Données projet'!$E$10+1,1))-AVERAGE(OFFSET($H$3,0,0,'Données projet'!$E$10+1,1))</f>
        <v>569.80473816957431</v>
      </c>
      <c r="AO196" s="59">
        <f t="shared" si="144"/>
        <v>495.56567790763199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11.353594593776274</v>
      </c>
      <c r="AV196" s="21">
        <f>EXP(-LN(2)/25)*AV195+(1-EXP(-LN(2)/25))/(LN(2)/25)*Calculateur!AQ196*Calculateur!AS196*VLOOKUP('Données projet'!$B$10,Paramètres!$A$1:$I$89,3,0)*0.475*44/12</f>
        <v>0.71285973461951602</v>
      </c>
      <c r="AW196" s="21">
        <f>EXP(-LN(2)/2)*AW195+(1-EXP(-LN(2)/2))/(LN(2)/2)*AQ196*AT196*VLOOKUP('Données projet'!$B$10,Paramètres!$A$1:$I$89,3,0)*0.475*44/12</f>
        <v>2.297134391185096E-26</v>
      </c>
      <c r="AX196" s="21">
        <f t="shared" si="166"/>
        <v>12.066454328395789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69.473169506532571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-2.5006556825246661E-14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180.42749272334603</v>
      </c>
      <c r="BJ196" s="59">
        <f t="shared" si="146"/>
        <v>346.61476512497495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2.5343311544176461</v>
      </c>
      <c r="BQ196" s="21">
        <f>EXP(-LN(2)/25)*BQ195+(1-EXP(-LN(2)/25))/(LN(2)/25)*Calculateur!BL196*Calculateur!BN196*VLOOKUP('Données projet'!$B$11,Paramètres!$A$1:$I$89,3,0)*0.475*44/12</f>
        <v>0.18049311464066886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2.7148242690583149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69.473169506532571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19.8100000000004</v>
      </c>
      <c r="BZ196" s="13">
        <f>BY196*VLOOKUP('Données projet'!$B$12,Paramètres!$A$1:$I$89,3,0)*VLOOKUP('Données projet'!$B$12,Paramètres!$A$1:$I$89,5,0)</f>
        <v>17.924088000000364</v>
      </c>
      <c r="CA196" s="13">
        <f t="shared" si="170"/>
        <v>5.9032212091029486</v>
      </c>
      <c r="CB196" s="20">
        <f t="shared" si="171"/>
        <v>41.499230205854936</v>
      </c>
      <c r="CC196" s="59">
        <f t="shared" ref="CC196:CC203" si="195">CB196+(BT196+BU196)*44/12</f>
        <v>332.9008517298077</v>
      </c>
      <c r="CD196" s="59">
        <f ca="1">AVERAGE(OFFSET($CC$3,0,0,'Données projet'!$E$12+1,1))-AVERAGE(OFFSET($H$3,0,0,'Données projet'!$E$12+1,1))</f>
        <v>553.16421218123958</v>
      </c>
      <c r="CE196" s="59">
        <f t="shared" si="148"/>
        <v>291.73668613844416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81.162707734946665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81.162707734946665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69.473169506532571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19.8100000000004</v>
      </c>
      <c r="CU196" s="17">
        <f>CT196*VLOOKUP('Données projet'!$B$13,Paramètres!$A$1:$I$89,3,0)*VLOOKUP('Données projet'!$B$13,Paramètres!$A$1:$I$89,5,0)</f>
        <v>20.08734000000041</v>
      </c>
      <c r="CV196" s="13">
        <f t="shared" si="173"/>
        <v>6.5285137703520215</v>
      </c>
      <c r="CW196" s="20">
        <f t="shared" si="174"/>
        <v>46.355945316697152</v>
      </c>
      <c r="CX196" s="59">
        <f t="shared" ref="CX196:CX203" si="196">CW196+(CO196+CP196)*44/12</f>
        <v>337.75756684064993</v>
      </c>
      <c r="CY196" s="59">
        <f ca="1">AVERAGE(OFFSET($CX$3,0,0,'Données projet'!$E$13+1,1))-AVERAGE(OFFSET($H$3,0,0,'Données projet'!$E$13+1,1))</f>
        <v>611.82989382187804</v>
      </c>
      <c r="CZ196" s="59">
        <f t="shared" si="150"/>
        <v>320.34124600136363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90.958206944336766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90.958206944336766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69.473169506532571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19.8100000000004</v>
      </c>
      <c r="DP196" s="17">
        <f>DO196*VLOOKUP('Données projet'!$B$14,Paramètres!$A$1:$I$89,3,0)*VLOOKUP('Données projet'!$B$14,Paramètres!$A$1:$I$89,5,0)</f>
        <v>21.323484000000427</v>
      </c>
      <c r="DQ196" s="13">
        <f t="shared" si="176"/>
        <v>6.88226100850307</v>
      </c>
      <c r="DR196" s="20">
        <f t="shared" si="177"/>
        <v>49.125005889810261</v>
      </c>
      <c r="DS196" s="59">
        <f t="shared" ref="DS196:DS203" si="197">DR196+(DJ196+DK196)*44/12</f>
        <v>340.52662741376304</v>
      </c>
      <c r="DT196" s="59">
        <f ca="1">AVERAGE(OFFSET($DS$3,0,0,'Données projet'!$E$14+1,1))-AVERAGE(OFFSET($H$3,0,0,'Données projet'!$E$14+1,1))</f>
        <v>645.29541304800614</v>
      </c>
      <c r="DU196" s="59">
        <f t="shared" si="152"/>
        <v>336.65580771733323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96.555635063988191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96.555635063988191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69.473169506532571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319</v>
      </c>
      <c r="EK196" s="17">
        <f>EJ196*VLOOKUP('Données projet'!$B$15,Paramètres!$A$1:$I$89,3,0)*VLOOKUP('Données projet'!$B$15,Paramètres!$A$1:$I$89,5,0)</f>
        <v>233.89079999999998</v>
      </c>
      <c r="EL196" s="13">
        <f t="shared" si="179"/>
        <v>57.123140349023068</v>
      </c>
      <c r="EM196" s="20">
        <f t="shared" si="180"/>
        <v>506.84927944121517</v>
      </c>
      <c r="EN196" s="59">
        <f t="shared" ref="EN196:EN203" si="198">EM196+(EE196+EF196)*44/12</f>
        <v>798.25090096516794</v>
      </c>
      <c r="EO196" s="59">
        <f ca="1">AVERAGE(OFFSET($EN$3,0,0,'Données projet'!$E$15+1,1))-AVERAGE(OFFSET($H$3,0,0,'Données projet'!$E$15+1,1))</f>
        <v>343.31122043016137</v>
      </c>
      <c r="EP196" s="59">
        <f t="shared" si="154"/>
        <v>333.61098411258877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4.2410724325839784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4.2410724325839784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69.473169506532571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319</v>
      </c>
      <c r="FF196" s="17">
        <f>FE196*VLOOKUP('Données projet'!$B$16,Paramètres!$A$1:$I$89,3,0)*VLOOKUP('Données projet'!$B$16,Paramètres!$A$1:$I$89,5,0)</f>
        <v>253.79640000000001</v>
      </c>
      <c r="FG196" s="13">
        <f t="shared" si="182"/>
        <v>61.39816832228076</v>
      </c>
      <c r="FH196" s="20">
        <f t="shared" si="183"/>
        <v>548.96387316130563</v>
      </c>
      <c r="FI196" s="59">
        <f t="shared" ref="FI196:FI203" si="199">FH196+(EZ196+FA196)*44/12</f>
        <v>840.36549468525845</v>
      </c>
      <c r="FJ196" s="59">
        <f ca="1">AVERAGE(OFFSET($FI$3,0,0,'Données projet'!$E$16+1,1))-AVERAGE(OFFSET($H$3,0,0,'Données projet'!$E$16+1,1))</f>
        <v>368.12945163484585</v>
      </c>
      <c r="FK196" s="59">
        <f t="shared" si="156"/>
        <v>357.27183934545121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5.6722507596608072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5.6722507596608072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69.473169506532571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69.473169506532571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3.0869565217391299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11.318840579710143</v>
      </c>
      <c r="H197" s="66">
        <f t="shared" si="192"/>
        <v>211.39130434782609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69.482308837777694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5.2499999999990337</v>
      </c>
      <c r="O197" s="13">
        <f>N197*VLOOKUP('Données projet'!$B$9,Paramètres!$A$1:$I$89,3,0)*VLOOKUP('Données projet'!$B$9,Paramètres!$A$1:$I$89,5,0)</f>
        <v>2.4569999999995478</v>
      </c>
      <c r="P197" s="13">
        <f t="shared" ref="P197:P203" si="203">EXP(-1.0587+0.8836*LN(O197)+0.284)</f>
        <v>1.0197977774625564</v>
      </c>
      <c r="Q197" s="20">
        <f t="shared" si="162"/>
        <v>6.0554227957464972</v>
      </c>
      <c r="R197" s="59">
        <f t="shared" si="191"/>
        <v>297.4905552009314</v>
      </c>
      <c r="S197" s="59">
        <f ca="1">AVERAGE(OFFSET($R$3,0,0,'Données projet'!$E$9+1,1))-AVERAGE(OFFSET($H$3,0,0,'Données projet'!$E$9+1,1))</f>
        <v>320.30433416149219</v>
      </c>
      <c r="T197" s="59">
        <f t="shared" ref="T197:T203" si="204">$T$3</f>
        <v>201.33422682092797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45.116482078083607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45.116482078083607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69.482308837777694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763.00000000000057</v>
      </c>
      <c r="AJ197" s="13">
        <f>AI197*VLOOKUP('Données projet'!$B$10,Paramètres!$A$1:$I$89,3,0)*VLOOKUP('Données projet'!$B$10,Paramètres!$A$1:$I$89,5,0)</f>
        <v>456.2740000000004</v>
      </c>
      <c r="AK197" s="13">
        <f t="shared" si="164"/>
        <v>103.09649786611838</v>
      </c>
      <c r="AL197" s="20">
        <f t="shared" si="165"/>
        <v>974.23695045015677</v>
      </c>
      <c r="AM197" s="59">
        <f t="shared" si="193"/>
        <v>1265.6720828553416</v>
      </c>
      <c r="AN197" s="59">
        <f ca="1">AVERAGE(OFFSET($AM$3,0,0,'Données projet'!$E$10+1,1))-AVERAGE(OFFSET($H$3,0,0,'Données projet'!$E$10+1,1))</f>
        <v>569.80473816957431</v>
      </c>
      <c r="AO197" s="59">
        <f t="shared" ref="AO197:AO203" si="205">$AO$3</f>
        <v>495.56567790763199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11.130957528801236</v>
      </c>
      <c r="AV197" s="21">
        <f>EXP(-LN(2)/25)*AV196+(1-EXP(-LN(2)/25))/(LN(2)/25)*Calculateur!AQ197*Calculateur!AS197*VLOOKUP('Données projet'!$B$10,Paramètres!$A$1:$I$89,3,0)*0.475*44/12</f>
        <v>0.69336654768868122</v>
      </c>
      <c r="AW197" s="21">
        <f>EXP(-LN(2)/2)*AW196+(1-EXP(-LN(2)/2))/(LN(2)/2)*AQ197*AT197*VLOOKUP('Données projet'!$B$10,Paramètres!$A$1:$I$89,3,0)*0.475*44/12</f>
        <v>1.6243193053038127E-26</v>
      </c>
      <c r="AX197" s="21">
        <f t="shared" si="166"/>
        <v>11.824324076489917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69.482308837777694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-2.5006556825246661E-14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180.42749272334603</v>
      </c>
      <c r="BJ197" s="59">
        <f t="shared" ref="BJ197:BJ203" si="206">$BJ$3</f>
        <v>346.61476512497495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2.4846344662688864</v>
      </c>
      <c r="BQ197" s="21">
        <f>EXP(-LN(2)/25)*BQ196+(1-EXP(-LN(2)/25))/(LN(2)/25)*Calculateur!BL197*Calculateur!BN197*VLOOKUP('Données projet'!$B$11,Paramètres!$A$1:$I$89,3,0)*0.475*44/12</f>
        <v>0.1755575209290994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2.6601919871979858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69.482308837777694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19.8100000000004</v>
      </c>
      <c r="BZ197" s="13">
        <f>BY197*VLOOKUP('Données projet'!$B$12,Paramètres!$A$1:$I$89,3,0)*VLOOKUP('Données projet'!$B$12,Paramètres!$A$1:$I$89,5,0)</f>
        <v>17.924088000000364</v>
      </c>
      <c r="CA197" s="13">
        <f t="shared" si="170"/>
        <v>5.9032212091029486</v>
      </c>
      <c r="CB197" s="20">
        <f t="shared" si="171"/>
        <v>41.499230205854936</v>
      </c>
      <c r="CC197" s="59">
        <f t="shared" si="195"/>
        <v>332.93436261103983</v>
      </c>
      <c r="CD197" s="59">
        <f ca="1">AVERAGE(OFFSET($CC$3,0,0,'Données projet'!$E$12+1,1))-AVERAGE(OFFSET($H$3,0,0,'Données projet'!$E$12+1,1))</f>
        <v>553.16421218123958</v>
      </c>
      <c r="CE197" s="59">
        <f t="shared" ref="CE197:CE203" si="207">$CE$3</f>
        <v>291.73668613844416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79.571156540627925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79.571156540627925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69.482308837777694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19.8100000000004</v>
      </c>
      <c r="CU197" s="17">
        <f>CT197*VLOOKUP('Données projet'!$B$13,Paramètres!$A$1:$I$89,3,0)*VLOOKUP('Données projet'!$B$13,Paramètres!$A$1:$I$89,5,0)</f>
        <v>20.08734000000041</v>
      </c>
      <c r="CV197" s="13">
        <f t="shared" si="173"/>
        <v>6.5285137703520215</v>
      </c>
      <c r="CW197" s="20">
        <f t="shared" si="174"/>
        <v>46.355945316697152</v>
      </c>
      <c r="CX197" s="59">
        <f t="shared" si="196"/>
        <v>337.79107772188206</v>
      </c>
      <c r="CY197" s="59">
        <f ca="1">AVERAGE(OFFSET($CX$3,0,0,'Données projet'!$E$13+1,1))-AVERAGE(OFFSET($H$3,0,0,'Données projet'!$E$13+1,1))</f>
        <v>611.82989382187804</v>
      </c>
      <c r="CZ197" s="59">
        <f t="shared" ref="CZ197:CZ203" si="208">$CZ$3</f>
        <v>320.34124600136363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89.174571985186461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89.174571985186461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69.482308837777694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19.8100000000004</v>
      </c>
      <c r="DP197" s="17">
        <f>DO197*VLOOKUP('Données projet'!$B$14,Paramètres!$A$1:$I$89,3,0)*VLOOKUP('Données projet'!$B$14,Paramètres!$A$1:$I$89,5,0)</f>
        <v>21.323484000000427</v>
      </c>
      <c r="DQ197" s="13">
        <f t="shared" si="176"/>
        <v>6.88226100850307</v>
      </c>
      <c r="DR197" s="20">
        <f t="shared" si="177"/>
        <v>49.125005889810261</v>
      </c>
      <c r="DS197" s="59">
        <f t="shared" si="197"/>
        <v>340.56013829499517</v>
      </c>
      <c r="DT197" s="59">
        <f ca="1">AVERAGE(OFFSET($DS$3,0,0,'Données projet'!$E$14+1,1))-AVERAGE(OFFSET($H$3,0,0,'Données projet'!$E$14+1,1))</f>
        <v>645.29541304800614</v>
      </c>
      <c r="DU197" s="59">
        <f t="shared" ref="DU197:DU203" si="209">$DU$3</f>
        <v>336.65580771733323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94.662237953505553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94.662237953505553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69.482308837777694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319</v>
      </c>
      <c r="EK197" s="17">
        <f>EJ197*VLOOKUP('Données projet'!$B$15,Paramètres!$A$1:$I$89,3,0)*VLOOKUP('Données projet'!$B$15,Paramètres!$A$1:$I$89,5,0)</f>
        <v>233.89079999999998</v>
      </c>
      <c r="EL197" s="13">
        <f t="shared" si="179"/>
        <v>57.123140349023068</v>
      </c>
      <c r="EM197" s="20">
        <f t="shared" si="180"/>
        <v>506.84927944121517</v>
      </c>
      <c r="EN197" s="59">
        <f t="shared" si="198"/>
        <v>798.28441184640008</v>
      </c>
      <c r="EO197" s="59">
        <f ca="1">AVERAGE(OFFSET($EN$3,0,0,'Données projet'!$E$15+1,1))-AVERAGE(OFFSET($H$3,0,0,'Données projet'!$E$15+1,1))</f>
        <v>343.31122043016137</v>
      </c>
      <c r="EP197" s="59">
        <f t="shared" ref="EP197:EP203" si="210">$EP$3</f>
        <v>333.61098411258877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4.1579075889797652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4.1579075889797652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69.482308837777694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319</v>
      </c>
      <c r="FF197" s="17">
        <f>FE197*VLOOKUP('Données projet'!$B$16,Paramètres!$A$1:$I$89,3,0)*VLOOKUP('Données projet'!$B$16,Paramètres!$A$1:$I$89,5,0)</f>
        <v>253.79640000000001</v>
      </c>
      <c r="FG197" s="13">
        <f t="shared" si="182"/>
        <v>61.39816832228076</v>
      </c>
      <c r="FH197" s="20">
        <f t="shared" si="183"/>
        <v>548.96387316130563</v>
      </c>
      <c r="FI197" s="59">
        <f t="shared" si="199"/>
        <v>840.39900556649059</v>
      </c>
      <c r="FJ197" s="59">
        <f ca="1">AVERAGE(OFFSET($FI$3,0,0,'Données projet'!$E$16+1,1))-AVERAGE(OFFSET($H$3,0,0,'Données projet'!$E$16+1,1))</f>
        <v>368.12945163484585</v>
      </c>
      <c r="FK197" s="59">
        <f t="shared" ref="FK197:FK203" si="211">$FK$3</f>
        <v>357.27183934545121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5.5610213819952019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5.5610213819952019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69.482308837777694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69.482308837777694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3.0869565217391299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11.318840579710143</v>
      </c>
      <c r="H198" s="66">
        <f t="shared" si="192"/>
        <v>211.39130434782609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69.491289622058204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5.2499999999990337</v>
      </c>
      <c r="O198" s="13">
        <f>N198*VLOOKUP('Données projet'!$B$9,Paramètres!$A$1:$I$89,3,0)*VLOOKUP('Données projet'!$B$9,Paramètres!$A$1:$I$89,5,0)</f>
        <v>2.4569999999995478</v>
      </c>
      <c r="P198" s="13">
        <f t="shared" si="203"/>
        <v>1.0197977774625564</v>
      </c>
      <c r="Q198" s="20">
        <f t="shared" si="162"/>
        <v>6.0554227957464972</v>
      </c>
      <c r="R198" s="59">
        <f t="shared" si="191"/>
        <v>297.52348474329324</v>
      </c>
      <c r="S198" s="59">
        <f ca="1">AVERAGE(OFFSET($R$3,0,0,'Données projet'!$E$9+1,1))-AVERAGE(OFFSET($H$3,0,0,'Données projet'!$E$9+1,1))</f>
        <v>320.30433416149219</v>
      </c>
      <c r="T198" s="59">
        <f t="shared" si="204"/>
        <v>201.33422682092797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44.231775382869245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44.231775382869245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69.491289622058204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763.00000000000057</v>
      </c>
      <c r="AJ198" s="13">
        <f>AI198*VLOOKUP('Données projet'!$B$10,Paramètres!$A$1:$I$89,3,0)*VLOOKUP('Données projet'!$B$10,Paramètres!$A$1:$I$89,5,0)</f>
        <v>456.2740000000004</v>
      </c>
      <c r="AK198" s="13">
        <f t="shared" si="164"/>
        <v>103.09649786611838</v>
      </c>
      <c r="AL198" s="20">
        <f t="shared" si="165"/>
        <v>974.23695045015677</v>
      </c>
      <c r="AM198" s="59">
        <f t="shared" si="193"/>
        <v>1265.7050123977035</v>
      </c>
      <c r="AN198" s="59">
        <f ca="1">AVERAGE(OFFSET($AM$3,0,0,'Données projet'!$E$10+1,1))-AVERAGE(OFFSET($H$3,0,0,'Données projet'!$E$10+1,1))</f>
        <v>569.80473816957431</v>
      </c>
      <c r="AO198" s="59">
        <f t="shared" si="205"/>
        <v>495.56567790763199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10.912686240875157</v>
      </c>
      <c r="AV198" s="21">
        <f>EXP(-LN(2)/25)*AV197+(1-EXP(-LN(2)/25))/(LN(2)/25)*Calculateur!AQ198*Calculateur!AS198*VLOOKUP('Données projet'!$B$10,Paramètres!$A$1:$I$89,3,0)*0.475*44/12</f>
        <v>0.67440640297957222</v>
      </c>
      <c r="AW198" s="21">
        <f>EXP(-LN(2)/2)*AW197+(1-EXP(-LN(2)/2))/(LN(2)/2)*AQ198*AT198*VLOOKUP('Données projet'!$B$10,Paramètres!$A$1:$I$89,3,0)*0.475*44/12</f>
        <v>1.148567195592548E-26</v>
      </c>
      <c r="AX198" s="21">
        <f t="shared" si="166"/>
        <v>11.58709264385473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69.491289622058204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-2.5006556825246661E-14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180.42749272334603</v>
      </c>
      <c r="BJ198" s="59">
        <f t="shared" si="206"/>
        <v>346.61476512497495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2.4359122998627369</v>
      </c>
      <c r="BQ198" s="21">
        <f>EXP(-LN(2)/25)*BQ197+(1-EXP(-LN(2)/25))/(LN(2)/25)*Calculateur!BL198*Calculateur!BN198*VLOOKUP('Données projet'!$B$11,Paramètres!$A$1:$I$89,3,0)*0.475*44/12</f>
        <v>0.1707568912871244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2.6066691911498614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69.491289622058204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19.8100000000004</v>
      </c>
      <c r="BZ198" s="13">
        <f>BY198*VLOOKUP('Données projet'!$B$12,Paramètres!$A$1:$I$89,3,0)*VLOOKUP('Données projet'!$B$12,Paramètres!$A$1:$I$89,5,0)</f>
        <v>17.924088000000364</v>
      </c>
      <c r="CA198" s="13">
        <f t="shared" si="170"/>
        <v>5.9032212091029486</v>
      </c>
      <c r="CB198" s="20">
        <f t="shared" si="171"/>
        <v>41.499230205854936</v>
      </c>
      <c r="CC198" s="59">
        <f t="shared" si="195"/>
        <v>332.96729215340167</v>
      </c>
      <c r="CD198" s="59">
        <f ca="1">AVERAGE(OFFSET($CC$3,0,0,'Données projet'!$E$12+1,1))-AVERAGE(OFFSET($H$3,0,0,'Données projet'!$E$12+1,1))</f>
        <v>553.16421218123958</v>
      </c>
      <c r="CE198" s="59">
        <f t="shared" si="207"/>
        <v>291.73668613844416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78.010814694479407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78.010814694479407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69.491289622058204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19.8100000000004</v>
      </c>
      <c r="CU198" s="17">
        <f>CT198*VLOOKUP('Données projet'!$B$13,Paramètres!$A$1:$I$89,3,0)*VLOOKUP('Données projet'!$B$13,Paramètres!$A$1:$I$89,5,0)</f>
        <v>20.08734000000041</v>
      </c>
      <c r="CV198" s="13">
        <f t="shared" si="173"/>
        <v>6.5285137703520215</v>
      </c>
      <c r="CW198" s="20">
        <f t="shared" si="174"/>
        <v>46.355945316697152</v>
      </c>
      <c r="CX198" s="59">
        <f t="shared" si="196"/>
        <v>337.8240072642439</v>
      </c>
      <c r="CY198" s="59">
        <f ca="1">AVERAGE(OFFSET($CX$3,0,0,'Données projet'!$E$13+1,1))-AVERAGE(OFFSET($H$3,0,0,'Données projet'!$E$13+1,1))</f>
        <v>611.82989382187804</v>
      </c>
      <c r="CZ198" s="59">
        <f t="shared" si="208"/>
        <v>320.34124600136363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87.425913019675193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87.425913019675193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69.491289622058204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19.8100000000004</v>
      </c>
      <c r="DP198" s="17">
        <f>DO198*VLOOKUP('Données projet'!$B$14,Paramètres!$A$1:$I$89,3,0)*VLOOKUP('Données projet'!$B$14,Paramètres!$A$1:$I$89,5,0)</f>
        <v>21.323484000000427</v>
      </c>
      <c r="DQ198" s="13">
        <f t="shared" si="176"/>
        <v>6.88226100850307</v>
      </c>
      <c r="DR198" s="20">
        <f t="shared" si="177"/>
        <v>49.125005889810261</v>
      </c>
      <c r="DS198" s="59">
        <f t="shared" si="197"/>
        <v>340.59306783735701</v>
      </c>
      <c r="DT198" s="59">
        <f ca="1">AVERAGE(OFFSET($DS$3,0,0,'Données projet'!$E$14+1,1))-AVERAGE(OFFSET($H$3,0,0,'Données projet'!$E$14+1,1))</f>
        <v>645.29541304800614</v>
      </c>
      <c r="DU198" s="59">
        <f t="shared" si="209"/>
        <v>336.65580771733323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92.805969205501285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92.805969205501285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69.491289622058204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319</v>
      </c>
      <c r="EK198" s="17">
        <f>EJ198*VLOOKUP('Données projet'!$B$15,Paramètres!$A$1:$I$89,3,0)*VLOOKUP('Données projet'!$B$15,Paramètres!$A$1:$I$89,5,0)</f>
        <v>233.89079999999998</v>
      </c>
      <c r="EL198" s="13">
        <f t="shared" si="179"/>
        <v>57.123140349023068</v>
      </c>
      <c r="EM198" s="20">
        <f t="shared" si="180"/>
        <v>506.84927944121517</v>
      </c>
      <c r="EN198" s="59">
        <f t="shared" si="198"/>
        <v>798.31734138876186</v>
      </c>
      <c r="EO198" s="59">
        <f ca="1">AVERAGE(OFFSET($EN$3,0,0,'Données projet'!$E$15+1,1))-AVERAGE(OFFSET($H$3,0,0,'Données projet'!$E$15+1,1))</f>
        <v>343.31122043016137</v>
      </c>
      <c r="EP198" s="59">
        <f t="shared" si="210"/>
        <v>333.61098411258877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4.0763735572330848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4.0763735572330848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69.491289622058204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319</v>
      </c>
      <c r="FF198" s="17">
        <f>FE198*VLOOKUP('Données projet'!$B$16,Paramètres!$A$1:$I$89,3,0)*VLOOKUP('Données projet'!$B$16,Paramètres!$A$1:$I$89,5,0)</f>
        <v>253.79640000000001</v>
      </c>
      <c r="FG198" s="13">
        <f t="shared" si="182"/>
        <v>61.39816832228076</v>
      </c>
      <c r="FH198" s="20">
        <f t="shared" si="183"/>
        <v>548.96387316130563</v>
      </c>
      <c r="FI198" s="59">
        <f t="shared" si="199"/>
        <v>840.43193510885237</v>
      </c>
      <c r="FJ198" s="59">
        <f ca="1">AVERAGE(OFFSET($FI$3,0,0,'Données projet'!$E$16+1,1))-AVERAGE(OFFSET($H$3,0,0,'Données projet'!$E$16+1,1))</f>
        <v>368.12945163484585</v>
      </c>
      <c r="FK198" s="59">
        <f t="shared" si="211"/>
        <v>357.27183934545121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5.4519731445823982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5.4519731445823982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69.491289622058204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69.491289622058204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3.0869565217391299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11.318840579710143</v>
      </c>
      <c r="H199" s="66">
        <f t="shared" si="192"/>
        <v>211.39130434782609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69.500114609809472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5.2499999999990337</v>
      </c>
      <c r="O199" s="13">
        <f>N199*VLOOKUP('Données projet'!$B$9,Paramètres!$A$1:$I$89,3,0)*VLOOKUP('Données projet'!$B$9,Paramètres!$A$1:$I$89,5,0)</f>
        <v>2.4569999999995478</v>
      </c>
      <c r="P199" s="13">
        <f t="shared" si="203"/>
        <v>1.0197977774625564</v>
      </c>
      <c r="Q199" s="20">
        <f t="shared" si="162"/>
        <v>6.0554227957464972</v>
      </c>
      <c r="R199" s="59">
        <f t="shared" si="191"/>
        <v>297.55584303171457</v>
      </c>
      <c r="S199" s="59">
        <f ca="1">AVERAGE(OFFSET($R$3,0,0,'Données projet'!$E$9+1,1))-AVERAGE(OFFSET($H$3,0,0,'Données projet'!$E$9+1,1))</f>
        <v>320.30433416149219</v>
      </c>
      <c r="T199" s="59">
        <f t="shared" si="204"/>
        <v>201.33422682092797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43.364417246330234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43.364417246330234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69.500114609809472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763.00000000000057</v>
      </c>
      <c r="AJ199" s="13">
        <f>AI199*VLOOKUP('Données projet'!$B$10,Paramètres!$A$1:$I$89,3,0)*VLOOKUP('Données projet'!$B$10,Paramètres!$A$1:$I$89,5,0)</f>
        <v>456.2740000000004</v>
      </c>
      <c r="AK199" s="13">
        <f t="shared" si="164"/>
        <v>103.09649786611838</v>
      </c>
      <c r="AL199" s="20">
        <f t="shared" si="165"/>
        <v>974.23695045015677</v>
      </c>
      <c r="AM199" s="59">
        <f t="shared" si="193"/>
        <v>1265.7373706861249</v>
      </c>
      <c r="AN199" s="59">
        <f ca="1">AVERAGE(OFFSET($AM$3,0,0,'Données projet'!$E$10+1,1))-AVERAGE(OFFSET($H$3,0,0,'Données projet'!$E$10+1,1))</f>
        <v>569.80473816957431</v>
      </c>
      <c r="AO199" s="59">
        <f t="shared" si="205"/>
        <v>495.56567790763199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10.698695119772969</v>
      </c>
      <c r="AV199" s="21">
        <f>EXP(-LN(2)/25)*AV198+(1-EXP(-LN(2)/25))/(LN(2)/25)*Calculateur!AQ199*Calculateur!AS199*VLOOKUP('Données projet'!$B$10,Paramètres!$A$1:$I$89,3,0)*0.475*44/12</f>
        <v>0.65596472442460441</v>
      </c>
      <c r="AW199" s="21">
        <f>EXP(-LN(2)/2)*AW198+(1-EXP(-LN(2)/2))/(LN(2)/2)*AQ199*AT199*VLOOKUP('Données projet'!$B$10,Paramètres!$A$1:$I$89,3,0)*0.475*44/12</f>
        <v>8.1215965265190635E-27</v>
      </c>
      <c r="AX199" s="21">
        <f t="shared" si="166"/>
        <v>11.354659844197574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69.500114609809472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-2.5006556825246661E-14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180.42749272334603</v>
      </c>
      <c r="BJ199" s="59">
        <f t="shared" si="206"/>
        <v>346.61476512497495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2.3881455454222249</v>
      </c>
      <c r="BQ199" s="21">
        <f>EXP(-LN(2)/25)*BQ198+(1-EXP(-LN(2)/25))/(LN(2)/25)*Calculateur!BL199*Calculateur!BN199*VLOOKUP('Données projet'!$B$11,Paramètres!$A$1:$I$89,3,0)*0.475*44/12</f>
        <v>0.16608753511516333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2.5542330805373883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69.500114609809472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19.8100000000004</v>
      </c>
      <c r="BZ199" s="13">
        <f>BY199*VLOOKUP('Données projet'!$B$12,Paramètres!$A$1:$I$89,3,0)*VLOOKUP('Données projet'!$B$12,Paramètres!$A$1:$I$89,5,0)</f>
        <v>17.924088000000364</v>
      </c>
      <c r="CA199" s="13">
        <f t="shared" si="170"/>
        <v>5.9032212091029486</v>
      </c>
      <c r="CB199" s="20">
        <f t="shared" si="171"/>
        <v>41.499230205854936</v>
      </c>
      <c r="CC199" s="59">
        <f t="shared" si="195"/>
        <v>332.99965044182301</v>
      </c>
      <c r="CD199" s="59">
        <f ca="1">AVERAGE(OFFSET($CC$3,0,0,'Données projet'!$E$12+1,1))-AVERAGE(OFFSET($H$3,0,0,'Données projet'!$E$12+1,1))</f>
        <v>553.16421218123958</v>
      </c>
      <c r="CE199" s="59">
        <f t="shared" si="207"/>
        <v>291.73668613844416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76.481070200219307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76.481070200219307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69.500114609809472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19.8100000000004</v>
      </c>
      <c r="CU199" s="17">
        <f>CT199*VLOOKUP('Données projet'!$B$13,Paramètres!$A$1:$I$89,3,0)*VLOOKUP('Données projet'!$B$13,Paramètres!$A$1:$I$89,5,0)</f>
        <v>20.08734000000041</v>
      </c>
      <c r="CV199" s="13">
        <f t="shared" si="173"/>
        <v>6.5285137703520215</v>
      </c>
      <c r="CW199" s="20">
        <f t="shared" si="174"/>
        <v>46.355945316697152</v>
      </c>
      <c r="CX199" s="59">
        <f t="shared" si="196"/>
        <v>337.85636555266524</v>
      </c>
      <c r="CY199" s="59">
        <f ca="1">AVERAGE(OFFSET($CX$3,0,0,'Données projet'!$E$13+1,1))-AVERAGE(OFFSET($H$3,0,0,'Données projet'!$E$13+1,1))</f>
        <v>611.82989382187804</v>
      </c>
      <c r="CZ199" s="59">
        <f t="shared" si="208"/>
        <v>320.34124600136363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85.711544189900948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85.711544189900948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69.500114609809472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19.8100000000004</v>
      </c>
      <c r="DP199" s="17">
        <f>DO199*VLOOKUP('Données projet'!$B$14,Paramètres!$A$1:$I$89,3,0)*VLOOKUP('Données projet'!$B$14,Paramètres!$A$1:$I$89,5,0)</f>
        <v>21.323484000000427</v>
      </c>
      <c r="DQ199" s="13">
        <f t="shared" si="176"/>
        <v>6.88226100850307</v>
      </c>
      <c r="DR199" s="20">
        <f t="shared" si="177"/>
        <v>49.125005889810261</v>
      </c>
      <c r="DS199" s="59">
        <f t="shared" si="197"/>
        <v>340.62542612577835</v>
      </c>
      <c r="DT199" s="59">
        <f ca="1">AVERAGE(OFFSET($DS$3,0,0,'Données projet'!$E$14+1,1))-AVERAGE(OFFSET($H$3,0,0,'Données projet'!$E$14+1,1))</f>
        <v>645.29541304800614</v>
      </c>
      <c r="DU199" s="59">
        <f t="shared" si="209"/>
        <v>336.65580771733323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90.986100755433242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90.986100755433242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69.500114609809472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319</v>
      </c>
      <c r="EK199" s="17">
        <f>EJ199*VLOOKUP('Données projet'!$B$15,Paramètres!$A$1:$I$89,3,0)*VLOOKUP('Données projet'!$B$15,Paramètres!$A$1:$I$89,5,0)</f>
        <v>233.89079999999998</v>
      </c>
      <c r="EL199" s="13">
        <f t="shared" si="179"/>
        <v>57.123140349023068</v>
      </c>
      <c r="EM199" s="20">
        <f t="shared" si="180"/>
        <v>506.84927944121517</v>
      </c>
      <c r="EN199" s="59">
        <f t="shared" si="198"/>
        <v>798.34969967718325</v>
      </c>
      <c r="EO199" s="59">
        <f ca="1">AVERAGE(OFFSET($EN$3,0,0,'Données projet'!$E$15+1,1))-AVERAGE(OFFSET($H$3,0,0,'Données projet'!$E$15+1,1))</f>
        <v>343.31122043016137</v>
      </c>
      <c r="EP199" s="59">
        <f t="shared" si="210"/>
        <v>333.61098411258877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3.996438358118108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3.996438358118108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69.500114609809472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319</v>
      </c>
      <c r="FF199" s="17">
        <f>FE199*VLOOKUP('Données projet'!$B$16,Paramètres!$A$1:$I$89,3,0)*VLOOKUP('Données projet'!$B$16,Paramètres!$A$1:$I$89,5,0)</f>
        <v>253.79640000000001</v>
      </c>
      <c r="FG199" s="13">
        <f t="shared" si="182"/>
        <v>61.39816832228076</v>
      </c>
      <c r="FH199" s="20">
        <f t="shared" si="183"/>
        <v>548.96387316130563</v>
      </c>
      <c r="FI199" s="59">
        <f t="shared" si="199"/>
        <v>840.46429339727365</v>
      </c>
      <c r="FJ199" s="59">
        <f ca="1">AVERAGE(OFFSET($FI$3,0,0,'Données projet'!$E$16+1,1))-AVERAGE(OFFSET($H$3,0,0,'Données projet'!$E$16+1,1))</f>
        <v>368.12945163484585</v>
      </c>
      <c r="FK199" s="59">
        <f t="shared" si="211"/>
        <v>357.27183934545121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5.345063276592402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5.345063276592402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69.500114609809472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69.500114609809472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3.0869565217391299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11.318840579710143</v>
      </c>
      <c r="H200" s="66">
        <f t="shared" si="192"/>
        <v>211.39130434782609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69.508786503752958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5.2499999999990337</v>
      </c>
      <c r="O200" s="13">
        <f>N200*VLOOKUP('Données projet'!$B$9,Paramètres!$A$1:$I$89,3,0)*VLOOKUP('Données projet'!$B$9,Paramètres!$A$1:$I$89,5,0)</f>
        <v>2.4569999999995478</v>
      </c>
      <c r="P200" s="13">
        <f t="shared" si="203"/>
        <v>1.0197977774625564</v>
      </c>
      <c r="Q200" s="20">
        <f t="shared" si="162"/>
        <v>6.0554227957464972</v>
      </c>
      <c r="R200" s="59">
        <f t="shared" si="191"/>
        <v>297.58763997617399</v>
      </c>
      <c r="S200" s="59">
        <f ca="1">AVERAGE(OFFSET($R$3,0,0,'Données projet'!$E$9+1,1))-AVERAGE(OFFSET($H$3,0,0,'Données projet'!$E$9+1,1))</f>
        <v>320.30433416149219</v>
      </c>
      <c r="T200" s="59">
        <f t="shared" si="204"/>
        <v>201.33422682092797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42.514067473812531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42.514067473812531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69.508786503752958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763.00000000000057</v>
      </c>
      <c r="AJ200" s="13">
        <f>AI200*VLOOKUP('Données projet'!$B$10,Paramètres!$A$1:$I$89,3,0)*VLOOKUP('Données projet'!$B$10,Paramètres!$A$1:$I$89,5,0)</f>
        <v>456.2740000000004</v>
      </c>
      <c r="AK200" s="13">
        <f t="shared" si="164"/>
        <v>103.09649786611838</v>
      </c>
      <c r="AL200" s="20">
        <f t="shared" si="165"/>
        <v>974.23695045015677</v>
      </c>
      <c r="AM200" s="59">
        <f t="shared" si="193"/>
        <v>1265.7691676305842</v>
      </c>
      <c r="AN200" s="59">
        <f ca="1">AVERAGE(OFFSET($AM$3,0,0,'Données projet'!$E$10+1,1))-AVERAGE(OFFSET($H$3,0,0,'Données projet'!$E$10+1,1))</f>
        <v>569.80473816957431</v>
      </c>
      <c r="AO200" s="59">
        <f t="shared" si="205"/>
        <v>495.56567790763199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10.488900234033899</v>
      </c>
      <c r="AV200" s="21">
        <f>EXP(-LN(2)/25)*AV199+(1-EXP(-LN(2)/25))/(LN(2)/25)*Calculateur!AQ200*Calculateur!AS200*VLOOKUP('Données projet'!$B$10,Paramètres!$A$1:$I$89,3,0)*0.475*44/12</f>
        <v>0.63802733453952798</v>
      </c>
      <c r="AW200" s="21">
        <f>EXP(-LN(2)/2)*AW199+(1-EXP(-LN(2)/2))/(LN(2)/2)*AQ200*AT200*VLOOKUP('Données projet'!$B$10,Paramètres!$A$1:$I$89,3,0)*0.475*44/12</f>
        <v>5.7428359779627399E-27</v>
      </c>
      <c r="AX200" s="21">
        <f t="shared" si="166"/>
        <v>11.126927568573427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69.508786503752958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-2.5006556825246661E-14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180.42749272334603</v>
      </c>
      <c r="BJ200" s="59">
        <f t="shared" si="206"/>
        <v>346.61476512497495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2.3413154679014481</v>
      </c>
      <c r="BQ200" s="21">
        <f>EXP(-LN(2)/25)*BQ199+(1-EXP(-LN(2)/25))/(LN(2)/25)*Calculateur!BL200*Calculateur!BN200*VLOOKUP('Données projet'!$B$11,Paramètres!$A$1:$I$89,3,0)*0.475*44/12</f>
        <v>0.16154586273327531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2.5028613306347234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69.508786503752958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19.8100000000004</v>
      </c>
      <c r="BZ200" s="13">
        <f>BY200*VLOOKUP('Données projet'!$B$12,Paramètres!$A$1:$I$89,3,0)*VLOOKUP('Données projet'!$B$12,Paramètres!$A$1:$I$89,5,0)</f>
        <v>17.924088000000364</v>
      </c>
      <c r="CA200" s="13">
        <f t="shared" si="170"/>
        <v>5.9032212091029486</v>
      </c>
      <c r="CB200" s="20">
        <f t="shared" si="171"/>
        <v>41.499230205854936</v>
      </c>
      <c r="CC200" s="59">
        <f t="shared" si="195"/>
        <v>333.03144738628242</v>
      </c>
      <c r="CD200" s="59">
        <f ca="1">AVERAGE(OFFSET($CC$3,0,0,'Données projet'!$E$12+1,1))-AVERAGE(OFFSET($H$3,0,0,'Données projet'!$E$12+1,1))</f>
        <v>553.16421218123958</v>
      </c>
      <c r="CE200" s="59">
        <f t="shared" si="207"/>
        <v>291.73668613844416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74.981323062439643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74.981323062439643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69.508786503752958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19.8100000000004</v>
      </c>
      <c r="CU200" s="17">
        <f>CT200*VLOOKUP('Données projet'!$B$13,Paramètres!$A$1:$I$89,3,0)*VLOOKUP('Données projet'!$B$13,Paramètres!$A$1:$I$89,5,0)</f>
        <v>20.08734000000041</v>
      </c>
      <c r="CV200" s="13">
        <f t="shared" si="173"/>
        <v>6.5285137703520215</v>
      </c>
      <c r="CW200" s="20">
        <f t="shared" si="174"/>
        <v>46.355945316697152</v>
      </c>
      <c r="CX200" s="59">
        <f t="shared" si="196"/>
        <v>337.88816249712465</v>
      </c>
      <c r="CY200" s="59">
        <f ca="1">AVERAGE(OFFSET($CX$3,0,0,'Données projet'!$E$13+1,1))-AVERAGE(OFFSET($H$3,0,0,'Données projet'!$E$13+1,1))</f>
        <v>611.82989382187804</v>
      </c>
      <c r="CZ200" s="59">
        <f t="shared" si="208"/>
        <v>320.34124600136363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84.030793087216836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84.030793087216836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69.508786503752958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19.8100000000004</v>
      </c>
      <c r="DP200" s="17">
        <f>DO200*VLOOKUP('Données projet'!$B$14,Paramètres!$A$1:$I$89,3,0)*VLOOKUP('Données projet'!$B$14,Paramètres!$A$1:$I$89,5,0)</f>
        <v>21.323484000000427</v>
      </c>
      <c r="DQ200" s="13">
        <f t="shared" si="176"/>
        <v>6.88226100850307</v>
      </c>
      <c r="DR200" s="20">
        <f t="shared" si="177"/>
        <v>49.125005889810261</v>
      </c>
      <c r="DS200" s="59">
        <f t="shared" si="197"/>
        <v>340.65722307023776</v>
      </c>
      <c r="DT200" s="59">
        <f ca="1">AVERAGE(OFFSET($DS$3,0,0,'Données projet'!$E$14+1,1))-AVERAGE(OFFSET($H$3,0,0,'Données projet'!$E$14+1,1))</f>
        <v>645.29541304800614</v>
      </c>
      <c r="DU200" s="59">
        <f t="shared" si="209"/>
        <v>336.65580771733323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89.201918815660875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89.201918815660875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69.508786503752958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319</v>
      </c>
      <c r="EK200" s="17">
        <f>EJ200*VLOOKUP('Données projet'!$B$15,Paramètres!$A$1:$I$89,3,0)*VLOOKUP('Données projet'!$B$15,Paramètres!$A$1:$I$89,5,0)</f>
        <v>233.89079999999998</v>
      </c>
      <c r="EL200" s="13">
        <f t="shared" si="179"/>
        <v>57.123140349023068</v>
      </c>
      <c r="EM200" s="20">
        <f t="shared" si="180"/>
        <v>506.84927944121517</v>
      </c>
      <c r="EN200" s="59">
        <f t="shared" si="198"/>
        <v>798.38149662164267</v>
      </c>
      <c r="EO200" s="59">
        <f ca="1">AVERAGE(OFFSET($EN$3,0,0,'Données projet'!$E$15+1,1))-AVERAGE(OFFSET($H$3,0,0,'Données projet'!$E$15+1,1))</f>
        <v>343.31122043016137</v>
      </c>
      <c r="EP200" s="59">
        <f t="shared" si="210"/>
        <v>333.61098411258877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3.9180706395021185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3.9180706395021185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69.508786503752958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319</v>
      </c>
      <c r="FF200" s="17">
        <f>FE200*VLOOKUP('Données projet'!$B$16,Paramètres!$A$1:$I$89,3,0)*VLOOKUP('Données projet'!$B$16,Paramètres!$A$1:$I$89,5,0)</f>
        <v>253.79640000000001</v>
      </c>
      <c r="FG200" s="13">
        <f t="shared" si="182"/>
        <v>61.39816832228076</v>
      </c>
      <c r="FH200" s="20">
        <f t="shared" si="183"/>
        <v>548.96387316130563</v>
      </c>
      <c r="FI200" s="59">
        <f t="shared" si="199"/>
        <v>840.49609034173318</v>
      </c>
      <c r="FJ200" s="59">
        <f ca="1">AVERAGE(OFFSET($FI$3,0,0,'Données projet'!$E$16+1,1))-AVERAGE(OFFSET($H$3,0,0,'Données projet'!$E$16+1,1))</f>
        <v>368.12945163484585</v>
      </c>
      <c r="FK200" s="59">
        <f t="shared" si="211"/>
        <v>357.27183934545121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5.240249845905109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5.240249845905109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69.508786503752958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69.508786503752958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3.0869565217391299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11.318840579710143</v>
      </c>
      <c r="H201" s="66">
        <f t="shared" si="192"/>
        <v>211.39130434782609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69.517307959724008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5.2499999999990337</v>
      </c>
      <c r="O201" s="13">
        <f>N201*VLOOKUP('Données projet'!$B$9,Paramètres!$A$1:$I$89,3,0)*VLOOKUP('Données projet'!$B$9,Paramètres!$A$1:$I$89,5,0)</f>
        <v>2.4569999999995478</v>
      </c>
      <c r="P201" s="13">
        <f t="shared" si="203"/>
        <v>1.0197977774625564</v>
      </c>
      <c r="Q201" s="20">
        <f t="shared" si="162"/>
        <v>6.0554227957464972</v>
      </c>
      <c r="R201" s="59">
        <f t="shared" si="191"/>
        <v>297.61888531473454</v>
      </c>
      <c r="S201" s="59">
        <f ca="1">AVERAGE(OFFSET($R$3,0,0,'Données projet'!$E$9+1,1))-AVERAGE(OFFSET($H$3,0,0,'Données projet'!$E$9+1,1))</f>
        <v>320.30433416149219</v>
      </c>
      <c r="T201" s="59">
        <f t="shared" si="204"/>
        <v>201.33422682092797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41.68039254167175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41.68039254167175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69.517307959724008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763.00000000000057</v>
      </c>
      <c r="AJ201" s="13">
        <f>AI201*VLOOKUP('Données projet'!$B$10,Paramètres!$A$1:$I$89,3,0)*VLOOKUP('Données projet'!$B$10,Paramètres!$A$1:$I$89,5,0)</f>
        <v>456.2740000000004</v>
      </c>
      <c r="AK201" s="13">
        <f t="shared" si="164"/>
        <v>103.09649786611838</v>
      </c>
      <c r="AL201" s="20">
        <f t="shared" si="165"/>
        <v>974.23695045015677</v>
      </c>
      <c r="AM201" s="59">
        <f t="shared" si="193"/>
        <v>1265.8004129691449</v>
      </c>
      <c r="AN201" s="59">
        <f ca="1">AVERAGE(OFFSET($AM$3,0,0,'Données projet'!$E$10+1,1))-AVERAGE(OFFSET($H$3,0,0,'Données projet'!$E$10+1,1))</f>
        <v>569.80473816957431</v>
      </c>
      <c r="AO201" s="59">
        <f t="shared" si="205"/>
        <v>495.56567790763199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10.283219298041926</v>
      </c>
      <c r="AV201" s="21">
        <f>EXP(-LN(2)/25)*AV200+(1-EXP(-LN(2)/25))/(LN(2)/25)*Calculateur!AQ201*Calculateur!AS201*VLOOKUP('Données projet'!$B$10,Paramètres!$A$1:$I$89,3,0)*0.475*44/12</f>
        <v>0.62058044352414532</v>
      </c>
      <c r="AW201" s="21">
        <f>EXP(-LN(2)/2)*AW200+(1-EXP(-LN(2)/2))/(LN(2)/2)*AQ201*AT201*VLOOKUP('Données projet'!$B$10,Paramètres!$A$1:$I$89,3,0)*0.475*44/12</f>
        <v>4.0607982632595317E-27</v>
      </c>
      <c r="AX201" s="21">
        <f t="shared" si="166"/>
        <v>10.903799741566072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69.517307959724008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-2.5006556825246661E-14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180.42749272334603</v>
      </c>
      <c r="BJ201" s="59">
        <f t="shared" si="206"/>
        <v>346.61476512497495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2.2954036996373266</v>
      </c>
      <c r="BQ201" s="21">
        <f>EXP(-LN(2)/25)*BQ200+(1-EXP(-LN(2)/25))/(LN(2)/25)*Calculateur!BL201*Calculateur!BN201*VLOOKUP('Données projet'!$B$11,Paramètres!$A$1:$I$89,3,0)*0.475*44/12</f>
        <v>0.15712838262150619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2.4525320822588328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69.517307959724008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19.8100000000004</v>
      </c>
      <c r="BZ201" s="13">
        <f>BY201*VLOOKUP('Données projet'!$B$12,Paramètres!$A$1:$I$89,3,0)*VLOOKUP('Données projet'!$B$12,Paramètres!$A$1:$I$89,5,0)</f>
        <v>17.924088000000364</v>
      </c>
      <c r="CA201" s="13">
        <f t="shared" si="170"/>
        <v>5.9032212091029486</v>
      </c>
      <c r="CB201" s="20">
        <f t="shared" si="171"/>
        <v>41.499230205854936</v>
      </c>
      <c r="CC201" s="59">
        <f t="shared" si="195"/>
        <v>333.06269272484298</v>
      </c>
      <c r="CD201" s="59">
        <f ca="1">AVERAGE(OFFSET($CC$3,0,0,'Données projet'!$E$12+1,1))-AVERAGE(OFFSET($H$3,0,0,'Données projet'!$E$12+1,1))</f>
        <v>553.16421218123958</v>
      </c>
      <c r="CE201" s="59">
        <f t="shared" si="207"/>
        <v>291.73668613844416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73.510985051276407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73.510985051276407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69.517307959724008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19.8100000000004</v>
      </c>
      <c r="CU201" s="17">
        <f>CT201*VLOOKUP('Données projet'!$B$13,Paramètres!$A$1:$I$89,3,0)*VLOOKUP('Données projet'!$B$13,Paramètres!$A$1:$I$89,5,0)</f>
        <v>20.08734000000041</v>
      </c>
      <c r="CV201" s="13">
        <f t="shared" si="173"/>
        <v>6.5285137703520215</v>
      </c>
      <c r="CW201" s="20">
        <f t="shared" si="174"/>
        <v>46.355945316697152</v>
      </c>
      <c r="CX201" s="59">
        <f t="shared" si="196"/>
        <v>337.91940783568521</v>
      </c>
      <c r="CY201" s="59">
        <f ca="1">AVERAGE(OFFSET($CX$3,0,0,'Données projet'!$E$13+1,1))-AVERAGE(OFFSET($H$3,0,0,'Données projet'!$E$13+1,1))</f>
        <v>611.82989382187804</v>
      </c>
      <c r="CZ201" s="59">
        <f t="shared" si="208"/>
        <v>320.34124600136363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82.383000488499405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82.383000488499405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69.517307959724008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19.8100000000004</v>
      </c>
      <c r="DP201" s="17">
        <f>DO201*VLOOKUP('Données projet'!$B$14,Paramètres!$A$1:$I$89,3,0)*VLOOKUP('Données projet'!$B$14,Paramètres!$A$1:$I$89,5,0)</f>
        <v>21.323484000000427</v>
      </c>
      <c r="DQ201" s="13">
        <f t="shared" si="176"/>
        <v>6.88226100850307</v>
      </c>
      <c r="DR201" s="20">
        <f t="shared" si="177"/>
        <v>49.125005889810261</v>
      </c>
      <c r="DS201" s="59">
        <f t="shared" si="197"/>
        <v>340.68846840879831</v>
      </c>
      <c r="DT201" s="59">
        <f ca="1">AVERAGE(OFFSET($DS$3,0,0,'Données projet'!$E$14+1,1))-AVERAGE(OFFSET($H$3,0,0,'Données projet'!$E$14+1,1))</f>
        <v>645.29541304800614</v>
      </c>
      <c r="DU201" s="59">
        <f t="shared" si="209"/>
        <v>336.65580771733323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87.452723595483917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87.452723595483917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69.517307959724008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319</v>
      </c>
      <c r="EK201" s="17">
        <f>EJ201*VLOOKUP('Données projet'!$B$15,Paramètres!$A$1:$I$89,3,0)*VLOOKUP('Données projet'!$B$15,Paramètres!$A$1:$I$89,5,0)</f>
        <v>233.89079999999998</v>
      </c>
      <c r="EL201" s="13">
        <f t="shared" si="179"/>
        <v>57.123140349023068</v>
      </c>
      <c r="EM201" s="20">
        <f t="shared" si="180"/>
        <v>506.84927944121517</v>
      </c>
      <c r="EN201" s="59">
        <f t="shared" si="198"/>
        <v>798.41274196020322</v>
      </c>
      <c r="EO201" s="59">
        <f ca="1">AVERAGE(OFFSET($EN$3,0,0,'Données projet'!$E$15+1,1))-AVERAGE(OFFSET($H$3,0,0,'Données projet'!$E$15+1,1))</f>
        <v>343.31122043016137</v>
      </c>
      <c r="EP201" s="59">
        <f t="shared" si="210"/>
        <v>333.61098411258877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3.8412396640486004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3.8412396640486004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69.517307959724008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319</v>
      </c>
      <c r="FF201" s="17">
        <f>FE201*VLOOKUP('Données projet'!$B$16,Paramètres!$A$1:$I$89,3,0)*VLOOKUP('Données projet'!$B$16,Paramètres!$A$1:$I$89,5,0)</f>
        <v>253.79640000000001</v>
      </c>
      <c r="FG201" s="13">
        <f t="shared" si="182"/>
        <v>61.39816832228076</v>
      </c>
      <c r="FH201" s="20">
        <f t="shared" si="183"/>
        <v>548.96387316130563</v>
      </c>
      <c r="FI201" s="59">
        <f t="shared" si="199"/>
        <v>840.52733568029362</v>
      </c>
      <c r="FJ201" s="59">
        <f ca="1">AVERAGE(OFFSET($FI$3,0,0,'Données projet'!$E$16+1,1))-AVERAGE(OFFSET($H$3,0,0,'Données projet'!$E$16+1,1))</f>
        <v>368.12945163484585</v>
      </c>
      <c r="FK201" s="59">
        <f t="shared" si="211"/>
        <v>357.27183934545121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5.1374917426637134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5.1374917426637134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69.517307959724008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69.517307959724008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3.0869565217391299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11.318840579710143</v>
      </c>
      <c r="H202" s="66">
        <f t="shared" si="192"/>
        <v>211.39130434782609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69.525681587485053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5.2499999999990337</v>
      </c>
      <c r="O202" s="13">
        <f>N202*VLOOKUP('Données projet'!$B$9,Paramètres!$A$1:$I$89,3,0)*VLOOKUP('Données projet'!$B$9,Paramètres!$A$1:$I$89,5,0)</f>
        <v>2.4569999999995478</v>
      </c>
      <c r="P202" s="13">
        <f t="shared" si="203"/>
        <v>1.0197977774625564</v>
      </c>
      <c r="Q202" s="20">
        <f t="shared" si="162"/>
        <v>6.0554227957464972</v>
      </c>
      <c r="R202" s="59">
        <f t="shared" si="191"/>
        <v>297.64958861652502</v>
      </c>
      <c r="S202" s="59">
        <f ca="1">AVERAGE(OFFSET($R$3,0,0,'Données projet'!$E$9+1,1))-AVERAGE(OFFSET($H$3,0,0,'Données projet'!$E$9+1,1))</f>
        <v>320.30433416149219</v>
      </c>
      <c r="T202" s="59">
        <f t="shared" si="204"/>
        <v>201.33422682092797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40.86306546645875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40.86306546645875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69.525681587485053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763.00000000000057</v>
      </c>
      <c r="AJ202" s="13">
        <f>AI202*VLOOKUP('Données projet'!$B$10,Paramètres!$A$1:$I$89,3,0)*VLOOKUP('Données projet'!$B$10,Paramètres!$A$1:$I$89,5,0)</f>
        <v>456.2740000000004</v>
      </c>
      <c r="AK202" s="13">
        <f t="shared" si="164"/>
        <v>103.09649786611838</v>
      </c>
      <c r="AL202" s="20">
        <f t="shared" si="165"/>
        <v>974.23695045015677</v>
      </c>
      <c r="AM202" s="59">
        <f t="shared" si="193"/>
        <v>1265.8311162709354</v>
      </c>
      <c r="AN202" s="59">
        <f ca="1">AVERAGE(OFFSET($AM$3,0,0,'Données projet'!$E$10+1,1))-AVERAGE(OFFSET($H$3,0,0,'Données projet'!$E$10+1,1))</f>
        <v>569.80473816957431</v>
      </c>
      <c r="AO202" s="59">
        <f t="shared" si="205"/>
        <v>495.56567790763199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10.081571639751774</v>
      </c>
      <c r="AV202" s="21">
        <f>EXP(-LN(2)/25)*AV201+(1-EXP(-LN(2)/25))/(LN(2)/25)*Calculateur!AQ202*Calculateur!AS202*VLOOKUP('Données projet'!$B$10,Paramètres!$A$1:$I$89,3,0)*0.475*44/12</f>
        <v>0.60361063866107034</v>
      </c>
      <c r="AW202" s="21">
        <f>EXP(-LN(2)/2)*AW201+(1-EXP(-LN(2)/2))/(LN(2)/2)*AQ202*AT202*VLOOKUP('Données projet'!$B$10,Paramètres!$A$1:$I$89,3,0)*0.475*44/12</f>
        <v>2.87141798898137E-27</v>
      </c>
      <c r="AX202" s="21">
        <f t="shared" si="166"/>
        <v>10.685182278412844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69.525681587485053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-2.5006556825246661E-14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180.42749272334603</v>
      </c>
      <c r="BJ202" s="59">
        <f t="shared" si="206"/>
        <v>346.61476512497495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2.2503922331454511</v>
      </c>
      <c r="BQ202" s="21">
        <f>EXP(-LN(2)/25)*BQ201+(1-EXP(-LN(2)/25))/(LN(2)/25)*Calculateur!BL202*Calculateur!BN202*VLOOKUP('Données projet'!$B$11,Paramètres!$A$1:$I$89,3,0)*0.475*44/12</f>
        <v>0.15283169873569857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2.4032239318811497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69.525681587485053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19.8100000000004</v>
      </c>
      <c r="BZ202" s="13">
        <f>BY202*VLOOKUP('Données projet'!$B$12,Paramètres!$A$1:$I$89,3,0)*VLOOKUP('Données projet'!$B$12,Paramètres!$A$1:$I$89,5,0)</f>
        <v>17.924088000000364</v>
      </c>
      <c r="CA202" s="13">
        <f t="shared" si="170"/>
        <v>5.9032212091029486</v>
      </c>
      <c r="CB202" s="20">
        <f t="shared" si="171"/>
        <v>41.499230205854936</v>
      </c>
      <c r="CC202" s="59">
        <f t="shared" si="195"/>
        <v>333.09339602663346</v>
      </c>
      <c r="CD202" s="59">
        <f ca="1">AVERAGE(OFFSET($CC$3,0,0,'Données projet'!$E$12+1,1))-AVERAGE(OFFSET($H$3,0,0,'Données projet'!$E$12+1,1))</f>
        <v>553.16421218123958</v>
      </c>
      <c r="CE202" s="59">
        <f t="shared" si="207"/>
        <v>291.73668613844416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72.06947947169445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72.06947947169445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69.525681587485053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19.8100000000004</v>
      </c>
      <c r="CU202" s="17">
        <f>CT202*VLOOKUP('Données projet'!$B$13,Paramètres!$A$1:$I$89,3,0)*VLOOKUP('Données projet'!$B$13,Paramètres!$A$1:$I$89,5,0)</f>
        <v>20.08734000000041</v>
      </c>
      <c r="CV202" s="13">
        <f t="shared" si="173"/>
        <v>6.5285137703520215</v>
      </c>
      <c r="CW202" s="20">
        <f t="shared" si="174"/>
        <v>46.355945316697152</v>
      </c>
      <c r="CX202" s="59">
        <f t="shared" si="196"/>
        <v>337.95011113747569</v>
      </c>
      <c r="CY202" s="59">
        <f ca="1">AVERAGE(OFFSET($CX$3,0,0,'Données projet'!$E$13+1,1))-AVERAGE(OFFSET($H$3,0,0,'Données projet'!$E$13+1,1))</f>
        <v>611.82989382187804</v>
      </c>
      <c r="CZ202" s="59">
        <f t="shared" si="208"/>
        <v>320.34124600136363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80.767520097588587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80.767520097588587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69.525681587485053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19.8100000000004</v>
      </c>
      <c r="DP202" s="17">
        <f>DO202*VLOOKUP('Données projet'!$B$14,Paramètres!$A$1:$I$89,3,0)*VLOOKUP('Données projet'!$B$14,Paramètres!$A$1:$I$89,5,0)</f>
        <v>21.323484000000427</v>
      </c>
      <c r="DQ202" s="13">
        <f t="shared" si="176"/>
        <v>6.88226100850307</v>
      </c>
      <c r="DR202" s="20">
        <f t="shared" si="177"/>
        <v>49.125005889810261</v>
      </c>
      <c r="DS202" s="59">
        <f t="shared" si="197"/>
        <v>340.7191717105888</v>
      </c>
      <c r="DT202" s="59">
        <f ca="1">AVERAGE(OFFSET($DS$3,0,0,'Données projet'!$E$14+1,1))-AVERAGE(OFFSET($H$3,0,0,'Données projet'!$E$14+1,1))</f>
        <v>645.29541304800614</v>
      </c>
      <c r="DU202" s="59">
        <f t="shared" si="209"/>
        <v>336.65580771733323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85.737829026670894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85.737829026670894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69.525681587485053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319</v>
      </c>
      <c r="EK202" s="17">
        <f>EJ202*VLOOKUP('Données projet'!$B$15,Paramètres!$A$1:$I$89,3,0)*VLOOKUP('Données projet'!$B$15,Paramètres!$A$1:$I$89,5,0)</f>
        <v>233.89079999999998</v>
      </c>
      <c r="EL202" s="13">
        <f t="shared" si="179"/>
        <v>57.123140349023068</v>
      </c>
      <c r="EM202" s="20">
        <f t="shared" si="180"/>
        <v>506.84927944121517</v>
      </c>
      <c r="EN202" s="59">
        <f t="shared" si="198"/>
        <v>798.4434452619937</v>
      </c>
      <c r="EO202" s="59">
        <f ca="1">AVERAGE(OFFSET($EN$3,0,0,'Données projet'!$E$15+1,1))-AVERAGE(OFFSET($H$3,0,0,'Données projet'!$E$15+1,1))</f>
        <v>343.31122043016137</v>
      </c>
      <c r="EP202" s="59">
        <f t="shared" si="210"/>
        <v>333.61098411258877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3.7659152971614578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3.7659152971614578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69.525681587485053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319</v>
      </c>
      <c r="FF202" s="17">
        <f>FE202*VLOOKUP('Données projet'!$B$16,Paramètres!$A$1:$I$89,3,0)*VLOOKUP('Données projet'!$B$16,Paramètres!$A$1:$I$89,5,0)</f>
        <v>253.79640000000001</v>
      </c>
      <c r="FG202" s="13">
        <f t="shared" si="182"/>
        <v>61.39816832228076</v>
      </c>
      <c r="FH202" s="20">
        <f t="shared" si="183"/>
        <v>548.96387316130563</v>
      </c>
      <c r="FI202" s="59">
        <f t="shared" si="199"/>
        <v>840.5580389820841</v>
      </c>
      <c r="FJ202" s="59">
        <f ca="1">AVERAGE(OFFSET($FI$3,0,0,'Données projet'!$E$16+1,1))-AVERAGE(OFFSET($H$3,0,0,'Données projet'!$E$16+1,1))</f>
        <v>368.12945163484585</v>
      </c>
      <c r="FK202" s="59">
        <f t="shared" si="211"/>
        <v>357.27183934545121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5.036748663150628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5.036748663150628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69.525681587485053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69.525681587485053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3.0869565217391299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54.565217391304344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11.318840579710143</v>
      </c>
      <c r="H203" s="66">
        <f t="shared" si="192"/>
        <v>211.39130434782609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69.533909951525075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5.2499999999990337</v>
      </c>
      <c r="O203" s="13">
        <f>N203*VLOOKUP('Données projet'!$B$9,Paramètres!$A$1:$I$89,3,0)*VLOOKUP('Données projet'!$B$9,Paramètres!$A$1:$I$89,5,0)</f>
        <v>2.4569999999995478</v>
      </c>
      <c r="P203" s="13">
        <f t="shared" si="203"/>
        <v>1.0197977774625564</v>
      </c>
      <c r="Q203" s="20">
        <f t="shared" si="162"/>
        <v>6.0554227957464972</v>
      </c>
      <c r="R203" s="59">
        <f t="shared" si="191"/>
        <v>297.67975928467177</v>
      </c>
      <c r="S203" s="59">
        <f ca="1">AVERAGE(OFFSET($R$3,0,0,'Données projet'!$E$9+1,1))-AVERAGE(OFFSET($H$3,0,0,'Données projet'!$E$9+1,1))</f>
        <v>320.30433416149219</v>
      </c>
      <c r="T203" s="59">
        <f t="shared" si="204"/>
        <v>201.33422682092797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40.061765676670383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40.061765676670383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69.533909951525075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763.00000000000057</v>
      </c>
      <c r="AJ203" s="13">
        <f>AI203*VLOOKUP('Données projet'!$B$10,Paramètres!$A$1:$I$89,3,0)*VLOOKUP('Données projet'!$B$10,Paramètres!$A$1:$I$89,5,0)</f>
        <v>456.2740000000004</v>
      </c>
      <c r="AK203" s="13">
        <f t="shared" si="164"/>
        <v>103.09649786611838</v>
      </c>
      <c r="AL203" s="20">
        <f t="shared" si="165"/>
        <v>974.23695045015677</v>
      </c>
      <c r="AM203" s="59">
        <f t="shared" si="193"/>
        <v>1265.861286939082</v>
      </c>
      <c r="AN203" s="59">
        <f ca="1">AVERAGE(OFFSET($AM$3,0,0,'Données projet'!$E$10+1,1))-AVERAGE(OFFSET($H$3,0,0,'Données projet'!$E$10+1,1))</f>
        <v>569.80473816957431</v>
      </c>
      <c r="AO203" s="59">
        <f t="shared" si="205"/>
        <v>495.56567790763199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9.8838781690477635</v>
      </c>
      <c r="AV203" s="21">
        <f>EXP(-LN(2)/25)*AV202+(1-EXP(-LN(2)/25))/(LN(2)/25)*Calculateur!AQ203*Calculateur!AS203*VLOOKUP('Données projet'!$B$10,Paramètres!$A$1:$I$89,3,0)*0.475*44/12</f>
        <v>0.5871048740043795</v>
      </c>
      <c r="AW203" s="21">
        <f>EXP(-LN(2)/2)*AW202+(1-EXP(-LN(2)/2))/(LN(2)/2)*AQ203*AT203*VLOOKUP('Données projet'!$B$10,Paramètres!$A$1:$I$89,3,0)*0.475*44/12</f>
        <v>2.0303991316297659E-27</v>
      </c>
      <c r="AX203" s="21">
        <f t="shared" si="166"/>
        <v>10.470983043052144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69.533909951525075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-2.5006556825246661E-14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180.42749272334603</v>
      </c>
      <c r="BJ203" s="59">
        <f t="shared" si="206"/>
        <v>346.61476512497495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2.2062634140571977</v>
      </c>
      <c r="BQ203" s="21">
        <f>EXP(-LN(2)/25)*BQ202+(1-EXP(-LN(2)/25))/(LN(2)/25)*Calculateur!BL203*Calculateur!BN203*VLOOKUP('Données projet'!$B$11,Paramètres!$A$1:$I$89,3,0)*0.475*44/12</f>
        <v>0.14865250789670117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2.3549159219538991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69.533909951525075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19.8100000000004</v>
      </c>
      <c r="BZ203" s="13">
        <f>BY203*VLOOKUP('Données projet'!$B$12,Paramètres!$A$1:$I$89,3,0)*VLOOKUP('Données projet'!$B$12,Paramètres!$A$1:$I$89,5,0)</f>
        <v>17.924088000000364</v>
      </c>
      <c r="CA203" s="13">
        <f t="shared" si="170"/>
        <v>5.9032212091029486</v>
      </c>
      <c r="CB203" s="20">
        <f t="shared" si="171"/>
        <v>41.499230205854936</v>
      </c>
      <c r="CC203" s="59">
        <f t="shared" si="195"/>
        <v>333.12356669478021</v>
      </c>
      <c r="CD203" s="59">
        <f ca="1">AVERAGE(OFFSET($CC$3,0,0,'Données projet'!$E$12+1,1))-AVERAGE(OFFSET($H$3,0,0,'Données projet'!$E$12+1,1))</f>
        <v>553.16421218123958</v>
      </c>
      <c r="CE203" s="59">
        <f t="shared" si="207"/>
        <v>291.73668613844416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70.656240937296502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70.656240937296502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69.533909951525075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19.8100000000004</v>
      </c>
      <c r="CU203" s="17">
        <f>CT203*VLOOKUP('Données projet'!$B$13,Paramètres!$A$1:$I$89,3,0)*VLOOKUP('Données projet'!$B$13,Paramètres!$A$1:$I$89,5,0)</f>
        <v>20.08734000000041</v>
      </c>
      <c r="CV203" s="13">
        <f t="shared" si="173"/>
        <v>6.5285137703520215</v>
      </c>
      <c r="CW203" s="20">
        <f t="shared" si="174"/>
        <v>46.355945316697152</v>
      </c>
      <c r="CX203" s="59">
        <f t="shared" si="196"/>
        <v>337.98028180562244</v>
      </c>
      <c r="CY203" s="59">
        <f ca="1">AVERAGE(OFFSET($CX$3,0,0,'Données projet'!$E$13+1,1))-AVERAGE(OFFSET($H$3,0,0,'Données projet'!$E$13+1,1))</f>
        <v>611.82989382187804</v>
      </c>
      <c r="CZ203" s="59">
        <f t="shared" si="208"/>
        <v>320.34124600136363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79.183718291797788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79.183718291797788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69.533909951525075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19.8100000000004</v>
      </c>
      <c r="DP203" s="17">
        <f>DO203*VLOOKUP('Données projet'!$B$14,Paramètres!$A$1:$I$89,3,0)*VLOOKUP('Données projet'!$B$14,Paramètres!$A$1:$I$89,5,0)</f>
        <v>21.323484000000427</v>
      </c>
      <c r="DQ203" s="13">
        <f t="shared" si="176"/>
        <v>6.88226100850307</v>
      </c>
      <c r="DR203" s="20">
        <f t="shared" si="177"/>
        <v>49.125005889810261</v>
      </c>
      <c r="DS203" s="59">
        <f t="shared" si="197"/>
        <v>340.74934237873555</v>
      </c>
      <c r="DT203" s="59">
        <f ca="1">AVERAGE(OFFSET($DS$3,0,0,'Données projet'!$E$14+1,1))-AVERAGE(OFFSET($H$3,0,0,'Données projet'!$E$14+1,1))</f>
        <v>645.29541304800614</v>
      </c>
      <c r="DU203" s="59">
        <f t="shared" si="209"/>
        <v>336.65580771733323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84.056562494369885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84.056562494369885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69.533909951525075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319</v>
      </c>
      <c r="EK203" s="17">
        <f>EJ203*VLOOKUP('Données projet'!$B$15,Paramètres!$A$1:$I$89,3,0)*VLOOKUP('Données projet'!$B$15,Paramètres!$A$1:$I$89,5,0)</f>
        <v>233.89079999999998</v>
      </c>
      <c r="EL203" s="13">
        <f t="shared" si="179"/>
        <v>57.123140349023068</v>
      </c>
      <c r="EM203" s="20">
        <f t="shared" si="180"/>
        <v>506.84927944121517</v>
      </c>
      <c r="EN203" s="59">
        <f t="shared" si="198"/>
        <v>798.47361593014045</v>
      </c>
      <c r="EO203" s="59">
        <f ca="1">AVERAGE(OFFSET($EN$3,0,0,'Données projet'!$E$15+1,1))-AVERAGE(OFFSET($H$3,0,0,'Données projet'!$E$15+1,1))</f>
        <v>343.31122043016137</v>
      </c>
      <c r="EP203" s="59">
        <f t="shared" si="210"/>
        <v>333.61098411258877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3.6920679951656448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3.6920679951656448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69.533909951525075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319</v>
      </c>
      <c r="FF203" s="17">
        <f>FE203*VLOOKUP('Données projet'!$B$16,Paramètres!$A$1:$I$89,3,0)*VLOOKUP('Données projet'!$B$16,Paramètres!$A$1:$I$89,5,0)</f>
        <v>253.79640000000001</v>
      </c>
      <c r="FG203" s="13">
        <f t="shared" si="182"/>
        <v>61.39816832228076</v>
      </c>
      <c r="FH203" s="20">
        <f t="shared" si="183"/>
        <v>548.96387316130563</v>
      </c>
      <c r="FI203" s="59">
        <f t="shared" si="199"/>
        <v>840.58820965023097</v>
      </c>
      <c r="FJ203" s="59">
        <f ca="1">AVERAGE(OFFSET($FI$3,0,0,'Données projet'!$E$16+1,1))-AVERAGE(OFFSET($H$3,0,0,'Données projet'!$E$16+1,1))</f>
        <v>368.12945163484585</v>
      </c>
      <c r="FK203" s="59">
        <f t="shared" si="211"/>
        <v>357.27183934545121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4.937981093979583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4.937981093979583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69.533909951525075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69.533909951525075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1.1808012106418171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1.3826300153206645</v>
      </c>
      <c r="BA205" s="81">
        <f>EXP(LN('Données projet'!B88)/'Données projet'!A88)</f>
        <v>1.660847009958063</v>
      </c>
      <c r="BV205" s="81">
        <f>EXP(LN('Données projet'!B114)/'Données projet'!A114)</f>
        <v>1.1736311550444201</v>
      </c>
      <c r="CQ205" s="81">
        <f>EXP(LN('Données projet'!B140)/'Données projet'!A140)</f>
        <v>1.1736311550444201</v>
      </c>
      <c r="DL205" s="81">
        <f>EXP(LN('Données projet'!B166)/'Données projet'!A166)</f>
        <v>1.1736311550444201</v>
      </c>
      <c r="EG205" s="81">
        <f>EXP(LN('Données projet'!B192)/'Données projet'!A192)</f>
        <v>1.2709816152101407</v>
      </c>
      <c r="FB205" s="81">
        <f>EXP(LN('Données projet'!B218)/'Données projet'!A218)</f>
        <v>1.2709816152101407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Cèdre de l'Atlas</v>
      </c>
      <c r="B6" s="144">
        <f>'Données projet'!D9</f>
        <v>1.1905950000000001</v>
      </c>
      <c r="C6" s="145">
        <f ca="1">IF(OR('Données projet'!B9="",'Données projet'!C9="",'Données projet'!C9=0%),0,Calculateur!S3)</f>
        <v>320.30433416149219</v>
      </c>
      <c r="D6" s="145">
        <f>IF(OR('Données projet'!B9="",'Données projet'!C9="",'Données projet'!C9=0%),0,Calculateur!T3)</f>
        <v>201.33422682092797</v>
      </c>
      <c r="E6" s="145">
        <f ca="1">MIN(C6,D6)</f>
        <v>201.33422682092797</v>
      </c>
      <c r="F6" s="145">
        <f ca="1">E6*B6</f>
        <v>239.70752378186273</v>
      </c>
      <c r="G6" s="145">
        <f ca="1">F6*(100%-'Données projet'!$C$24)*(100%-'Données projet'!$C$25)*(100%-'Données projet'!$C$26)*(100%-'Données projet'!$C$27)</f>
        <v>215.73677140367647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215.73677140367647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Pin laricio</v>
      </c>
      <c r="B7" s="152">
        <f>'Données projet'!D10</f>
        <v>1.1897899999999999</v>
      </c>
      <c r="C7" s="145">
        <f ca="1">IF(OR('Données projet'!B10="",'Données projet'!C10="",'Données projet'!C10=0%),0,Calculateur!AN3)</f>
        <v>569.80473816957431</v>
      </c>
      <c r="D7" s="145">
        <f>IF(OR('Données projet'!B10="",'Données projet'!C10="",'Données projet'!C10=0%),0,Calculateur!AO3)</f>
        <v>495.56567790763199</v>
      </c>
      <c r="E7" s="145">
        <f t="shared" ref="E7:E15" ca="1" si="0">MIN(C7,D7)</f>
        <v>495.56567790763199</v>
      </c>
      <c r="F7" s="145">
        <f t="shared" ref="F7:F15" ca="1" si="1">E7*B7</f>
        <v>589.61908791772146</v>
      </c>
      <c r="G7" s="145">
        <f ca="1">F7*(100%-'Données projet'!$C$24)*(100%-'Données projet'!$C$25)*(100%-'Données projet'!$C$26)*(100%-'Données projet'!$C$27)</f>
        <v>530.65717912594937</v>
      </c>
      <c r="H7" s="153">
        <f>IF(OR('Données projet'!B10="",'Données projet'!C10="",'Données projet'!C10=0%),0,AVERAGE(Calculateur!$AX$3:$AX$33)*B7)</f>
        <v>17.348210317909594</v>
      </c>
      <c r="I7" s="147">
        <f>H7*(100%-'Données projet'!$C$24)*(100%-'Données projet'!$C$25)*(100%-'Données projet'!$C$26)*(100%-'Données projet'!$C$27)</f>
        <v>15.613389286118634</v>
      </c>
      <c r="J7" s="148">
        <f>IF(OR('Données projet'!B10="",'Données projet'!C10="",'Données projet'!C10=0%),0,SUM(Calculateur!$AQ$3:$AQ$33)*VLOOKUP('Données projet'!$B$10,Paramètres!$A$1:$I$89,9,0)*B7)</f>
        <v>118.1818407</v>
      </c>
      <c r="K7" s="149">
        <f>J7*(100%-'Données projet'!$C$24)*(100%-'Données projet'!$C$25)*(100%-'Données projet'!$C$26)*(100%-'Données projet'!$C$27)</f>
        <v>106.36365662999999</v>
      </c>
      <c r="L7" s="150">
        <f t="shared" ref="L7:L15" ca="1" si="2">G7+I7+K7</f>
        <v>652.63422504206801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Peuplier I-214</v>
      </c>
      <c r="B8" s="152">
        <f>'Données projet'!D11</f>
        <v>0.70035000000000003</v>
      </c>
      <c r="C8" s="145">
        <f ca="1">IF(OR('Données projet'!B11="",'Données projet'!C11="",'Données projet'!C11=0%),0,Calculateur!BI3)</f>
        <v>180.42749272334603</v>
      </c>
      <c r="D8" s="145">
        <f>IF(OR('Données projet'!B11="",'Données projet'!C11="",'Données projet'!C11=0%),0,Calculateur!BJ3)</f>
        <v>346.61476512497495</v>
      </c>
      <c r="E8" s="145">
        <f t="shared" ca="1" si="0"/>
        <v>180.42749272334603</v>
      </c>
      <c r="F8" s="145">
        <f t="shared" ca="1" si="1"/>
        <v>126.36239452879541</v>
      </c>
      <c r="G8" s="145">
        <f ca="1">F8*(100%-'Données projet'!$C$24)*(100%-'Données projet'!$C$25)*(100%-'Données projet'!$C$26)*(100%-'Données projet'!$C$27)</f>
        <v>113.72615507591587</v>
      </c>
      <c r="H8" s="153">
        <f>IF(OR('Données projet'!B11="",'Données projet'!C11="",'Données projet'!C11=0%),0,AVERAGE(Calculateur!$BS$3:$BS$33)*B8)</f>
        <v>13.590979241397209</v>
      </c>
      <c r="I8" s="147">
        <f>H8*(100%-'Données projet'!$C$24)*(100%-'Données projet'!$C$25)*(100%-'Données projet'!$C$26)*(100%-'Données projet'!$C$27)</f>
        <v>12.231881317257487</v>
      </c>
      <c r="J8" s="148">
        <f>IF(OR('Données projet'!B11="",'Données projet'!C11="",'Données projet'!C11=0%),0,SUM(Calculateur!$BL$3:$BL$33)*VLOOKUP('Données projet'!$B$11,Paramètres!$A$1:$I$89,9,0)*B8)</f>
        <v>231.20528845229023</v>
      </c>
      <c r="K8" s="149">
        <f>J8*(100%-'Données projet'!$C$24)*(100%-'Données projet'!$C$25)*(100%-'Données projet'!$C$26)*(100%-'Données projet'!$C$27)</f>
        <v>208.08475960706122</v>
      </c>
      <c r="L8" s="150">
        <f t="shared" ca="1" si="2"/>
        <v>334.0427960002346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sessile</v>
      </c>
      <c r="B9" s="152">
        <f>'Données projet'!D12</f>
        <v>1.9875450000000003</v>
      </c>
      <c r="C9" s="145">
        <f ca="1">IF(OR('Données projet'!B12="",'Données projet'!C12="",'Données projet'!C12=0%),0,Calculateur!CD3)</f>
        <v>553.16421218123958</v>
      </c>
      <c r="D9" s="145">
        <f>IF(OR('Données projet'!B12="",'Données projet'!C12="",'Données projet'!C12=0%),0,Calculateur!CE3)</f>
        <v>291.73668613844416</v>
      </c>
      <c r="E9" s="145">
        <f t="shared" ca="1" si="0"/>
        <v>291.73668613844416</v>
      </c>
      <c r="F9" s="145">
        <f t="shared" ca="1" si="1"/>
        <v>579.83979185103408</v>
      </c>
      <c r="G9" s="145">
        <f ca="1">F9*(100%-'Données projet'!$C$24)*(100%-'Données projet'!$C$25)*(100%-'Données projet'!$C$26)*(100%-'Données projet'!$C$27)</f>
        <v>521.85581266593067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521.85581266593067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Chêne pubescent</v>
      </c>
      <c r="B10" s="152">
        <f>'Données projet'!D13</f>
        <v>1.491665</v>
      </c>
      <c r="C10" s="145">
        <f ca="1">IF(OR('Données projet'!B13="",'Données projet'!C13="",'Données projet'!C13=0%),0,Calculateur!CY3)</f>
        <v>611.82989382187804</v>
      </c>
      <c r="D10" s="145">
        <f>IF(OR('Données projet'!B13="",'Données projet'!C13="",'Données projet'!C13=0%),0,Calculateur!CZ3)</f>
        <v>320.34124600136363</v>
      </c>
      <c r="E10" s="145">
        <f t="shared" ca="1" si="0"/>
        <v>320.34124600136363</v>
      </c>
      <c r="F10" s="145">
        <f t="shared" ca="1" si="1"/>
        <v>477.8418247166241</v>
      </c>
      <c r="G10" s="145">
        <f ca="1">F10*(100%-'Données projet'!$C$24)*(100%-'Données projet'!$C$25)*(100%-'Données projet'!$C$26)*(100%-'Données projet'!$C$27)</f>
        <v>430.0576422449617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430.0576422449617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Cormier</v>
      </c>
      <c r="B11" s="152">
        <f>'Données projet'!D14</f>
        <v>0.49668500000000004</v>
      </c>
      <c r="C11" s="145">
        <f ca="1">IF(OR('Données projet'!B14="",'Données projet'!C14="",'Données projet'!C14=0%),0,Calculateur!DT3)</f>
        <v>645.29541304800614</v>
      </c>
      <c r="D11" s="145">
        <f>IF(OR('Données projet'!B14="",'Données projet'!C14="",'Données projet'!C14=0%),0,Calculateur!DU3)</f>
        <v>336.65580771733323</v>
      </c>
      <c r="E11" s="145">
        <f t="shared" ca="1" si="0"/>
        <v>336.65580771733323</v>
      </c>
      <c r="F11" s="145">
        <f t="shared" ca="1" si="1"/>
        <v>167.21188985608367</v>
      </c>
      <c r="G11" s="145">
        <f ca="1">F11*(100%-'Données projet'!$C$24)*(100%-'Données projet'!$C$25)*(100%-'Données projet'!$C$26)*(100%-'Données projet'!$C$27)</f>
        <v>150.49070087047531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ca="1" si="2"/>
        <v>150.49070087047531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Châtaignier</v>
      </c>
      <c r="B12" s="152">
        <f>'Données projet'!D15</f>
        <v>0.49668500000000004</v>
      </c>
      <c r="C12" s="145">
        <f ca="1">IF(OR('Données projet'!B15="",'Données projet'!C15="",'Données projet'!C15=0%),0,Calculateur!EO3)</f>
        <v>343.31122043016137</v>
      </c>
      <c r="D12" s="145">
        <f>IF(OR('Données projet'!B15="",'Données projet'!C15="",'Données projet'!C15=0%),0,Calculateur!EP3)</f>
        <v>333.61098411258877</v>
      </c>
      <c r="E12" s="145">
        <f t="shared" ca="1" si="0"/>
        <v>333.61098411258877</v>
      </c>
      <c r="F12" s="145">
        <f t="shared" ca="1" si="1"/>
        <v>165.69957164396118</v>
      </c>
      <c r="G12" s="145">
        <f ca="1">F12*(100%-'Données projet'!$C$24)*(100%-'Données projet'!$C$25)*(100%-'Données projet'!$C$26)*(100%-'Données projet'!$C$27)</f>
        <v>149.12961447956508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17.01146125</v>
      </c>
      <c r="K12" s="149">
        <f>J12*(100%-'Données projet'!$C$24)*(100%-'Données projet'!$C$25)*(100%-'Données projet'!$C$26)*(100%-'Données projet'!$C$27)</f>
        <v>15.310315125000001</v>
      </c>
      <c r="L12" s="150">
        <f t="shared" ca="1" si="2"/>
        <v>164.43992960456507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Erable sycomore</v>
      </c>
      <c r="B13" s="152">
        <f>'Données projet'!D16</f>
        <v>0.49668500000000004</v>
      </c>
      <c r="C13" s="145">
        <f ca="1">IF(OR('Données projet'!B16="",'Données projet'!C16="",'Données projet'!C16=0%),0,Calculateur!FJ3)</f>
        <v>368.12945163484585</v>
      </c>
      <c r="D13" s="145">
        <f>IF(OR('Données projet'!B16="",'Données projet'!C16="",'Données projet'!C16=0%),0,Calculateur!FK3)</f>
        <v>357.27183934545121</v>
      </c>
      <c r="E13" s="145">
        <f t="shared" ca="1" si="0"/>
        <v>357.27183934545121</v>
      </c>
      <c r="F13" s="145">
        <f t="shared" ca="1" si="1"/>
        <v>177.45156352529546</v>
      </c>
      <c r="G13" s="145">
        <f ca="1">F13*(100%-'Données projet'!$C$24)*(100%-'Données projet'!$C$25)*(100%-'Données projet'!$C$26)*(100%-'Données projet'!$C$27)</f>
        <v>159.70640717276592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17.01146125</v>
      </c>
      <c r="K13" s="149">
        <f>J13*(100%-'Données projet'!$C$24)*(100%-'Données projet'!$C$25)*(100%-'Données projet'!$C$26)*(100%-'Données projet'!$C$27)</f>
        <v>15.310315125000001</v>
      </c>
      <c r="L13" s="150">
        <f t="shared" ca="1" si="2"/>
        <v>175.01672229776591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2523.7336478213783</v>
      </c>
      <c r="G16" s="164">
        <f t="shared" ca="1" si="3"/>
        <v>2271.3602830392406</v>
      </c>
      <c r="H16" s="165">
        <f t="shared" si="3"/>
        <v>30.939189559306804</v>
      </c>
      <c r="I16" s="165">
        <f t="shared" si="3"/>
        <v>27.845270603376122</v>
      </c>
      <c r="J16" s="166">
        <f t="shared" si="3"/>
        <v>383.41005165229029</v>
      </c>
      <c r="K16" s="166">
        <f t="shared" si="3"/>
        <v>345.0690464870612</v>
      </c>
      <c r="L16" s="167">
        <f t="shared" ca="1" si="3"/>
        <v>2644.2746001296773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Peuplier I-214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Chêne pubescent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Cormier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Châtaignier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Erable sycomore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C261" sqref="C26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Cèdre de l'Atlas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-380.44894520960054</v>
      </c>
      <c r="U10" s="176">
        <f>'Données projet'!D9</f>
        <v>1.1905950000000001</v>
      </c>
      <c r="V10" s="175">
        <f>U10*T10</f>
        <v>-452.96061192182435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Pin laricio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1872.6486228177255</v>
      </c>
      <c r="U11" s="176">
        <f>'Données projet'!D10</f>
        <v>1.1897899999999999</v>
      </c>
      <c r="V11" s="175">
        <f t="shared" ref="V11" si="0">U11*T11</f>
        <v>2228.0586049423014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Peuplier I-214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4150.1484178983119</v>
      </c>
      <c r="U12" s="176">
        <f>'Données projet'!D11</f>
        <v>0.70035000000000003</v>
      </c>
      <c r="V12" s="175">
        <f t="shared" ref="V12:V19" si="1">U12*T12</f>
        <v>2906.556444475083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sessile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8537.0526104877317</v>
      </c>
      <c r="U13" s="176">
        <f>'Données projet'!D12</f>
        <v>1.9875450000000003</v>
      </c>
      <c r="V13" s="175">
        <f t="shared" si="1"/>
        <v>16967.776230711843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Cèdre de l'Atlas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Chêne pubescent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8603.0126104877309</v>
      </c>
      <c r="U14" s="176">
        <f>'Données projet'!D13</f>
        <v>1.491665</v>
      </c>
      <c r="V14" s="175">
        <f t="shared" si="1"/>
        <v>12832.812805623182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Cormier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-2023.6640698858487</v>
      </c>
      <c r="U15" s="176">
        <f>'Données projet'!D14</f>
        <v>0.49668500000000004</v>
      </c>
      <c r="V15" s="175">
        <f t="shared" si="1"/>
        <v>-1005.1235885512529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>Châtaignier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-499.84960350396705</v>
      </c>
      <c r="U16" s="176">
        <f>'Données projet'!D15</f>
        <v>0.49668500000000004</v>
      </c>
      <c r="V16" s="175">
        <f t="shared" si="1"/>
        <v>-248.2678003163679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2830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Erable sycomore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-104.12960350396689</v>
      </c>
      <c r="U17" s="176">
        <f>'Données projet'!D16</f>
        <v>0.49668500000000004</v>
      </c>
      <c r="V17" s="175">
        <f t="shared" si="1"/>
        <v>-51.719612116367799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4880.49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-6110.8120271534062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42</v>
      </c>
      <c r="B24" s="179">
        <f>'Données projet'!D37</f>
        <v>105.41</v>
      </c>
      <c r="C24" s="191">
        <v>45</v>
      </c>
      <c r="D24" s="180">
        <f t="shared" ref="D24:D42" si="2">B24*C24</f>
        <v>4743.45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50</v>
      </c>
      <c r="B25" s="179">
        <f>'Données projet'!D38</f>
        <v>106.51</v>
      </c>
      <c r="C25" s="191">
        <v>45</v>
      </c>
      <c r="D25" s="180">
        <f t="shared" si="2"/>
        <v>4792.95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-6110.8120271534062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58</v>
      </c>
      <c r="B26" s="179">
        <f>'Données projet'!D39</f>
        <v>87.34</v>
      </c>
      <c r="C26" s="191">
        <v>45</v>
      </c>
      <c r="D26" s="180">
        <f t="shared" si="2"/>
        <v>3930.3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66</v>
      </c>
      <c r="B27" s="179">
        <f>'Données projet'!D40</f>
        <v>87.73</v>
      </c>
      <c r="C27" s="191">
        <v>45</v>
      </c>
      <c r="D27" s="180">
        <f t="shared" si="2"/>
        <v>3947.8500000000004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75</v>
      </c>
      <c r="B28" s="179">
        <f>'Données projet'!D41</f>
        <v>87.99</v>
      </c>
      <c r="C28" s="191">
        <v>45</v>
      </c>
      <c r="D28" s="180">
        <f t="shared" si="2"/>
        <v>3959.5499999999997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83</v>
      </c>
      <c r="B29" s="179">
        <f>'Données projet'!D42</f>
        <v>90.24</v>
      </c>
      <c r="C29" s="191">
        <v>45</v>
      </c>
      <c r="D29" s="180">
        <f t="shared" si="2"/>
        <v>4060.7999999999997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91</v>
      </c>
      <c r="B30" s="179">
        <f>'Données projet'!D43</f>
        <v>260.64</v>
      </c>
      <c r="C30" s="191">
        <v>45</v>
      </c>
      <c r="D30" s="180">
        <f t="shared" si="2"/>
        <v>11728.8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101</v>
      </c>
      <c r="B31" s="179">
        <f>'Données projet'!D44</f>
        <v>351.18</v>
      </c>
      <c r="C31" s="191">
        <v>45</v>
      </c>
      <c r="D31" s="180">
        <f t="shared" si="2"/>
        <v>15803.1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Pin laricio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1445.54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15</v>
      </c>
      <c r="B54" s="179">
        <f>'Données projet'!D62</f>
        <v>21</v>
      </c>
      <c r="C54" s="189">
        <v>20</v>
      </c>
      <c r="D54" s="177">
        <f>B54*C54</f>
        <v>420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20</v>
      </c>
      <c r="B55" s="179">
        <f>'Données projet'!D63</f>
        <v>70</v>
      </c>
      <c r="C55" s="189">
        <v>20</v>
      </c>
      <c r="D55" s="177">
        <f t="shared" ref="D55:D73" si="4">B55*C55</f>
        <v>1400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25</v>
      </c>
      <c r="B56" s="179">
        <f>'Données projet'!D64</f>
        <v>70</v>
      </c>
      <c r="C56" s="189">
        <v>20</v>
      </c>
      <c r="D56" s="177">
        <f t="shared" si="4"/>
        <v>1400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70</v>
      </c>
      <c r="C57" s="189">
        <v>20</v>
      </c>
      <c r="D57" s="177">
        <f t="shared" si="4"/>
        <v>1400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35</v>
      </c>
      <c r="B58" s="179">
        <f>'Données projet'!D66</f>
        <v>70</v>
      </c>
      <c r="C58" s="189">
        <v>41</v>
      </c>
      <c r="D58" s="177">
        <f t="shared" si="4"/>
        <v>2870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str">
        <f>IF(O57+1&lt;=MIN('Données projet'!$E$9:$E$18),O57+1,"STOP")</f>
        <v>STOP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40</v>
      </c>
      <c r="B59" s="179">
        <f>'Données projet'!D67</f>
        <v>70</v>
      </c>
      <c r="C59" s="189">
        <v>41</v>
      </c>
      <c r="D59" s="177">
        <f t="shared" si="4"/>
        <v>2870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45</v>
      </c>
      <c r="B60" s="179">
        <f>'Données projet'!D68</f>
        <v>64</v>
      </c>
      <c r="C60" s="189">
        <v>41</v>
      </c>
      <c r="D60" s="177">
        <f t="shared" si="4"/>
        <v>2624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50</v>
      </c>
      <c r="B61" s="179">
        <f>'Données projet'!D69</f>
        <v>56</v>
      </c>
      <c r="C61" s="189">
        <v>41</v>
      </c>
      <c r="D61" s="177">
        <f t="shared" si="4"/>
        <v>2296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55</v>
      </c>
      <c r="B62" s="179">
        <f>'Données projet'!D70</f>
        <v>48</v>
      </c>
      <c r="C62" s="189">
        <v>41</v>
      </c>
      <c r="D62" s="177">
        <f t="shared" si="4"/>
        <v>1968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60</v>
      </c>
      <c r="B63" s="179">
        <f>'Données projet'!D71</f>
        <v>42</v>
      </c>
      <c r="C63" s="189">
        <v>41</v>
      </c>
      <c r="D63" s="177">
        <f t="shared" si="4"/>
        <v>1722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65</v>
      </c>
      <c r="B64" s="179">
        <f>'Données projet'!D72</f>
        <v>37</v>
      </c>
      <c r="C64" s="189">
        <v>41</v>
      </c>
      <c r="D64" s="177">
        <f t="shared" si="4"/>
        <v>1517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70</v>
      </c>
      <c r="B65" s="179">
        <f>'Données projet'!D73</f>
        <v>34</v>
      </c>
      <c r="C65" s="189">
        <v>41</v>
      </c>
      <c r="D65" s="177">
        <f t="shared" si="4"/>
        <v>1394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75</v>
      </c>
      <c r="B66" s="179">
        <f>'Données projet'!D74</f>
        <v>33</v>
      </c>
      <c r="C66" s="189">
        <v>41</v>
      </c>
      <c r="D66" s="177">
        <f t="shared" si="4"/>
        <v>1353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80</v>
      </c>
      <c r="B67" s="179">
        <f>'Données projet'!D75</f>
        <v>32</v>
      </c>
      <c r="C67" s="189">
        <v>41</v>
      </c>
      <c r="D67" s="177">
        <f t="shared" si="4"/>
        <v>1312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Peuplier I-214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2313.5700000000002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9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14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19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24</v>
      </c>
      <c r="B88" s="179">
        <f>'Données projet'!D91</f>
        <v>320.51282049999998</v>
      </c>
      <c r="C88" s="189">
        <v>58</v>
      </c>
      <c r="D88" s="177">
        <f t="shared" si="6"/>
        <v>18589.743588999998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sessile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2632.95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35</v>
      </c>
      <c r="B117" s="179">
        <f>'Données projet'!D115</f>
        <v>69.58</v>
      </c>
      <c r="C117" s="189">
        <v>235</v>
      </c>
      <c r="D117" s="177">
        <f t="shared" ref="D117:D135" si="8">B117*C117</f>
        <v>16351.3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41</v>
      </c>
      <c r="B118" s="179">
        <f>'Données projet'!D116</f>
        <v>47.41</v>
      </c>
      <c r="C118" s="189">
        <v>235</v>
      </c>
      <c r="D118" s="177">
        <f t="shared" si="8"/>
        <v>11141.349999999999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48</v>
      </c>
      <c r="B119" s="179">
        <f>'Données projet'!D117</f>
        <v>61.12</v>
      </c>
      <c r="C119" s="189">
        <v>235</v>
      </c>
      <c r="D119" s="177">
        <f t="shared" si="8"/>
        <v>14363.199999999999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55</v>
      </c>
      <c r="B120" s="179">
        <f>'Données projet'!D118</f>
        <v>58.24</v>
      </c>
      <c r="C120" s="189">
        <v>235</v>
      </c>
      <c r="D120" s="177">
        <f t="shared" si="8"/>
        <v>13686.4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63</v>
      </c>
      <c r="B121" s="179">
        <f>'Données projet'!D119</f>
        <v>54.21</v>
      </c>
      <c r="C121" s="189">
        <v>235</v>
      </c>
      <c r="D121" s="177">
        <f t="shared" si="8"/>
        <v>12739.35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71</v>
      </c>
      <c r="B122" s="179">
        <f>'Données projet'!D120</f>
        <v>52.07</v>
      </c>
      <c r="C122" s="189">
        <v>235</v>
      </c>
      <c r="D122" s="177">
        <f t="shared" si="8"/>
        <v>12236.45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80</v>
      </c>
      <c r="B123" s="179">
        <f>'Données projet'!D121</f>
        <v>59.57</v>
      </c>
      <c r="C123" s="189">
        <v>235</v>
      </c>
      <c r="D123" s="177">
        <f t="shared" si="8"/>
        <v>13998.95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89</v>
      </c>
      <c r="B124" s="179">
        <f>'Données projet'!D122</f>
        <v>64.5</v>
      </c>
      <c r="C124" s="189">
        <v>235</v>
      </c>
      <c r="D124" s="177">
        <f t="shared" si="8"/>
        <v>15157.5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99</v>
      </c>
      <c r="B125" s="179">
        <f>'Données projet'!D123</f>
        <v>62.94</v>
      </c>
      <c r="C125" s="189">
        <v>235</v>
      </c>
      <c r="D125" s="177">
        <f t="shared" si="8"/>
        <v>14790.9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109</v>
      </c>
      <c r="B126" s="179">
        <f>'Données projet'!D124</f>
        <v>66.959999999999994</v>
      </c>
      <c r="C126" s="189">
        <v>235</v>
      </c>
      <c r="D126" s="177">
        <f t="shared" si="8"/>
        <v>15735.599999999999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119</v>
      </c>
      <c r="B127" s="179">
        <f>'Données projet'!D125</f>
        <v>196.46</v>
      </c>
      <c r="C127" s="189">
        <v>235</v>
      </c>
      <c r="D127" s="177">
        <f t="shared" si="8"/>
        <v>46168.1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123</v>
      </c>
      <c r="B128" s="179">
        <f>'Données projet'!D126</f>
        <v>100.6</v>
      </c>
      <c r="C128" s="189">
        <v>235</v>
      </c>
      <c r="D128" s="177">
        <f t="shared" si="8"/>
        <v>23641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127</v>
      </c>
      <c r="B129" s="179">
        <f>'Données projet'!D127</f>
        <v>65.02</v>
      </c>
      <c r="C129" s="189">
        <v>235</v>
      </c>
      <c r="D129" s="177">
        <f t="shared" si="8"/>
        <v>15279.699999999999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131</v>
      </c>
      <c r="B130" s="179">
        <f>'Données projet'!D128</f>
        <v>143.84</v>
      </c>
      <c r="C130" s="189">
        <v>235</v>
      </c>
      <c r="D130" s="177">
        <f t="shared" si="8"/>
        <v>33802.400000000001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Chêne pubescent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2566.9899999999998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35</v>
      </c>
      <c r="B148" s="173">
        <f>'Données projet'!D141</f>
        <v>69.58</v>
      </c>
      <c r="C148" s="189">
        <v>235</v>
      </c>
      <c r="D148" s="180">
        <f t="shared" ref="D148:D166" si="10">B148*C148</f>
        <v>16351.3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41</v>
      </c>
      <c r="B149" s="173">
        <f>'Données projet'!D142</f>
        <v>47.41</v>
      </c>
      <c r="C149" s="189">
        <v>235</v>
      </c>
      <c r="D149" s="180">
        <f t="shared" si="10"/>
        <v>11141.349999999999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48</v>
      </c>
      <c r="B150" s="173">
        <f>'Données projet'!D143</f>
        <v>61.12</v>
      </c>
      <c r="C150" s="189">
        <v>235</v>
      </c>
      <c r="D150" s="180">
        <f t="shared" si="10"/>
        <v>14363.199999999999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55</v>
      </c>
      <c r="B151" s="173">
        <f>'Données projet'!D144</f>
        <v>58.24</v>
      </c>
      <c r="C151" s="189">
        <v>235</v>
      </c>
      <c r="D151" s="180">
        <f t="shared" si="10"/>
        <v>13686.4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63</v>
      </c>
      <c r="B152" s="173">
        <f>'Données projet'!D145</f>
        <v>54.21</v>
      </c>
      <c r="C152" s="189">
        <v>235</v>
      </c>
      <c r="D152" s="180">
        <f t="shared" si="10"/>
        <v>12739.35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71</v>
      </c>
      <c r="B153" s="173">
        <f>'Données projet'!D146</f>
        <v>52.07</v>
      </c>
      <c r="C153" s="189">
        <v>235</v>
      </c>
      <c r="D153" s="180">
        <f t="shared" si="10"/>
        <v>12236.45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80</v>
      </c>
      <c r="B154" s="173">
        <f>'Données projet'!D147</f>
        <v>59.57</v>
      </c>
      <c r="C154" s="189">
        <v>235</v>
      </c>
      <c r="D154" s="180">
        <f t="shared" si="10"/>
        <v>13998.95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89</v>
      </c>
      <c r="B155" s="173">
        <f>'Données projet'!D148</f>
        <v>64.5</v>
      </c>
      <c r="C155" s="189">
        <v>235</v>
      </c>
      <c r="D155" s="180">
        <f t="shared" si="10"/>
        <v>15157.5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99</v>
      </c>
      <c r="B156" s="173">
        <f>'Données projet'!D149</f>
        <v>62.94</v>
      </c>
      <c r="C156" s="189">
        <v>235</v>
      </c>
      <c r="D156" s="180">
        <f t="shared" si="10"/>
        <v>14790.9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109</v>
      </c>
      <c r="B157" s="173">
        <f>'Données projet'!D150</f>
        <v>66.959999999999994</v>
      </c>
      <c r="C157" s="189">
        <v>235</v>
      </c>
      <c r="D157" s="180">
        <f t="shared" si="10"/>
        <v>15735.599999999999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119</v>
      </c>
      <c r="B158" s="173">
        <f>'Données projet'!D151</f>
        <v>196.46</v>
      </c>
      <c r="C158" s="189">
        <v>235</v>
      </c>
      <c r="D158" s="180">
        <f t="shared" si="10"/>
        <v>46168.1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123</v>
      </c>
      <c r="B159" s="173">
        <f>'Données projet'!D152</f>
        <v>100.6</v>
      </c>
      <c r="C159" s="189">
        <v>235</v>
      </c>
      <c r="D159" s="180">
        <f t="shared" si="10"/>
        <v>23641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127</v>
      </c>
      <c r="B160" s="173">
        <f>'Données projet'!D153</f>
        <v>65.02</v>
      </c>
      <c r="C160" s="189">
        <v>235</v>
      </c>
      <c r="D160" s="180">
        <f t="shared" si="10"/>
        <v>15279.699999999999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131</v>
      </c>
      <c r="B161" s="173">
        <f>'Données projet'!D154</f>
        <v>143.84</v>
      </c>
      <c r="C161" s="189">
        <v>235</v>
      </c>
      <c r="D161" s="180">
        <f t="shared" si="10"/>
        <v>33802.400000000001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Cormier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4637.92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30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35</v>
      </c>
      <c r="B179" s="179">
        <f>'Données projet'!D167</f>
        <v>69.58</v>
      </c>
      <c r="C179" s="191">
        <v>55</v>
      </c>
      <c r="D179" s="177">
        <f t="shared" ref="D179:D197" si="11">B179*C179</f>
        <v>3826.9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41</v>
      </c>
      <c r="B180" s="179">
        <f>'Données projet'!D168</f>
        <v>47.41</v>
      </c>
      <c r="C180" s="191">
        <v>55</v>
      </c>
      <c r="D180" s="177">
        <f t="shared" si="11"/>
        <v>2607.5499999999997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48</v>
      </c>
      <c r="B181" s="179">
        <f>'Données projet'!D169</f>
        <v>61.12</v>
      </c>
      <c r="C181" s="191">
        <v>55</v>
      </c>
      <c r="D181" s="177">
        <f t="shared" si="11"/>
        <v>3361.6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55</v>
      </c>
      <c r="B182" s="179">
        <f>'Données projet'!D170</f>
        <v>58.24</v>
      </c>
      <c r="C182" s="191">
        <v>55</v>
      </c>
      <c r="D182" s="177">
        <f t="shared" si="11"/>
        <v>3203.2000000000003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63</v>
      </c>
      <c r="B183" s="179">
        <f>'Données projet'!D171</f>
        <v>54.21</v>
      </c>
      <c r="C183" s="191">
        <v>55</v>
      </c>
      <c r="D183" s="177">
        <f t="shared" si="11"/>
        <v>2981.55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71</v>
      </c>
      <c r="B184" s="179">
        <f>'Données projet'!D172</f>
        <v>52.07</v>
      </c>
      <c r="C184" s="191">
        <v>55</v>
      </c>
      <c r="D184" s="177">
        <f t="shared" si="11"/>
        <v>2863.85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80</v>
      </c>
      <c r="B185" s="179">
        <f>'Données projet'!D173</f>
        <v>59.57</v>
      </c>
      <c r="C185" s="191">
        <v>55</v>
      </c>
      <c r="D185" s="177">
        <f t="shared" si="11"/>
        <v>3276.35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89</v>
      </c>
      <c r="B186" s="179">
        <f>'Données projet'!D174</f>
        <v>64.5</v>
      </c>
      <c r="C186" s="191">
        <v>55</v>
      </c>
      <c r="D186" s="177">
        <f t="shared" si="11"/>
        <v>3547.5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99</v>
      </c>
      <c r="B187" s="179">
        <f>'Données projet'!D175</f>
        <v>62.94</v>
      </c>
      <c r="C187" s="191">
        <v>55</v>
      </c>
      <c r="D187" s="177">
        <f t="shared" si="11"/>
        <v>3461.7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109</v>
      </c>
      <c r="B188" s="179">
        <f>'Données projet'!D176</f>
        <v>66.959999999999994</v>
      </c>
      <c r="C188" s="191">
        <v>55</v>
      </c>
      <c r="D188" s="177">
        <f t="shared" si="11"/>
        <v>3682.7999999999997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119</v>
      </c>
      <c r="B189" s="179">
        <f>'Données projet'!D177</f>
        <v>196.46</v>
      </c>
      <c r="C189" s="191">
        <v>55</v>
      </c>
      <c r="D189" s="177">
        <f t="shared" si="11"/>
        <v>10805.300000000001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123</v>
      </c>
      <c r="B190" s="179">
        <f>'Données projet'!D178</f>
        <v>100.6</v>
      </c>
      <c r="C190" s="191">
        <v>55</v>
      </c>
      <c r="D190" s="177">
        <f t="shared" si="11"/>
        <v>5533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127</v>
      </c>
      <c r="B191" s="179">
        <f>'Données projet'!D179</f>
        <v>65.02</v>
      </c>
      <c r="C191" s="191">
        <v>55</v>
      </c>
      <c r="D191" s="177">
        <f t="shared" si="11"/>
        <v>3576.1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131</v>
      </c>
      <c r="B192" s="179">
        <f>'Données projet'!D180</f>
        <v>143.84</v>
      </c>
      <c r="C192" s="191">
        <v>55</v>
      </c>
      <c r="D192" s="177">
        <f t="shared" si="11"/>
        <v>7911.2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Châtaignier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2830.81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15</v>
      </c>
      <c r="B210" s="179">
        <f>'Données projet'!D193</f>
        <v>32</v>
      </c>
      <c r="C210" s="191">
        <v>20</v>
      </c>
      <c r="D210" s="177">
        <f t="shared" ref="D210:D228" si="12">B210*C210</f>
        <v>640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20</v>
      </c>
      <c r="B211" s="179">
        <f>'Données projet'!D194</f>
        <v>35</v>
      </c>
      <c r="C211" s="191">
        <v>20</v>
      </c>
      <c r="D211" s="177">
        <f t="shared" si="12"/>
        <v>700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25</v>
      </c>
      <c r="B212" s="179">
        <f>'Données projet'!D195</f>
        <v>35</v>
      </c>
      <c r="C212" s="191">
        <v>20</v>
      </c>
      <c r="D212" s="177">
        <f t="shared" si="12"/>
        <v>700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30</v>
      </c>
      <c r="B213" s="179">
        <f>'Données projet'!D196</f>
        <v>35</v>
      </c>
      <c r="C213" s="191">
        <v>20</v>
      </c>
      <c r="D213" s="177">
        <f t="shared" si="12"/>
        <v>700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35</v>
      </c>
      <c r="B214" s="179">
        <f>'Données projet'!D197</f>
        <v>35</v>
      </c>
      <c r="C214" s="191">
        <v>55</v>
      </c>
      <c r="D214" s="177">
        <f t="shared" si="12"/>
        <v>1925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40</v>
      </c>
      <c r="B215" s="179">
        <f>'Données projet'!D198</f>
        <v>35</v>
      </c>
      <c r="C215" s="191">
        <v>55</v>
      </c>
      <c r="D215" s="177">
        <f t="shared" si="12"/>
        <v>1925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45</v>
      </c>
      <c r="B216" s="179">
        <f>'Données projet'!D199</f>
        <v>24</v>
      </c>
      <c r="C216" s="191">
        <v>55</v>
      </c>
      <c r="D216" s="177">
        <f t="shared" si="12"/>
        <v>1320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50</v>
      </c>
      <c r="B217" s="179">
        <f>'Données projet'!D200</f>
        <v>19</v>
      </c>
      <c r="C217" s="191">
        <v>55</v>
      </c>
      <c r="D217" s="177">
        <f t="shared" si="12"/>
        <v>1045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55</v>
      </c>
      <c r="B218" s="179">
        <f>'Données projet'!D201</f>
        <v>16</v>
      </c>
      <c r="C218" s="191">
        <v>55</v>
      </c>
      <c r="D218" s="177">
        <f t="shared" si="12"/>
        <v>880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60</v>
      </c>
      <c r="B219" s="179">
        <f>'Données projet'!D202</f>
        <v>14</v>
      </c>
      <c r="C219" s="191">
        <v>55</v>
      </c>
      <c r="D219" s="177">
        <f t="shared" si="12"/>
        <v>770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65</v>
      </c>
      <c r="B220" s="179">
        <f>'Données projet'!D203</f>
        <v>13</v>
      </c>
      <c r="C220" s="191">
        <v>55</v>
      </c>
      <c r="D220" s="177">
        <f t="shared" si="12"/>
        <v>715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70</v>
      </c>
      <c r="B221" s="179">
        <f>'Données projet'!D204</f>
        <v>13</v>
      </c>
      <c r="C221" s="191">
        <v>55</v>
      </c>
      <c r="D221" s="177">
        <f t="shared" si="12"/>
        <v>715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75</v>
      </c>
      <c r="B222" s="179">
        <f>'Données projet'!D205</f>
        <v>12</v>
      </c>
      <c r="C222" s="191">
        <v>55</v>
      </c>
      <c r="D222" s="177">
        <f t="shared" si="12"/>
        <v>660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80</v>
      </c>
      <c r="B223" s="179">
        <f>'Données projet'!D206</f>
        <v>11</v>
      </c>
      <c r="C223" s="191">
        <v>55</v>
      </c>
      <c r="D223" s="177">
        <f t="shared" si="12"/>
        <v>605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Erable sycomore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2435.09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10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15</v>
      </c>
      <c r="B241" s="179">
        <f>'Données projet'!D219</f>
        <v>32</v>
      </c>
      <c r="C241" s="191">
        <v>20</v>
      </c>
      <c r="D241" s="177">
        <f t="shared" ref="D241:D259" si="13">B241*C241</f>
        <v>640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20</v>
      </c>
      <c r="B242" s="179">
        <f>'Données projet'!D220</f>
        <v>35</v>
      </c>
      <c r="C242" s="191">
        <v>20</v>
      </c>
      <c r="D242" s="177">
        <f t="shared" si="13"/>
        <v>700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25</v>
      </c>
      <c r="B243" s="179">
        <f>'Données projet'!D221</f>
        <v>35</v>
      </c>
      <c r="C243" s="191">
        <v>20</v>
      </c>
      <c r="D243" s="177">
        <f t="shared" si="13"/>
        <v>700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30</v>
      </c>
      <c r="B244" s="179">
        <f>'Données projet'!D222</f>
        <v>35</v>
      </c>
      <c r="C244" s="191">
        <v>20</v>
      </c>
      <c r="D244" s="177">
        <f t="shared" si="13"/>
        <v>700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35</v>
      </c>
      <c r="B245" s="179">
        <f>'Données projet'!D223</f>
        <v>35</v>
      </c>
      <c r="C245" s="191">
        <v>55</v>
      </c>
      <c r="D245" s="177">
        <f t="shared" si="13"/>
        <v>1925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40</v>
      </c>
      <c r="B246" s="179">
        <f>'Données projet'!D224</f>
        <v>35</v>
      </c>
      <c r="C246" s="191">
        <v>55</v>
      </c>
      <c r="D246" s="177">
        <f t="shared" si="13"/>
        <v>1925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45</v>
      </c>
      <c r="B247" s="179">
        <f>'Données projet'!D225</f>
        <v>24</v>
      </c>
      <c r="C247" s="191">
        <v>55</v>
      </c>
      <c r="D247" s="177">
        <f t="shared" si="13"/>
        <v>1320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50</v>
      </c>
      <c r="B248" s="179">
        <f>'Données projet'!D226</f>
        <v>19</v>
      </c>
      <c r="C248" s="191">
        <v>55</v>
      </c>
      <c r="D248" s="177">
        <f t="shared" si="13"/>
        <v>1045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55</v>
      </c>
      <c r="B249" s="179">
        <f>'Données projet'!D227</f>
        <v>16</v>
      </c>
      <c r="C249" s="191">
        <v>55</v>
      </c>
      <c r="D249" s="177">
        <f t="shared" si="13"/>
        <v>880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60</v>
      </c>
      <c r="B250" s="179">
        <f>'Données projet'!D228</f>
        <v>14</v>
      </c>
      <c r="C250" s="191">
        <v>55</v>
      </c>
      <c r="D250" s="177">
        <f t="shared" si="13"/>
        <v>770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65</v>
      </c>
      <c r="B251" s="179">
        <f>'Données projet'!D229</f>
        <v>13</v>
      </c>
      <c r="C251" s="191">
        <v>55</v>
      </c>
      <c r="D251" s="177">
        <f t="shared" si="13"/>
        <v>715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70</v>
      </c>
      <c r="B252" s="179">
        <f>'Données projet'!D230</f>
        <v>13</v>
      </c>
      <c r="C252" s="191">
        <v>55</v>
      </c>
      <c r="D252" s="177">
        <f t="shared" si="13"/>
        <v>715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75</v>
      </c>
      <c r="B253" s="179">
        <f>'Données projet'!D231</f>
        <v>12</v>
      </c>
      <c r="C253" s="191">
        <v>55</v>
      </c>
      <c r="D253" s="177">
        <f t="shared" si="13"/>
        <v>660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80</v>
      </c>
      <c r="B254" s="179">
        <f>'Données projet'!D232</f>
        <v>11</v>
      </c>
      <c r="C254" s="191">
        <v>55</v>
      </c>
      <c r="D254" s="177">
        <f t="shared" si="13"/>
        <v>605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2025-01-31T18:31:53Z</dcterms:modified>
</cp:coreProperties>
</file>