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COFNOR/pillot_wignehies_Nord(59)_4,1/"/>
    </mc:Choice>
  </mc:AlternateContent>
  <xr:revisionPtr revIDLastSave="16" documentId="8_{BD69F6B7-6FC5-4254-841E-85B97F078F36}" xr6:coauthVersionLast="47" xr6:coauthVersionMax="47" xr10:uidLastSave="{AB972EDF-EC46-44CC-A77C-4592890AD7F2}"/>
  <bookViews>
    <workbookView xWindow="-120" yWindow="-163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B14" i="1"/>
  <c r="B13" i="1"/>
  <c r="B12" i="1"/>
  <c r="B11" i="1"/>
  <c r="B10" i="1"/>
  <c r="B9" i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R4" i="2"/>
  <c r="GL4" i="2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H21" i="2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H62" i="2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G75" i="2"/>
  <c r="FS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C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W85" i="2"/>
  <c r="EV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X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G130" i="2"/>
  <c r="EX130" i="2"/>
  <c r="EB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HG140" i="2"/>
  <c r="EC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HG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HG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H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AC154" i="2"/>
  <c r="EA155" i="2"/>
  <c r="HH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HH156" i="2"/>
  <c r="FS156" i="2"/>
  <c r="A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B161" i="2"/>
  <c r="AB161" i="2"/>
  <c r="EA161" i="2"/>
  <c r="EX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EA163" i="2"/>
  <c r="HI163" i="2"/>
  <c r="EV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HH164" i="2"/>
  <c r="HG164" i="2"/>
  <c r="EV164" i="2"/>
  <c r="EA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DG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EW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FS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A178" i="2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V179" i="2"/>
  <c r="DF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W185" i="2"/>
  <c r="HI185" i="2"/>
  <c r="EV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B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HH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HH190" i="2"/>
  <c r="EB190" i="2"/>
  <c r="EW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I192" i="2"/>
  <c r="EW192" i="2"/>
  <c r="EC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B193" i="2" l="1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HG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B195" i="2"/>
  <c r="HI195" i="2"/>
  <c r="AA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AA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D200" i="2"/>
  <c r="DI200" i="2"/>
  <c r="EB201" i="2"/>
  <c r="FS201" i="2"/>
  <c r="HG201" i="2"/>
  <c r="HH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AH151" i="2" a="1"/>
  <c r="AH151" i="2" s="1"/>
  <c r="CS77" i="2" a="1"/>
  <c r="CS77" i="2" s="1"/>
  <c r="AH90" i="2" a="1"/>
  <c r="AH90" i="2" s="1"/>
  <c r="AH19" i="2" a="1"/>
  <c r="AH19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6" i="2" a="1"/>
  <c r="DN6" i="2" s="1"/>
  <c r="DO6" i="2" s="1"/>
  <c r="FD82" i="2" a="1"/>
  <c r="FD82" i="2" s="1"/>
  <c r="HJ202" i="2"/>
  <c r="EY202" i="2"/>
  <c r="AX200" i="2"/>
  <c r="BC181" i="2" l="1" a="1"/>
  <c r="BC181" i="2" s="1"/>
  <c r="BC65" i="2" a="1"/>
  <c r="BC65" i="2" s="1"/>
  <c r="DN66" i="2" a="1"/>
  <c r="DN66" i="2" s="1"/>
  <c r="DN152" i="2" a="1"/>
  <c r="DN152" i="2" s="1"/>
  <c r="DN31" i="2" a="1"/>
  <c r="DN31" i="2" s="1"/>
  <c r="CS24" i="2" a="1"/>
  <c r="CS24" i="2" s="1"/>
  <c r="BC31" i="2" a="1"/>
  <c r="BC31" i="2" s="1"/>
  <c r="BC114" i="2" a="1"/>
  <c r="BC114" i="2" s="1"/>
  <c r="BC84" i="2" a="1"/>
  <c r="BC84" i="2" s="1"/>
  <c r="BC126" i="2" a="1"/>
  <c r="BC126" i="2" s="1"/>
  <c r="BC32" i="2" a="1"/>
  <c r="BC32" i="2" s="1"/>
  <c r="BC82" i="2" a="1"/>
  <c r="BC82" i="2" s="1"/>
  <c r="DN167" i="2" a="1"/>
  <c r="DN167" i="2" s="1"/>
  <c r="DN29" i="2" a="1"/>
  <c r="DN29" i="2" s="1"/>
  <c r="FY34" i="2" a="1"/>
  <c r="FY34" i="2" s="1"/>
  <c r="DN114" i="2" a="1"/>
  <c r="DN114" i="2" s="1"/>
  <c r="FY140" i="2" a="1"/>
  <c r="FY140" i="2" s="1"/>
  <c r="DN49" i="2" a="1"/>
  <c r="DN49" i="2" s="1"/>
  <c r="DN103" i="2" a="1"/>
  <c r="DN103" i="2" s="1"/>
  <c r="FY29" i="2" a="1"/>
  <c r="FY29" i="2" s="1"/>
  <c r="DN153" i="2" a="1"/>
  <c r="DN153" i="2" s="1"/>
  <c r="FY24" i="2" a="1"/>
  <c r="FY24" i="2" s="1"/>
  <c r="CS105" i="2" a="1"/>
  <c r="CS105" i="2" s="1"/>
  <c r="FY110" i="2" a="1"/>
  <c r="FY110" i="2" s="1"/>
  <c r="DN133" i="2" a="1"/>
  <c r="DN133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30" i="2" a="1"/>
  <c r="DN30" i="2" s="1"/>
  <c r="DN86" i="2" a="1"/>
  <c r="DN86" i="2" s="1"/>
  <c r="FY133" i="2" a="1"/>
  <c r="FY133" i="2" s="1"/>
  <c r="DN162" i="2" a="1"/>
  <c r="DN162" i="2" s="1"/>
  <c r="DN177" i="2" a="1"/>
  <c r="DN177" i="2" s="1"/>
  <c r="FY164" i="2" a="1"/>
  <c r="FY164" i="2" s="1"/>
  <c r="FY79" i="2" a="1"/>
  <c r="FY79" i="2" s="1"/>
  <c r="FY58" i="2" a="1"/>
  <c r="FY58" i="2" s="1"/>
  <c r="DN115" i="2" a="1"/>
  <c r="DN115" i="2" s="1"/>
  <c r="FY149" i="2" a="1"/>
  <c r="FY149" i="2" s="1"/>
  <c r="DN164" i="2" a="1"/>
  <c r="DN164" i="2" s="1"/>
  <c r="FY35" i="2" a="1"/>
  <c r="FY35" i="2" s="1"/>
  <c r="DN187" i="2" a="1"/>
  <c r="DN187" i="2" s="1"/>
  <c r="FY167" i="2" a="1"/>
  <c r="FY167" i="2" s="1"/>
  <c r="CS129" i="2" a="1"/>
  <c r="CS129" i="2" s="1"/>
  <c r="FY124" i="2" a="1"/>
  <c r="FY124" i="2" s="1"/>
  <c r="FY165" i="2" a="1"/>
  <c r="FY165" i="2" s="1"/>
  <c r="DN38" i="2" a="1"/>
  <c r="DN38" i="2" s="1"/>
  <c r="FY142" i="2" a="1"/>
  <c r="FY142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16" i="2" a="1"/>
  <c r="DN16" i="2" s="1"/>
  <c r="FY173" i="2" a="1"/>
  <c r="FY173" i="2" s="1"/>
  <c r="DN186" i="2" a="1"/>
  <c r="DN186" i="2" s="1"/>
  <c r="FY143" i="2" a="1"/>
  <c r="FY143" i="2" s="1"/>
  <c r="DN137" i="2" a="1"/>
  <c r="DN137" i="2" s="1"/>
  <c r="FY191" i="2" a="1"/>
  <c r="FY191" i="2" s="1"/>
  <c r="DN190" i="2" a="1"/>
  <c r="DN190" i="2" s="1"/>
  <c r="CS72" i="2" a="1"/>
  <c r="CS72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41" i="2" a="1"/>
  <c r="DN41" i="2" s="1"/>
  <c r="FY126" i="2" a="1"/>
  <c r="FY126" i="2" s="1"/>
  <c r="DN46" i="2" a="1"/>
  <c r="DN46" i="2" s="1"/>
  <c r="DN43" i="2" a="1"/>
  <c r="DN43" i="2" s="1"/>
  <c r="FY188" i="2" a="1"/>
  <c r="FY188" i="2" s="1"/>
  <c r="FY47" i="2" a="1"/>
  <c r="FY47" i="2" s="1"/>
  <c r="DN135" i="2" a="1"/>
  <c r="DN135" i="2" s="1"/>
  <c r="DN170" i="2" a="1"/>
  <c r="DN170" i="2" s="1"/>
  <c r="FY174" i="2" a="1"/>
  <c r="FY174" i="2" s="1"/>
  <c r="CS56" i="2" a="1"/>
  <c r="CS56" i="2" s="1"/>
  <c r="DN63" i="2" a="1"/>
  <c r="DN6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DN188" i="2" a="1"/>
  <c r="DN188" i="2" s="1"/>
  <c r="FY115" i="2" a="1"/>
  <c r="FY115" i="2" s="1"/>
  <c r="FY109" i="2" a="1"/>
  <c r="FY109" i="2" s="1"/>
  <c r="FY86" i="2" a="1"/>
  <c r="FY86" i="2" s="1"/>
  <c r="FY159" i="2" a="1"/>
  <c r="FY159" i="2" s="1"/>
  <c r="FY28" i="2" a="1"/>
  <c r="FY28" i="2" s="1"/>
  <c r="DN176" i="2" a="1"/>
  <c r="DN176" i="2" s="1"/>
  <c r="FY121" i="2" a="1"/>
  <c r="FY121" i="2" s="1"/>
  <c r="FY78" i="2" a="1"/>
  <c r="FY78" i="2" s="1"/>
  <c r="CS137" i="2" a="1"/>
  <c r="CS137" i="2" s="1"/>
  <c r="DN70" i="2" a="1"/>
  <c r="DN70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82" i="2" l="1"/>
  <c r="BI134" i="2"/>
  <c r="BI90" i="2"/>
  <c r="BI42" i="2"/>
  <c r="BI45" i="2"/>
  <c r="BI96" i="2"/>
  <c r="BI62" i="2"/>
  <c r="BI38" i="2"/>
  <c r="BI46" i="2"/>
  <c r="BI15" i="2"/>
  <c r="BI24" i="2"/>
  <c r="BI8" i="2"/>
  <c r="BI37" i="2"/>
  <c r="BI53" i="2"/>
  <c r="BI79" i="2"/>
  <c r="BI195" i="2"/>
  <c r="BI63" i="2"/>
  <c r="BI157" i="2"/>
  <c r="BI85" i="2"/>
  <c r="BI123" i="2"/>
  <c r="BI174" i="2"/>
  <c r="BI111" i="2"/>
  <c r="BI75" i="2"/>
  <c r="BI34" i="2"/>
  <c r="BI150" i="2"/>
  <c r="BI192" i="2"/>
  <c r="BI18" i="2"/>
  <c r="BI136" i="2"/>
  <c r="BI197" i="2"/>
  <c r="BI202" i="2"/>
  <c r="BI106" i="2"/>
  <c r="BI173" i="2"/>
  <c r="BI142" i="2"/>
  <c r="BI124" i="2"/>
  <c r="BI163" i="2"/>
  <c r="BI30" i="2"/>
  <c r="BI190" i="2"/>
  <c r="BI105" i="2"/>
  <c r="BI189" i="2"/>
  <c r="BI133" i="2"/>
  <c r="BI48" i="2"/>
  <c r="BI113" i="2"/>
  <c r="BI103" i="2"/>
  <c r="BI193" i="2"/>
  <c r="BI61" i="2"/>
  <c r="BI71" i="2"/>
  <c r="BI72" i="2"/>
  <c r="BI58" i="2"/>
  <c r="BI99" i="2"/>
  <c r="BI194" i="2"/>
  <c r="BI11" i="2"/>
  <c r="BI127" i="2"/>
  <c r="BI198" i="2"/>
  <c r="BI151" i="2"/>
  <c r="BI67" i="2"/>
  <c r="BI181" i="2"/>
  <c r="BI132" i="2"/>
  <c r="BI165" i="2"/>
  <c r="BI21" i="2"/>
  <c r="BI143" i="2"/>
  <c r="BI100" i="2"/>
  <c r="BI97" i="2"/>
  <c r="BI144" i="2"/>
  <c r="BI66" i="2"/>
  <c r="BI40" i="2"/>
  <c r="BI115" i="2"/>
  <c r="BI76" i="2"/>
  <c r="BI201" i="2"/>
  <c r="BI156" i="2"/>
  <c r="BI16" i="2"/>
  <c r="BI52" i="2"/>
  <c r="BI64" i="2"/>
  <c r="BI137" i="2"/>
  <c r="BI138" i="2"/>
  <c r="BI119" i="2"/>
  <c r="BI166" i="2"/>
  <c r="BI182" i="2"/>
  <c r="BI159" i="2"/>
  <c r="BI87" i="2"/>
  <c r="BI3" i="2"/>
  <c r="C8" i="4" s="1"/>
  <c r="E8" i="4" s="1"/>
  <c r="F8" i="4" s="1"/>
  <c r="G8" i="4" s="1"/>
  <c r="L8" i="4" s="1"/>
  <c r="BI29" i="2"/>
  <c r="BI94" i="2"/>
  <c r="BI32" i="2"/>
  <c r="BI169" i="2"/>
  <c r="BI13" i="2"/>
  <c r="BI68" i="2"/>
  <c r="BI98" i="2"/>
  <c r="BI140" i="2"/>
  <c r="BI185" i="2"/>
  <c r="BI36" i="2"/>
  <c r="BI110" i="2"/>
  <c r="BI41" i="2"/>
  <c r="BI95" i="2"/>
  <c r="BI84" i="2"/>
  <c r="BI43" i="2"/>
  <c r="BI141" i="2"/>
  <c r="BI175" i="2"/>
  <c r="BI128" i="2"/>
  <c r="BI200" i="2"/>
  <c r="BI23" i="2"/>
  <c r="BI27" i="2"/>
  <c r="BI160" i="2"/>
  <c r="BI65" i="2"/>
  <c r="BI196" i="2"/>
  <c r="BI153" i="2"/>
  <c r="BI5" i="2"/>
  <c r="BI112" i="2"/>
  <c r="BI186" i="2"/>
  <c r="BI6" i="2"/>
  <c r="BI47" i="2"/>
  <c r="BI129" i="2"/>
  <c r="BI107" i="2"/>
  <c r="BI122" i="2"/>
  <c r="BI183" i="2"/>
  <c r="BI171" i="2"/>
  <c r="BI158" i="2"/>
  <c r="BI20" i="2"/>
  <c r="BI31" i="2"/>
  <c r="BI187" i="2"/>
  <c r="BI184" i="2"/>
  <c r="BI55" i="2"/>
  <c r="BI14" i="2"/>
  <c r="BI25" i="2"/>
  <c r="BI83" i="2"/>
  <c r="BI22" i="2"/>
  <c r="BI162" i="2"/>
  <c r="BI118" i="2"/>
  <c r="BI135" i="2"/>
  <c r="BI51" i="2"/>
  <c r="BI117" i="2"/>
  <c r="BI54" i="2"/>
  <c r="BI28" i="2"/>
  <c r="BI131" i="2"/>
  <c r="BI155" i="2"/>
  <c r="BI93" i="2"/>
  <c r="BI188" i="2"/>
  <c r="BI74" i="2"/>
  <c r="BI44" i="2"/>
  <c r="BI101" i="2"/>
  <c r="BI154" i="2"/>
  <c r="BI26" i="2"/>
  <c r="BI114" i="2"/>
  <c r="BI12" i="2"/>
  <c r="BI7" i="2"/>
  <c r="BI147" i="2"/>
  <c r="BI168" i="2"/>
  <c r="BI56" i="2"/>
  <c r="BI81" i="2"/>
  <c r="BI60" i="2"/>
  <c r="BI164" i="2"/>
  <c r="BI199" i="2"/>
  <c r="BI180" i="2"/>
  <c r="BI167" i="2"/>
  <c r="BI78" i="2"/>
  <c r="BI77" i="2"/>
  <c r="BI172" i="2"/>
  <c r="BI10" i="2"/>
  <c r="BI178" i="2"/>
  <c r="BI108" i="2"/>
  <c r="BI86" i="2"/>
  <c r="BI130" i="2"/>
  <c r="BI59" i="2"/>
  <c r="BI35" i="2"/>
  <c r="BI33" i="2"/>
  <c r="BI170" i="2"/>
  <c r="BI80" i="2"/>
  <c r="BI91" i="2"/>
  <c r="BI88" i="2"/>
  <c r="BI148" i="2"/>
  <c r="BI4" i="2"/>
  <c r="BI125" i="2"/>
  <c r="BI102" i="2"/>
  <c r="BI89" i="2"/>
  <c r="BI116" i="2"/>
  <c r="BI126" i="2"/>
  <c r="BI17" i="2"/>
  <c r="BI191" i="2"/>
  <c r="BI104" i="2"/>
  <c r="BI70" i="2"/>
  <c r="BI139" i="2"/>
  <c r="BI109" i="2"/>
  <c r="BI9" i="2"/>
  <c r="BI92" i="2"/>
  <c r="BI39" i="2"/>
  <c r="BI203" i="2"/>
  <c r="BI121" i="2"/>
  <c r="BI19" i="2"/>
  <c r="BI50" i="2"/>
  <c r="BI146" i="2"/>
  <c r="BI120" i="2"/>
  <c r="BI176" i="2"/>
  <c r="BI57" i="2"/>
  <c r="BI149" i="2"/>
  <c r="BI49" i="2"/>
  <c r="BI73" i="2"/>
  <c r="BI161" i="2"/>
  <c r="BI152" i="2"/>
  <c r="BI177" i="2"/>
  <c r="BI179" i="2"/>
  <c r="BI145" i="2"/>
  <c r="BI6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<sst xmlns="http://schemas.openxmlformats.org/spreadsheetml/2006/main" count="1173" uniqueCount="326">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</sst>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2.542917851231719</c:v>
                </c:pt>
                <c:pt idx="2">
                  <c:v>2.9456516874589642</c:v>
                </c:pt>
                <c:pt idx="3">
                  <c:v>3.412399292835957</c:v>
                </c:pt>
                <c:pt idx="4">
                  <c:v>3.9533702250260876</c:v>
                </c:pt>
                <c:pt idx="5">
                  <c:v>4.5804075574196004</c:v>
                </c:pt>
                <c:pt idx="6">
                  <c:v>5.3072500142144872</c:v>
                </c:pt>
                <c:pt idx="7">
                  <c:v>6.1498362862942892</c:v>
                </c:pt>
                <c:pt idx="8">
                  <c:v>7.1266583323998525</c:v>
                </c:pt>
                <c:pt idx="9">
                  <c:v>8.2591715703016604</c:v>
                </c:pt>
                <c:pt idx="10">
                  <c:v>9.5722711411529939</c:v>
                </c:pt>
                <c:pt idx="11">
                  <c:v>11.094844915879998</c:v>
                </c:pt>
                <c:pt idx="12">
                  <c:v>12.860415638987101</c:v>
                </c:pt>
                <c:pt idx="13">
                  <c:v>14.907886611641489</c:v>
                </c:pt>
                <c:pt idx="14">
                  <c:v>17.282407647828396</c:v>
                </c:pt>
                <c:pt idx="15">
                  <c:v>20.036380747619727</c:v>
                </c:pt>
                <c:pt idx="16">
                  <c:v>23.230628081659251</c:v>
                </c:pt>
                <c:pt idx="17">
                  <c:v>26.935748542332693</c:v>
                </c:pt>
                <c:pt idx="18">
                  <c:v>31.233693372897847</c:v>
                </c:pt>
                <c:pt idx="19">
                  <c:v>36.219596332771673</c:v>
                </c:pt>
                <c:pt idx="20">
                  <c:v>42.00389960763092</c:v>
                </c:pt>
                <c:pt idx="21">
                  <c:v>48.714823357713861</c:v>
                </c:pt>
                <c:pt idx="22">
                  <c:v>56.501234568753496</c:v>
                </c:pt>
                <c:pt idx="23">
                  <c:v>65.535979904141939</c:v>
                </c:pt>
                <c:pt idx="24">
                  <c:v>76.019757759859047</c:v>
                </c:pt>
                <c:pt idx="25">
                  <c:v>88.185616934561338</c:v>
                </c:pt>
                <c:pt idx="26">
                  <c:v>102.30418352417756</c:v>
                </c:pt>
                <c:pt idx="27">
                  <c:v>118.68973415692649</c:v>
                </c:pt>
                <c:pt idx="28">
                  <c:v>137.70725287715754</c:v>
                </c:pt>
                <c:pt idx="29">
                  <c:v>159.78063130250749</c:v>
                </c:pt>
                <c:pt idx="30">
                  <c:v>185.40219762768436</c:v>
                </c:pt>
                <c:pt idx="31">
                  <c:v>200.21840893933916</c:v>
                </c:pt>
                <c:pt idx="32">
                  <c:v>215.00921164740643</c:v>
                </c:pt>
                <c:pt idx="33">
                  <c:v>229.77660030944841</c:v>
                </c:pt>
                <c:pt idx="34">
                  <c:v>244.5222919765753</c:v>
                </c:pt>
                <c:pt idx="35">
                  <c:v>259.24777957152554</c:v>
                </c:pt>
                <c:pt idx="36">
                  <c:v>273.95437248658499</c:v>
                </c:pt>
                <c:pt idx="37">
                  <c:v>288.64322799725204</c:v>
                </c:pt>
                <c:pt idx="38">
                  <c:v>303.31537594060302</c:v>
                </c:pt>
                <c:pt idx="39">
                  <c:v>317.97173836505806</c:v>
                </c:pt>
                <c:pt idx="40">
                  <c:v>332.61314536547644</c:v>
                </c:pt>
                <c:pt idx="41">
                  <c:v>347.2403479828626</c:v>
                </c:pt>
                <c:pt idx="42">
                  <c:v>361.85402881605552</c:v>
                </c:pt>
                <c:pt idx="43">
                  <c:v>254.05045171456126</c:v>
                </c:pt>
                <c:pt idx="44">
                  <c:v>273.30908781924603</c:v>
                </c:pt>
                <c:pt idx="45">
                  <c:v>292.53722685532045</c:v>
                </c:pt>
                <c:pt idx="46">
                  <c:v>311.73715478570745</c:v>
                </c:pt>
                <c:pt idx="47">
                  <c:v>330.91085299002935</c:v>
                </c:pt>
                <c:pt idx="48">
                  <c:v>350.06005451453262</c:v>
                </c:pt>
                <c:pt idx="49">
                  <c:v>286.89034963533692</c:v>
                </c:pt>
                <c:pt idx="50">
                  <c:v>305.85500857255619</c:v>
                </c:pt>
                <c:pt idx="51">
                  <c:v>324.79353513161385</c:v>
                </c:pt>
                <c:pt idx="52">
                  <c:v>343.70766692496665</c:v>
                </c:pt>
                <c:pt idx="53">
                  <c:v>362.59893474401434</c:v>
                </c:pt>
                <c:pt idx="54">
                  <c:v>381.46869689295846</c:v>
                </c:pt>
                <c:pt idx="55">
                  <c:v>313.16905704879002</c:v>
                </c:pt>
                <c:pt idx="56">
                  <c:v>331.03818878116073</c:v>
                </c:pt>
                <c:pt idx="57">
                  <c:v>348.88605291527614</c:v>
                </c:pt>
                <c:pt idx="58">
                  <c:v>366.71389019744009</c:v>
                </c:pt>
                <c:pt idx="59">
                  <c:v>384.52281091563833</c:v>
                </c:pt>
                <c:pt idx="60">
                  <c:v>402.31381414867474</c:v>
                </c:pt>
                <c:pt idx="61">
                  <c:v>420.08780343216762</c:v>
                </c:pt>
                <c:pt idx="62">
                  <c:v>437.84559963478665</c:v>
                </c:pt>
                <c:pt idx="63">
                  <c:v>455.58795163676615</c:v>
                </c:pt>
                <c:pt idx="64">
                  <c:v>353.95712221403022</c:v>
                </c:pt>
                <c:pt idx="65">
                  <c:v>370.35688517864082</c:v>
                </c:pt>
                <c:pt idx="66">
                  <c:v>386.74081358461211</c:v>
                </c:pt>
                <c:pt idx="67">
                  <c:v>403.10967251189368</c:v>
                </c:pt>
                <c:pt idx="68">
                  <c:v>419.46415985079608</c:v>
                </c:pt>
                <c:pt idx="69">
                  <c:v>435.80491464656455</c:v>
                </c:pt>
                <c:pt idx="70">
                  <c:v>452.13252412721516</c:v>
                </c:pt>
                <c:pt idx="71">
                  <c:v>468.44752966340502</c:v>
                </c:pt>
                <c:pt idx="72">
                  <c:v>484.75043185490728</c:v>
                </c:pt>
                <c:pt idx="73">
                  <c:v>385.34418108704193</c:v>
                </c:pt>
                <c:pt idx="74">
                  <c:v>399.99106510668076</c:v>
                </c:pt>
                <c:pt idx="75">
                  <c:v>414.62634322825835</c:v>
                </c:pt>
                <c:pt idx="76">
                  <c:v>429.25048274474801</c:v>
                </c:pt>
                <c:pt idx="77">
                  <c:v>443.86391651626144</c:v>
                </c:pt>
                <c:pt idx="78">
                  <c:v>458.46704658103823</c:v>
                </c:pt>
                <c:pt idx="79">
                  <c:v>473.06024728243852</c:v>
                </c:pt>
                <c:pt idx="80">
                  <c:v>487.64386799004114</c:v>
                </c:pt>
                <c:pt idx="81">
                  <c:v>502.21823547834015</c:v>
                </c:pt>
                <c:pt idx="82">
                  <c:v>410.78433068904695</c:v>
                </c:pt>
                <c:pt idx="83">
                  <c:v>423.86951583426065</c:v>
                </c:pt>
                <c:pt idx="84">
                  <c:v>436.94600990111115</c:v>
                </c:pt>
                <c:pt idx="85">
                  <c:v>450.01410962060532</c:v>
                </c:pt>
                <c:pt idx="86">
                  <c:v>463.07409308539883</c:v>
                </c:pt>
                <c:pt idx="87">
                  <c:v>476.12622142420764</c:v>
                </c:pt>
                <c:pt idx="88">
                  <c:v>489.17074028307201</c:v>
                </c:pt>
                <c:pt idx="89">
                  <c:v>502.20788114041005</c:v>
                </c:pt>
                <c:pt idx="90">
                  <c:v>515.23786247843486</c:v>
                </c:pt>
                <c:pt idx="91">
                  <c:v>430.8490366636683</c:v>
                </c:pt>
                <c:pt idx="92">
                  <c:v>442.51945486572777</c:v>
                </c:pt>
                <c:pt idx="93">
                  <c:v>454.18327922756254</c:v>
                </c:pt>
                <c:pt idx="94">
                  <c:v>465.84070295930866</c:v>
                </c:pt>
                <c:pt idx="95">
                  <c:v>477.49190881205328</c:v>
                </c:pt>
                <c:pt idx="96">
                  <c:v>489.13706989082084</c:v>
                </c:pt>
                <c:pt idx="97">
                  <c:v>500.77635038611339</c:v>
                </c:pt>
                <c:pt idx="98">
                  <c:v>512.40990623390246</c:v>
                </c:pt>
                <c:pt idx="99">
                  <c:v>524.03788571257303</c:v>
                </c:pt>
                <c:pt idx="100">
                  <c:v>436.52151436826398</c:v>
                </c:pt>
                <c:pt idx="101">
                  <c:v>446.79262056814309</c:v>
                </c:pt>
                <c:pt idx="102">
                  <c:v>457.05867287113961</c:v>
                </c:pt>
                <c:pt idx="103">
                  <c:v>467.31980081846979</c:v>
                </c:pt>
                <c:pt idx="104">
                  <c:v>477.57612779754908</c:v>
                </c:pt>
                <c:pt idx="105">
                  <c:v>487.82777146303675</c:v>
                </c:pt>
                <c:pt idx="106">
                  <c:v>498.07484412064053</c:v>
                </c:pt>
                <c:pt idx="107">
                  <c:v>508.31745307769455</c:v>
                </c:pt>
                <c:pt idx="108">
                  <c:v>518.55570096400891</c:v>
                </c:pt>
                <c:pt idx="109">
                  <c:v>528.78968602606221</c:v>
                </c:pt>
                <c:pt idx="110">
                  <c:v>539.01950239723567</c:v>
                </c:pt>
                <c:pt idx="111">
                  <c:v>549.24524034646686</c:v>
                </c:pt>
                <c:pt idx="112">
                  <c:v>360.65976316324731</c:v>
                </c:pt>
                <c:pt idx="113">
                  <c:v>369.08348976534489</c:v>
                </c:pt>
                <c:pt idx="114">
                  <c:v>377.5030220286215</c:v>
                </c:pt>
                <c:pt idx="115">
                  <c:v>385.91846675312127</c:v>
                </c:pt>
                <c:pt idx="116">
                  <c:v>394.32992569811682</c:v>
                </c:pt>
                <c:pt idx="117">
                  <c:v>267.72278630453047</c:v>
                </c:pt>
                <c:pt idx="118">
                  <c:v>274.46664122246131</c:v>
                </c:pt>
                <c:pt idx="119">
                  <c:v>281.20677326342064</c:v>
                </c:pt>
                <c:pt idx="120">
                  <c:v>287.9432843604298</c:v>
                </c:pt>
                <c:pt idx="121">
                  <c:v>294.67627128180681</c:v>
                </c:pt>
                <c:pt idx="122">
                  <c:v>177.15925472514937</c:v>
                </c:pt>
                <c:pt idx="123">
                  <c:v>181.9773913081201</c:v>
                </c:pt>
                <c:pt idx="124">
                  <c:v>186.79254317805476</c:v>
                </c:pt>
                <c:pt idx="125">
                  <c:v>191.60479830225623</c:v>
                </c:pt>
                <c:pt idx="126">
                  <c:v>4.4941245483497909E-12</c:v>
                </c:pt>
                <c:pt idx="127">
                  <c:v>4.4941245483497909E-12</c:v>
                </c:pt>
                <c:pt idx="128">
                  <c:v>4.4941245483497909E-12</c:v>
                </c:pt>
                <c:pt idx="129">
                  <c:v>4.4941245483497909E-12</c:v>
                </c:pt>
                <c:pt idx="130">
                  <c:v>4.4941245483497909E-12</c:v>
                </c:pt>
                <c:pt idx="131">
                  <c:v>4.4941245483497909E-12</c:v>
                </c:pt>
                <c:pt idx="132">
                  <c:v>4.4941245483497909E-12</c:v>
                </c:pt>
                <c:pt idx="133">
                  <c:v>4.4941245483497909E-12</c:v>
                </c:pt>
                <c:pt idx="134">
                  <c:v>4.4941245483497909E-12</c:v>
                </c:pt>
                <c:pt idx="135">
                  <c:v>4.4941245483497909E-12</c:v>
                </c:pt>
                <c:pt idx="136">
                  <c:v>4.4941245483497909E-12</c:v>
                </c:pt>
                <c:pt idx="137">
                  <c:v>4.4941245483497909E-12</c:v>
                </c:pt>
                <c:pt idx="138">
                  <c:v>4.4941245483497909E-12</c:v>
                </c:pt>
                <c:pt idx="139">
                  <c:v>4.4941245483497909E-12</c:v>
                </c:pt>
                <c:pt idx="140">
                  <c:v>4.4941245483497909E-12</c:v>
                </c:pt>
                <c:pt idx="141">
                  <c:v>4.4941245483497909E-12</c:v>
                </c:pt>
                <c:pt idx="142">
                  <c:v>4.4941245483497909E-12</c:v>
                </c:pt>
                <c:pt idx="143">
                  <c:v>4.4941245483497909E-12</c:v>
                </c:pt>
                <c:pt idx="144">
                  <c:v>4.4941245483497909E-12</c:v>
                </c:pt>
                <c:pt idx="145">
                  <c:v>4.4941245483497909E-12</c:v>
                </c:pt>
                <c:pt idx="146">
                  <c:v>4.4941245483497909E-12</c:v>
                </c:pt>
                <c:pt idx="147">
                  <c:v>4.4941245483497909E-12</c:v>
                </c:pt>
                <c:pt idx="148">
                  <c:v>4.4941245483497909E-12</c:v>
                </c:pt>
                <c:pt idx="149">
                  <c:v>4.4941245483497909E-12</c:v>
                </c:pt>
                <c:pt idx="150">
                  <c:v>4.4941245483497909E-12</c:v>
                </c:pt>
                <c:pt idx="151">
                  <c:v>4.4941245483497909E-12</c:v>
                </c:pt>
                <c:pt idx="152">
                  <c:v>4.4941245483497909E-12</c:v>
                </c:pt>
                <c:pt idx="153">
                  <c:v>4.4941245483497909E-12</c:v>
                </c:pt>
                <c:pt idx="154">
                  <c:v>4.4941245483497909E-12</c:v>
                </c:pt>
                <c:pt idx="155">
                  <c:v>4.4941245483497909E-12</c:v>
                </c:pt>
                <c:pt idx="156">
                  <c:v>4.4941245483497909E-12</c:v>
                </c:pt>
                <c:pt idx="157">
                  <c:v>4.4941245483497909E-12</c:v>
                </c:pt>
                <c:pt idx="158">
                  <c:v>4.4941245483497909E-12</c:v>
                </c:pt>
                <c:pt idx="159">
                  <c:v>4.4941245483497909E-12</c:v>
                </c:pt>
                <c:pt idx="160">
                  <c:v>4.4941245483497909E-12</c:v>
                </c:pt>
                <c:pt idx="161">
                  <c:v>4.4941245483497909E-12</c:v>
                </c:pt>
                <c:pt idx="162">
                  <c:v>4.4941245483497909E-12</c:v>
                </c:pt>
                <c:pt idx="163">
                  <c:v>4.4941245483497909E-12</c:v>
                </c:pt>
                <c:pt idx="164">
                  <c:v>4.4941245483497909E-12</c:v>
                </c:pt>
                <c:pt idx="165">
                  <c:v>4.4941245483497909E-12</c:v>
                </c:pt>
                <c:pt idx="166">
                  <c:v>4.4941245483497909E-12</c:v>
                </c:pt>
                <c:pt idx="167">
                  <c:v>4.4941245483497909E-12</c:v>
                </c:pt>
                <c:pt idx="168">
                  <c:v>4.4941245483497909E-12</c:v>
                </c:pt>
                <c:pt idx="169">
                  <c:v>4.4941245483497909E-12</c:v>
                </c:pt>
                <c:pt idx="170">
                  <c:v>4.4941245483497909E-12</c:v>
                </c:pt>
                <c:pt idx="171">
                  <c:v>4.4941245483497909E-12</c:v>
                </c:pt>
                <c:pt idx="172">
                  <c:v>4.4941245483497909E-12</c:v>
                </c:pt>
                <c:pt idx="173">
                  <c:v>4.4941245483497909E-12</c:v>
                </c:pt>
                <c:pt idx="174">
                  <c:v>4.4941245483497909E-12</c:v>
                </c:pt>
                <c:pt idx="175">
                  <c:v>4.4941245483497909E-12</c:v>
                </c:pt>
                <c:pt idx="176">
                  <c:v>4.4941245483497909E-12</c:v>
                </c:pt>
                <c:pt idx="177">
                  <c:v>4.4941245483497909E-12</c:v>
                </c:pt>
                <c:pt idx="178">
                  <c:v>4.4941245483497909E-12</c:v>
                </c:pt>
                <c:pt idx="179">
                  <c:v>4.4941245483497909E-12</c:v>
                </c:pt>
                <c:pt idx="180">
                  <c:v>4.4941245483497909E-12</c:v>
                </c:pt>
                <c:pt idx="181">
                  <c:v>4.4941245483497909E-12</c:v>
                </c:pt>
                <c:pt idx="182">
                  <c:v>4.4941245483497909E-12</c:v>
                </c:pt>
                <c:pt idx="183">
                  <c:v>4.4941245483497909E-12</c:v>
                </c:pt>
                <c:pt idx="184">
                  <c:v>4.4941245483497909E-12</c:v>
                </c:pt>
                <c:pt idx="185">
                  <c:v>4.4941245483497909E-12</c:v>
                </c:pt>
                <c:pt idx="186">
                  <c:v>4.4941245483497909E-12</c:v>
                </c:pt>
                <c:pt idx="187">
                  <c:v>4.4941245483497909E-12</c:v>
                </c:pt>
                <c:pt idx="188">
                  <c:v>4.4941245483497909E-12</c:v>
                </c:pt>
                <c:pt idx="189">
                  <c:v>4.4941245483497909E-12</c:v>
                </c:pt>
                <c:pt idx="190">
                  <c:v>4.4941245483497909E-12</c:v>
                </c:pt>
                <c:pt idx="191">
                  <c:v>4.4941245483497909E-12</c:v>
                </c:pt>
                <c:pt idx="192">
                  <c:v>4.4941245483497909E-12</c:v>
                </c:pt>
                <c:pt idx="193">
                  <c:v>4.4941245483497909E-12</c:v>
                </c:pt>
                <c:pt idx="194">
                  <c:v>4.4941245483497909E-12</c:v>
                </c:pt>
                <c:pt idx="195">
                  <c:v>4.4941245483497909E-12</c:v>
                </c:pt>
                <c:pt idx="196">
                  <c:v>4.4941245483497909E-12</c:v>
                </c:pt>
                <c:pt idx="197">
                  <c:v>4.4941245483497909E-12</c:v>
                </c:pt>
                <c:pt idx="198">
                  <c:v>4.4941245483497909E-12</c:v>
                </c:pt>
                <c:pt idx="199">
                  <c:v>4.4941245483497909E-12</c:v>
                </c:pt>
                <c:pt idx="200">
                  <c:v>4.4941245483497909E-12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2.8445538772295063</c:v>
                </c:pt>
                <c:pt idx="2">
                  <c:v>3.284273535613877</c:v>
                </c:pt>
                <c:pt idx="3">
                  <c:v>3.7922102922952434</c:v>
                </c:pt>
                <c:pt idx="4">
                  <c:v>4.3789829346453333</c:v>
                </c:pt>
                <c:pt idx="5">
                  <c:v>5.0568684072794188</c:v>
                </c:pt>
                <c:pt idx="6">
                  <c:v>5.8400614980565448</c:v>
                </c:pt>
                <c:pt idx="7">
                  <c:v>6.7449753039941669</c:v>
                </c:pt>
                <c:pt idx="8">
                  <c:v>7.7905888969266996</c:v>
                </c:pt>
                <c:pt idx="9">
                  <c:v>8.9988496216860376</c:v>
                </c:pt>
                <c:pt idx="10">
                  <c:v>10.395138632688928</c:v>
                </c:pt>
                <c:pt idx="11">
                  <c:v>12.008809633451259</c:v>
                </c:pt>
                <c:pt idx="12">
                  <c:v>13.873812357108987</c:v>
                </c:pt>
                <c:pt idx="13">
                  <c:v>16.029414148570542</c:v>
                </c:pt>
                <c:pt idx="14">
                  <c:v>18.521035119924662</c:v>
                </c:pt>
                <c:pt idx="15">
                  <c:v>21.401214795914981</c:v>
                </c:pt>
                <c:pt idx="16">
                  <c:v>24.730730998666559</c:v>
                </c:pt>
                <c:pt idx="17">
                  <c:v>28.57989500182471</c:v>
                </c:pt>
                <c:pt idx="18">
                  <c:v>33.030050785016336</c:v>
                </c:pt>
                <c:pt idx="19">
                  <c:v>38.175310622549354</c:v>
                </c:pt>
                <c:pt idx="20">
                  <c:v>44.124564341117825</c:v>
                </c:pt>
                <c:pt idx="21">
                  <c:v>51.003805490763547</c:v>
                </c:pt>
                <c:pt idx="22">
                  <c:v>58.958824519858602</c:v>
                </c:pt>
                <c:pt idx="23">
                  <c:v>68.158326977231852</c:v>
                </c:pt>
                <c:pt idx="24">
                  <c:v>78.797543955252777</c:v>
                </c:pt>
                <c:pt idx="25">
                  <c:v>91.102412636626653</c:v>
                </c:pt>
                <c:pt idx="26">
                  <c:v>105.3344171465771</c:v>
                </c:pt>
                <c:pt idx="27">
                  <c:v>121.79619420959904</c:v>
                </c:pt>
                <c:pt idx="28">
                  <c:v>140.8380246774075</c:v>
                </c:pt>
                <c:pt idx="29">
                  <c:v>162.86535119300285</c:v>
                </c:pt>
                <c:pt idx="30">
                  <c:v>188.34748450328843</c:v>
                </c:pt>
                <c:pt idx="31">
                  <c:v>199.51355751778638</c:v>
                </c:pt>
                <c:pt idx="32">
                  <c:v>210.66514383022638</c:v>
                </c:pt>
                <c:pt idx="33">
                  <c:v>221.80311892887573</c:v>
                </c:pt>
                <c:pt idx="34">
                  <c:v>232.92826311152359</c:v>
                </c:pt>
                <c:pt idx="35">
                  <c:v>244.04127598646448</c:v>
                </c:pt>
                <c:pt idx="36">
                  <c:v>255.14278819065109</c:v>
                </c:pt>
                <c:pt idx="37">
                  <c:v>266.23337095942338</c:v>
                </c:pt>
                <c:pt idx="38">
                  <c:v>277.31354401665726</c:v>
                </c:pt>
                <c:pt idx="39">
                  <c:v>288.38378213683524</c:v>
                </c:pt>
                <c:pt idx="40">
                  <c:v>299.44452064603837</c:v>
                </c:pt>
                <c:pt idx="41">
                  <c:v>310.49616006710073</c:v>
                </c:pt>
                <c:pt idx="42">
                  <c:v>321.53907006842928</c:v>
                </c:pt>
                <c:pt idx="43">
                  <c:v>332.57359284169502</c:v>
                </c:pt>
                <c:pt idx="44">
                  <c:v>343.60004600760408</c:v>
                </c:pt>
                <c:pt idx="45">
                  <c:v>224.13112047558164</c:v>
                </c:pt>
                <c:pt idx="46">
                  <c:v>238.35467317528014</c:v>
                </c:pt>
                <c:pt idx="47">
                  <c:v>252.55889215676018</c:v>
                </c:pt>
                <c:pt idx="48">
                  <c:v>266.7450181566432</c:v>
                </c:pt>
                <c:pt idx="49">
                  <c:v>280.91414910453278</c:v>
                </c:pt>
                <c:pt idx="50">
                  <c:v>295.06726308753133</c:v>
                </c:pt>
                <c:pt idx="51">
                  <c:v>309.20523667449658</c:v>
                </c:pt>
                <c:pt idx="52">
                  <c:v>244.26330259426319</c:v>
                </c:pt>
                <c:pt idx="53">
                  <c:v>257.56239224116058</c:v>
                </c:pt>
                <c:pt idx="54">
                  <c:v>270.8459594722687</c:v>
                </c:pt>
                <c:pt idx="55">
                  <c:v>284.11487303705792</c:v>
                </c:pt>
                <c:pt idx="56">
                  <c:v>297.36991388001081</c:v>
                </c:pt>
                <c:pt idx="57">
                  <c:v>310.61178761677502</c:v>
                </c:pt>
                <c:pt idx="58">
                  <c:v>323.84113477018821</c:v>
                </c:pt>
                <c:pt idx="59">
                  <c:v>337.05853924534387</c:v>
                </c:pt>
                <c:pt idx="60">
                  <c:v>268.7112782938953</c:v>
                </c:pt>
                <c:pt idx="61">
                  <c:v>281.04665813680271</c:v>
                </c:pt>
                <c:pt idx="62">
                  <c:v>293.36990452899482</c:v>
                </c:pt>
                <c:pt idx="63">
                  <c:v>305.68159913713504</c:v>
                </c:pt>
                <c:pt idx="64">
                  <c:v>317.982272929065</c:v>
                </c:pt>
                <c:pt idx="65">
                  <c:v>330.27241242490169</c:v>
                </c:pt>
                <c:pt idx="66">
                  <c:v>342.55246496858553</c:v>
                </c:pt>
                <c:pt idx="67">
                  <c:v>354.82284320370565</c:v>
                </c:pt>
                <c:pt idx="68">
                  <c:v>300.43926003821406</c:v>
                </c:pt>
                <c:pt idx="69">
                  <c:v>312.22052278591252</c:v>
                </c:pt>
                <c:pt idx="70">
                  <c:v>323.99192581594804</c:v>
                </c:pt>
                <c:pt idx="71">
                  <c:v>335.75387796134402</c:v>
                </c:pt>
                <c:pt idx="72">
                  <c:v>347.5067570627578</c:v>
                </c:pt>
                <c:pt idx="73">
                  <c:v>359.25091330902154</c:v>
                </c:pt>
                <c:pt idx="74">
                  <c:v>370.98667211789854</c:v>
                </c:pt>
                <c:pt idx="75">
                  <c:v>382.71433663318339</c:v>
                </c:pt>
                <c:pt idx="76">
                  <c:v>330.27130820262437</c:v>
                </c:pt>
                <c:pt idx="77">
                  <c:v>341.64494578691387</c:v>
                </c:pt>
                <c:pt idx="78">
                  <c:v>353.01026009798289</c:v>
                </c:pt>
                <c:pt idx="79">
                  <c:v>364.3675569618012</c:v>
                </c:pt>
                <c:pt idx="80">
                  <c:v>375.71712157723732</c:v>
                </c:pt>
                <c:pt idx="81">
                  <c:v>387.05922050168732</c:v>
                </c:pt>
                <c:pt idx="82">
                  <c:v>398.39410339175623</c:v>
                </c:pt>
                <c:pt idx="83">
                  <c:v>409.72200453546321</c:v>
                </c:pt>
                <c:pt idx="84">
                  <c:v>421.0431442061294</c:v>
                </c:pt>
                <c:pt idx="85">
                  <c:v>359.6201405577101</c:v>
                </c:pt>
                <c:pt idx="86">
                  <c:v>370.47065395285722</c:v>
                </c:pt>
                <c:pt idx="87">
                  <c:v>381.31423737076875</c:v>
                </c:pt>
                <c:pt idx="88">
                  <c:v>392.15111572316761</c:v>
                </c:pt>
                <c:pt idx="89">
                  <c:v>402.98150047310645</c:v>
                </c:pt>
                <c:pt idx="90">
                  <c:v>413.80559078670422</c:v>
                </c:pt>
                <c:pt idx="91">
                  <c:v>424.62357455806983</c:v>
                </c:pt>
                <c:pt idx="92">
                  <c:v>435.43562932431655</c:v>
                </c:pt>
                <c:pt idx="93">
                  <c:v>446.24192308494509</c:v>
                </c:pt>
                <c:pt idx="94">
                  <c:v>395.19544417615924</c:v>
                </c:pt>
                <c:pt idx="95">
                  <c:v>406.01920365917562</c:v>
                </c:pt>
                <c:pt idx="96">
                  <c:v>416.83672809851947</c:v>
                </c:pt>
                <c:pt idx="97">
                  <c:v>427.64820214882644</c:v>
                </c:pt>
                <c:pt idx="98">
                  <c:v>438.45380036444539</c:v>
                </c:pt>
                <c:pt idx="99">
                  <c:v>449.25368799253255</c:v>
                </c:pt>
                <c:pt idx="100">
                  <c:v>460.04802168589998</c:v>
                </c:pt>
                <c:pt idx="101">
                  <c:v>470.83695014547044</c:v>
                </c:pt>
                <c:pt idx="102">
                  <c:v>481.62061470077691</c:v>
                </c:pt>
                <c:pt idx="103">
                  <c:v>492.39914983576364</c:v>
                </c:pt>
                <c:pt idx="104">
                  <c:v>421.75488914200605</c:v>
                </c:pt>
                <c:pt idx="105">
                  <c:v>432.23038867220362</c:v>
                </c:pt>
                <c:pt idx="106">
                  <c:v>442.70043610565153</c:v>
                </c:pt>
                <c:pt idx="107">
                  <c:v>453.16517859068671</c:v>
                </c:pt>
                <c:pt idx="108">
                  <c:v>463.6247559239294</c:v>
                </c:pt>
                <c:pt idx="109">
                  <c:v>474.07930107870487</c:v>
                </c:pt>
                <c:pt idx="110">
                  <c:v>484.52894068442293</c:v>
                </c:pt>
                <c:pt idx="111">
                  <c:v>494.97379546244878</c:v>
                </c:pt>
                <c:pt idx="112">
                  <c:v>505.41398062326749</c:v>
                </c:pt>
                <c:pt idx="113">
                  <c:v>515.84960622912308</c:v>
                </c:pt>
                <c:pt idx="114">
                  <c:v>461.95200357411198</c:v>
                </c:pt>
                <c:pt idx="115">
                  <c:v>472.83904164349178</c:v>
                </c:pt>
                <c:pt idx="116">
                  <c:v>483.72074460631808</c:v>
                </c:pt>
                <c:pt idx="117">
                  <c:v>494.59724940555299</c:v>
                </c:pt>
                <c:pt idx="118">
                  <c:v>505.4686864697278</c:v>
                </c:pt>
                <c:pt idx="119">
                  <c:v>516.33518015926472</c:v>
                </c:pt>
                <c:pt idx="120">
                  <c:v>527.19684917327379</c:v>
                </c:pt>
                <c:pt idx="121">
                  <c:v>538.0538069210852</c:v>
                </c:pt>
                <c:pt idx="122">
                  <c:v>548.90616186223372</c:v>
                </c:pt>
                <c:pt idx="123">
                  <c:v>559.75401781816606</c:v>
                </c:pt>
                <c:pt idx="124">
                  <c:v>570.59747425852868</c:v>
                </c:pt>
                <c:pt idx="125">
                  <c:v>581.43662656456797</c:v>
                </c:pt>
                <c:pt idx="126">
                  <c:v>493.6492896849968</c:v>
                </c:pt>
                <c:pt idx="127">
                  <c:v>504.39424070485211</c:v>
                </c:pt>
                <c:pt idx="128">
                  <c:v>515.13435137963563</c:v>
                </c:pt>
                <c:pt idx="129">
                  <c:v>525.86973685240321</c:v>
                </c:pt>
                <c:pt idx="130">
                  <c:v>536.60050718168884</c:v>
                </c:pt>
                <c:pt idx="131">
                  <c:v>547.32676766538123</c:v>
                </c:pt>
                <c:pt idx="132">
                  <c:v>558.0486191378925</c:v>
                </c:pt>
                <c:pt idx="133">
                  <c:v>568.76615824330497</c:v>
                </c:pt>
                <c:pt idx="134">
                  <c:v>579.47947768686356</c:v>
                </c:pt>
                <c:pt idx="135">
                  <c:v>590.18866646690458</c:v>
                </c:pt>
                <c:pt idx="136">
                  <c:v>600.89381008908106</c:v>
                </c:pt>
                <c:pt idx="137">
                  <c:v>611.59499076453187</c:v>
                </c:pt>
                <c:pt idx="138">
                  <c:v>517.4845521341457</c:v>
                </c:pt>
                <c:pt idx="139">
                  <c:v>527.93580377962724</c:v>
                </c:pt>
                <c:pt idx="140">
                  <c:v>538.38270014185616</c:v>
                </c:pt>
                <c:pt idx="141">
                  <c:v>548.82533764336756</c:v>
                </c:pt>
                <c:pt idx="142">
                  <c:v>559.26380873828998</c:v>
                </c:pt>
                <c:pt idx="143">
                  <c:v>569.69820214826711</c:v>
                </c:pt>
                <c:pt idx="144">
                  <c:v>580.12860308019992</c:v>
                </c:pt>
                <c:pt idx="145">
                  <c:v>590.55509342751941</c:v>
                </c:pt>
                <c:pt idx="146">
                  <c:v>600.97775195650604</c:v>
                </c:pt>
                <c:pt idx="147">
                  <c:v>611.39665447901677</c:v>
                </c:pt>
                <c:pt idx="148">
                  <c:v>621.81187401282932</c:v>
                </c:pt>
                <c:pt idx="149">
                  <c:v>632.22348093068604</c:v>
                </c:pt>
                <c:pt idx="150">
                  <c:v>391.75618234016855</c:v>
                </c:pt>
                <c:pt idx="151">
                  <c:v>398.12797300026745</c:v>
                </c:pt>
                <c:pt idx="152">
                  <c:v>404.49755544422732</c:v>
                </c:pt>
                <c:pt idx="153">
                  <c:v>410.86496937947453</c:v>
                </c:pt>
                <c:pt idx="154">
                  <c:v>269.86768046055812</c:v>
                </c:pt>
                <c:pt idx="155">
                  <c:v>273.75370835861008</c:v>
                </c:pt>
                <c:pt idx="156">
                  <c:v>277.63849636932508</c:v>
                </c:pt>
                <c:pt idx="157">
                  <c:v>281.5220643228285</c:v>
                </c:pt>
                <c:pt idx="158">
                  <c:v>188.71318847193186</c:v>
                </c:pt>
                <c:pt idx="159">
                  <c:v>191.14520426585958</c:v>
                </c:pt>
                <c:pt idx="160">
                  <c:v>193.57649941136523</c:v>
                </c:pt>
                <c:pt idx="161">
                  <c:v>196.00708426396639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2.0923362401630201</c:v>
                </c:pt>
                <c:pt idx="2">
                  <c:v>2.5853875380977338</c:v>
                </c:pt>
                <c:pt idx="3">
                  <c:v>3.1950755062709413</c:v>
                </c:pt>
                <c:pt idx="4">
                  <c:v>3.9490925865100355</c:v>
                </c:pt>
                <c:pt idx="5">
                  <c:v>4.8817285219731739</c:v>
                </c:pt>
                <c:pt idx="6">
                  <c:v>6.035447037303256</c:v>
                </c:pt>
                <c:pt idx="7">
                  <c:v>7.4628404267556538</c:v>
                </c:pt>
                <c:pt idx="8">
                  <c:v>9.2290528717049156</c:v>
                </c:pt>
                <c:pt idx="9">
                  <c:v>11.414785188957319</c:v>
                </c:pt>
                <c:pt idx="10">
                  <c:v>14.120020874147725</c:v>
                </c:pt>
                <c:pt idx="11">
                  <c:v>21.063974185536008</c:v>
                </c:pt>
                <c:pt idx="12">
                  <c:v>29.429406613719376</c:v>
                </c:pt>
                <c:pt idx="13">
                  <c:v>37.727903052748168</c:v>
                </c:pt>
                <c:pt idx="14">
                  <c:v>45.976451369424893</c:v>
                </c:pt>
                <c:pt idx="15">
                  <c:v>54.185344096716108</c:v>
                </c:pt>
                <c:pt idx="16">
                  <c:v>64.692206117220181</c:v>
                </c:pt>
                <c:pt idx="17">
                  <c:v>79.502969264371089</c:v>
                </c:pt>
                <c:pt idx="18">
                  <c:v>94.243553745294435</c:v>
                </c:pt>
                <c:pt idx="19">
                  <c:v>108.92652623815808</c:v>
                </c:pt>
                <c:pt idx="20">
                  <c:v>123.56076610518875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154.70300795717847</c:v>
                </c:pt>
                <c:pt idx="27">
                  <c:v>165.80757333279718</c:v>
                </c:pt>
                <c:pt idx="28">
                  <c:v>176.89458202971272</c:v>
                </c:pt>
                <c:pt idx="29">
                  <c:v>187.96529046020365</c:v>
                </c:pt>
                <c:pt idx="30">
                  <c:v>199.02079476214132</c:v>
                </c:pt>
                <c:pt idx="31">
                  <c:v>180.87049769568833</c:v>
                </c:pt>
                <c:pt idx="32">
                  <c:v>191.08500506258926</c:v>
                </c:pt>
                <c:pt idx="33">
                  <c:v>201.28680095639413</c:v>
                </c:pt>
                <c:pt idx="34">
                  <c:v>211.47662103053372</c:v>
                </c:pt>
                <c:pt idx="35">
                  <c:v>221.65512417668984</c:v>
                </c:pt>
                <c:pt idx="36">
                  <c:v>201.85320984852046</c:v>
                </c:pt>
                <c:pt idx="37">
                  <c:v>211.75950715739978</c:v>
                </c:pt>
                <c:pt idx="38">
                  <c:v>221.65512417668984</c:v>
                </c:pt>
                <c:pt idx="39">
                  <c:v>231.54060536306474</c:v>
                </c:pt>
                <c:pt idx="40">
                  <c:v>241.41644483936719</c:v>
                </c:pt>
                <c:pt idx="41">
                  <c:v>219.39418126734574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232.66975188863583</c:v>
                </c:pt>
                <c:pt idx="47">
                  <c:v>240.85236284789323</c:v>
                </c:pt>
                <c:pt idx="48">
                  <c:v>249.02864742441989</c:v>
                </c:pt>
                <c:pt idx="49">
                  <c:v>257.19884285520715</c:v>
                </c:pt>
                <c:pt idx="50">
                  <c:v>265.36317005758792</c:v>
                </c:pt>
                <c:pt idx="51">
                  <c:v>243.67247358116444</c:v>
                </c:pt>
                <c:pt idx="52">
                  <c:v>251.56486631652947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275.20914595206563</c:v>
                </c:pt>
                <c:pt idx="56">
                  <c:v>254.10050561748869</c:v>
                </c:pt>
                <c:pt idx="57">
                  <c:v>261.14096179913935</c:v>
                </c:pt>
                <c:pt idx="58">
                  <c:v>268.17713242968824</c:v>
                </c:pt>
                <c:pt idx="59">
                  <c:v>275.20914595206563</c:v>
                </c:pt>
                <c:pt idx="60">
                  <c:v>282.23712370144091</c:v>
                </c:pt>
                <c:pt idx="61">
                  <c:v>262.26703366253628</c:v>
                </c:pt>
                <c:pt idx="62">
                  <c:v>269.02119109240982</c:v>
                </c:pt>
                <c:pt idx="63">
                  <c:v>275.77153112750079</c:v>
                </c:pt>
                <c:pt idx="64">
                  <c:v>282.51816051208363</c:v>
                </c:pt>
                <c:pt idx="65">
                  <c:v>289.26118046969771</c:v>
                </c:pt>
                <c:pt idx="66">
                  <c:v>270.1465099076247</c:v>
                </c:pt>
                <c:pt idx="67">
                  <c:v>276.33389053769889</c:v>
                </c:pt>
                <c:pt idx="68">
                  <c:v>282.51816051208368</c:v>
                </c:pt>
                <c:pt idx="69">
                  <c:v>288.69939762230456</c:v>
                </c:pt>
                <c:pt idx="70">
                  <c:v>294.87767605242175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287.85667749117118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281.95608061803119</c:v>
                </c:pt>
                <c:pt idx="77">
                  <c:v>287.29483341742724</c:v>
                </c:pt>
                <c:pt idx="78">
                  <c:v>292.63136713800878</c:v>
                </c:pt>
                <c:pt idx="79">
                  <c:v>297.96572801830723</c:v>
                </c:pt>
                <c:pt idx="80">
                  <c:v>303.29796050375211</c:v>
                </c:pt>
                <c:pt idx="81">
                  <c:v>287.2948334174273</c:v>
                </c:pt>
                <c:pt idx="82">
                  <c:v>292.35055150938069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292.63136713800878</c:v>
                </c:pt>
                <c:pt idx="87">
                  <c:v>297.40431733267718</c:v>
                </c:pt>
                <c:pt idx="88">
                  <c:v>302.17555997473181</c:v>
                </c:pt>
                <c:pt idx="89">
                  <c:v>306.94512587259851</c:v>
                </c:pt>
                <c:pt idx="90">
                  <c:v>311.71304479765826</c:v>
                </c:pt>
                <c:pt idx="91">
                  <c:v>293.4737779390652</c:v>
                </c:pt>
                <c:pt idx="92">
                  <c:v>293.4737779390652</c:v>
                </c:pt>
                <c:pt idx="93">
                  <c:v>293.4737779390652</c:v>
                </c:pt>
                <c:pt idx="94">
                  <c:v>293.4737779390652</c:v>
                </c:pt>
                <c:pt idx="95">
                  <c:v>293.4737779390652</c:v>
                </c:pt>
                <c:pt idx="96">
                  <c:v>293.4737779390652</c:v>
                </c:pt>
                <c:pt idx="97">
                  <c:v>293.4737779390652</c:v>
                </c:pt>
                <c:pt idx="98">
                  <c:v>293.4737779390652</c:v>
                </c:pt>
                <c:pt idx="99">
                  <c:v>293.4737779390652</c:v>
                </c:pt>
                <c:pt idx="100">
                  <c:v>293.4737779390652</c:v>
                </c:pt>
                <c:pt idx="101">
                  <c:v>293.4737779390652</c:v>
                </c:pt>
                <c:pt idx="102">
                  <c:v>293.4737779390652</c:v>
                </c:pt>
                <c:pt idx="103">
                  <c:v>293.4737779390652</c:v>
                </c:pt>
                <c:pt idx="104">
                  <c:v>293.4737779390652</c:v>
                </c:pt>
                <c:pt idx="105">
                  <c:v>293.4737779390652</c:v>
                </c:pt>
                <c:pt idx="106">
                  <c:v>293.4737779390652</c:v>
                </c:pt>
                <c:pt idx="107">
                  <c:v>293.4737779390652</c:v>
                </c:pt>
                <c:pt idx="108">
                  <c:v>293.4737779390652</c:v>
                </c:pt>
                <c:pt idx="109">
                  <c:v>293.4737779390652</c:v>
                </c:pt>
                <c:pt idx="110">
                  <c:v>293.4737779390652</c:v>
                </c:pt>
                <c:pt idx="111">
                  <c:v>293.4737779390652</c:v>
                </c:pt>
                <c:pt idx="112">
                  <c:v>293.4737779390652</c:v>
                </c:pt>
                <c:pt idx="113">
                  <c:v>293.4737779390652</c:v>
                </c:pt>
                <c:pt idx="114">
                  <c:v>293.4737779390652</c:v>
                </c:pt>
                <c:pt idx="115">
                  <c:v>293.4737779390652</c:v>
                </c:pt>
                <c:pt idx="116">
                  <c:v>293.4737779390652</c:v>
                </c:pt>
                <c:pt idx="117">
                  <c:v>293.4737779390652</c:v>
                </c:pt>
                <c:pt idx="118">
                  <c:v>293.4737779390652</c:v>
                </c:pt>
                <c:pt idx="119">
                  <c:v>293.4737779390652</c:v>
                </c:pt>
                <c:pt idx="120">
                  <c:v>293.4737779390652</c:v>
                </c:pt>
                <c:pt idx="121">
                  <c:v>293.4737779390652</c:v>
                </c:pt>
                <c:pt idx="122">
                  <c:v>293.4737779390652</c:v>
                </c:pt>
                <c:pt idx="123">
                  <c:v>293.4737779390652</c:v>
                </c:pt>
                <c:pt idx="124">
                  <c:v>293.4737779390652</c:v>
                </c:pt>
                <c:pt idx="125">
                  <c:v>293.4737779390652</c:v>
                </c:pt>
                <c:pt idx="126">
                  <c:v>293.4737779390652</c:v>
                </c:pt>
                <c:pt idx="127">
                  <c:v>293.4737779390652</c:v>
                </c:pt>
                <c:pt idx="128">
                  <c:v>293.4737779390652</c:v>
                </c:pt>
                <c:pt idx="129">
                  <c:v>293.4737779390652</c:v>
                </c:pt>
                <c:pt idx="130">
                  <c:v>293.4737779390652</c:v>
                </c:pt>
                <c:pt idx="131">
                  <c:v>293.4737779390652</c:v>
                </c:pt>
                <c:pt idx="132">
                  <c:v>293.4737779390652</c:v>
                </c:pt>
                <c:pt idx="133">
                  <c:v>293.4737779390652</c:v>
                </c:pt>
                <c:pt idx="134">
                  <c:v>293.4737779390652</c:v>
                </c:pt>
                <c:pt idx="135">
                  <c:v>293.4737779390652</c:v>
                </c:pt>
                <c:pt idx="136">
                  <c:v>293.4737779390652</c:v>
                </c:pt>
                <c:pt idx="137">
                  <c:v>293.4737779390652</c:v>
                </c:pt>
                <c:pt idx="138">
                  <c:v>293.4737779390652</c:v>
                </c:pt>
                <c:pt idx="139">
                  <c:v>293.4737779390652</c:v>
                </c:pt>
                <c:pt idx="140">
                  <c:v>293.4737779390652</c:v>
                </c:pt>
                <c:pt idx="141">
                  <c:v>293.4737779390652</c:v>
                </c:pt>
                <c:pt idx="142">
                  <c:v>293.4737779390652</c:v>
                </c:pt>
                <c:pt idx="143">
                  <c:v>293.4737779390652</c:v>
                </c:pt>
                <c:pt idx="144">
                  <c:v>293.4737779390652</c:v>
                </c:pt>
                <c:pt idx="145">
                  <c:v>293.4737779390652</c:v>
                </c:pt>
                <c:pt idx="146">
                  <c:v>293.4737779390652</c:v>
                </c:pt>
                <c:pt idx="147">
                  <c:v>293.4737779390652</c:v>
                </c:pt>
                <c:pt idx="148">
                  <c:v>293.4737779390652</c:v>
                </c:pt>
                <c:pt idx="149">
                  <c:v>293.4737779390652</c:v>
                </c:pt>
                <c:pt idx="150">
                  <c:v>293.4737779390652</c:v>
                </c:pt>
                <c:pt idx="151">
                  <c:v>293.4737779390652</c:v>
                </c:pt>
                <c:pt idx="152">
                  <c:v>293.4737779390652</c:v>
                </c:pt>
                <c:pt idx="153">
                  <c:v>293.4737779390652</c:v>
                </c:pt>
                <c:pt idx="154">
                  <c:v>293.4737779390652</c:v>
                </c:pt>
                <c:pt idx="155">
                  <c:v>293.4737779390652</c:v>
                </c:pt>
                <c:pt idx="156">
                  <c:v>293.4737779390652</c:v>
                </c:pt>
                <c:pt idx="157">
                  <c:v>293.4737779390652</c:v>
                </c:pt>
                <c:pt idx="158">
                  <c:v>293.4737779390652</c:v>
                </c:pt>
                <c:pt idx="159">
                  <c:v>293.4737779390652</c:v>
                </c:pt>
                <c:pt idx="160">
                  <c:v>293.4737779390652</c:v>
                </c:pt>
                <c:pt idx="161">
                  <c:v>293.4737779390652</c:v>
                </c:pt>
                <c:pt idx="162">
                  <c:v>293.4737779390652</c:v>
                </c:pt>
                <c:pt idx="163">
                  <c:v>293.4737779390652</c:v>
                </c:pt>
                <c:pt idx="164">
                  <c:v>293.4737779390652</c:v>
                </c:pt>
                <c:pt idx="165">
                  <c:v>293.4737779390652</c:v>
                </c:pt>
                <c:pt idx="166">
                  <c:v>293.4737779390652</c:v>
                </c:pt>
                <c:pt idx="167">
                  <c:v>293.4737779390652</c:v>
                </c:pt>
                <c:pt idx="168">
                  <c:v>293.4737779390652</c:v>
                </c:pt>
                <c:pt idx="169">
                  <c:v>293.4737779390652</c:v>
                </c:pt>
                <c:pt idx="170">
                  <c:v>293.4737779390652</c:v>
                </c:pt>
                <c:pt idx="171">
                  <c:v>293.4737779390652</c:v>
                </c:pt>
                <c:pt idx="172">
                  <c:v>293.4737779390652</c:v>
                </c:pt>
                <c:pt idx="173">
                  <c:v>293.4737779390652</c:v>
                </c:pt>
                <c:pt idx="174">
                  <c:v>293.4737779390652</c:v>
                </c:pt>
                <c:pt idx="175">
                  <c:v>293.4737779390652</c:v>
                </c:pt>
                <c:pt idx="176">
                  <c:v>293.4737779390652</c:v>
                </c:pt>
                <c:pt idx="177">
                  <c:v>293.4737779390652</c:v>
                </c:pt>
                <c:pt idx="178">
                  <c:v>293.4737779390652</c:v>
                </c:pt>
                <c:pt idx="179">
                  <c:v>293.4737779390652</c:v>
                </c:pt>
                <c:pt idx="180">
                  <c:v>293.4737779390652</c:v>
                </c:pt>
                <c:pt idx="181">
                  <c:v>293.4737779390652</c:v>
                </c:pt>
                <c:pt idx="182">
                  <c:v>293.4737779390652</c:v>
                </c:pt>
                <c:pt idx="183">
                  <c:v>293.4737779390652</c:v>
                </c:pt>
                <c:pt idx="184">
                  <c:v>293.4737779390652</c:v>
                </c:pt>
                <c:pt idx="185">
                  <c:v>293.4737779390652</c:v>
                </c:pt>
                <c:pt idx="186">
                  <c:v>293.4737779390652</c:v>
                </c:pt>
                <c:pt idx="187">
                  <c:v>293.4737779390652</c:v>
                </c:pt>
                <c:pt idx="188">
                  <c:v>293.4737779390652</c:v>
                </c:pt>
                <c:pt idx="189">
                  <c:v>293.4737779390652</c:v>
                </c:pt>
                <c:pt idx="190">
                  <c:v>293.4737779390652</c:v>
                </c:pt>
                <c:pt idx="191">
                  <c:v>293.4737779390652</c:v>
                </c:pt>
                <c:pt idx="192">
                  <c:v>293.4737779390652</c:v>
                </c:pt>
                <c:pt idx="193">
                  <c:v>293.4737779390652</c:v>
                </c:pt>
                <c:pt idx="194">
                  <c:v>293.4737779390652</c:v>
                </c:pt>
                <c:pt idx="195">
                  <c:v>293.4737779390652</c:v>
                </c:pt>
                <c:pt idx="196">
                  <c:v>293.4737779390652</c:v>
                </c:pt>
                <c:pt idx="197">
                  <c:v>293.4737779390652</c:v>
                </c:pt>
                <c:pt idx="198">
                  <c:v>293.4737779390652</c:v>
                </c:pt>
                <c:pt idx="199">
                  <c:v>293.4737779390652</c:v>
                </c:pt>
                <c:pt idx="200">
                  <c:v>293.4737779390652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226.38614537674326</c:v>
                </c:pt>
                <c:pt idx="33">
                  <c:v>245.42235893237435</c:v>
                </c:pt>
                <c:pt idx="34">
                  <c:v>264.42503341914323</c:v>
                </c:pt>
                <c:pt idx="35">
                  <c:v>283.39691776161254</c:v>
                </c:pt>
                <c:pt idx="36">
                  <c:v>302.34036268238674</c:v>
                </c:pt>
                <c:pt idx="37">
                  <c:v>321.25740024962448</c:v>
                </c:pt>
                <c:pt idx="38">
                  <c:v>279.73236813579513</c:v>
                </c:pt>
                <c:pt idx="39">
                  <c:v>298.36290228402578</c:v>
                </c:pt>
                <c:pt idx="40">
                  <c:v>316.96751977104668</c:v>
                </c:pt>
                <c:pt idx="41">
                  <c:v>335.54795535646372</c:v>
                </c:pt>
                <c:pt idx="42">
                  <c:v>354.10573601815054</c:v>
                </c:pt>
                <c:pt idx="43">
                  <c:v>372.64221565134477</c:v>
                </c:pt>
                <c:pt idx="44">
                  <c:v>391.15860250001077</c:v>
                </c:pt>
                <c:pt idx="45">
                  <c:v>336.88699770815009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423.10262682279296</c:v>
                </c:pt>
                <c:pt idx="51">
                  <c:v>440.29740898417271</c:v>
                </c:pt>
                <c:pt idx="52">
                  <c:v>457.47779928386609</c:v>
                </c:pt>
                <c:pt idx="53">
                  <c:v>391.9890127427073</c:v>
                </c:pt>
                <c:pt idx="54">
                  <c:v>407.75965962237683</c:v>
                </c:pt>
                <c:pt idx="55">
                  <c:v>423.51713321926735</c:v>
                </c:pt>
                <c:pt idx="56">
                  <c:v>439.26199254204636</c:v>
                </c:pt>
                <c:pt idx="57">
                  <c:v>454.99475326719272</c:v>
                </c:pt>
                <c:pt idx="58">
                  <c:v>470.71589251122253</c:v>
                </c:pt>
                <c:pt idx="59">
                  <c:v>486.42585293226904</c:v>
                </c:pt>
                <c:pt idx="60">
                  <c:v>502.12504627431412</c:v>
                </c:pt>
                <c:pt idx="61">
                  <c:v>438.70974904240552</c:v>
                </c:pt>
                <c:pt idx="62">
                  <c:v>453.06329508642142</c:v>
                </c:pt>
                <c:pt idx="63">
                  <c:v>467.40712233198593</c:v>
                </c:pt>
                <c:pt idx="64">
                  <c:v>481.74157097323308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553.28361587129086</c:v>
                </c:pt>
                <c:pt idx="70">
                  <c:v>3.5982663925596575E-12</c:v>
                </c:pt>
                <c:pt idx="71">
                  <c:v>3.5982663925596575E-12</c:v>
                </c:pt>
                <c:pt idx="72">
                  <c:v>3.5982663925596575E-12</c:v>
                </c:pt>
                <c:pt idx="73">
                  <c:v>3.5982663925596575E-12</c:v>
                </c:pt>
                <c:pt idx="74">
                  <c:v>3.5982663925596575E-12</c:v>
                </c:pt>
                <c:pt idx="75">
                  <c:v>3.5982663925596575E-12</c:v>
                </c:pt>
                <c:pt idx="76">
                  <c:v>3.5982663925596575E-12</c:v>
                </c:pt>
                <c:pt idx="77">
                  <c:v>3.5982663925596575E-12</c:v>
                </c:pt>
                <c:pt idx="78">
                  <c:v>3.5982663925596575E-12</c:v>
                </c:pt>
                <c:pt idx="79">
                  <c:v>3.5982663925596575E-12</c:v>
                </c:pt>
                <c:pt idx="80">
                  <c:v>3.5982663925596575E-12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klima1.sharepoint.com/sites/TeamOklima/Shared%20Documents/03%20-%20D&#233;veloppement/1%20-%20FORET/1%20-%20PROJETS/COFNOR/pillot_wignehies_Nord(59)_4,34/1.Dossier_en_cours/Calculateur_RE_OKLIMA_v4.3_Final.xlsx" TargetMode="External"/><Relationship Id="rId1" Type="http://schemas.openxmlformats.org/officeDocument/2006/relationships/externalLinkPath" Target="/sites/TeamOklima/Shared%20Documents/03%20-%20D&#233;veloppement/1%20-%20FORET/1%20-%20PROJETS/COFNOR/pillot_wignehies_Nord(59)_4,34/1.Dossier_en_cours/Calculateur_RE_OKLIMA_v4.3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ez-moi"/>
      <sheetName val="CO2"/>
      <sheetName val="ECO"/>
      <sheetName val="Financement"/>
      <sheetName val="Communes Francaises"/>
      <sheetName val="&gt;"/>
      <sheetName val="Données projet"/>
      <sheetName val="Scénario référence"/>
      <sheetName val="Calculateur"/>
      <sheetName val="Paramètres"/>
      <sheetName val="REE"/>
      <sheetName val="VAN"/>
      <sheetName val="&gt;&gt;"/>
      <sheetName val="COUT"/>
      <sheetName val="Feuil2"/>
      <sheetName val="ESSENCES"/>
      <sheetName val="param"/>
    </sheetNames>
    <sheetDataSet>
      <sheetData sheetId="0" refreshError="1"/>
      <sheetData sheetId="1">
        <row r="15">
          <cell r="F15">
            <v>3.6880000000000002</v>
          </cell>
        </row>
        <row r="34">
          <cell r="D34" t="str">
            <v>Chêne sessile</v>
          </cell>
        </row>
        <row r="35">
          <cell r="D35" t="str">
            <v>Hêtre</v>
          </cell>
        </row>
        <row r="36">
          <cell r="D36" t="str">
            <v>Alisier torminal</v>
          </cell>
        </row>
        <row r="37">
          <cell r="D37" t="str">
            <v>Aulne glutineux</v>
          </cell>
        </row>
        <row r="38">
          <cell r="D38" t="str">
            <v>Merisier</v>
          </cell>
        </row>
        <row r="39">
          <cell r="D39" t="str">
            <v>Erable sycomore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" zoomScale="80" zoomScaleNormal="80" workbookViewId="0">
      <selection activeCell="C9" sqref="C9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3.2431999999999999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tr">
        <f>[1]CO2!D34</f>
        <v>Chêne sessile</v>
      </c>
      <c r="C9" s="32">
        <v>0.61739999999999995</v>
      </c>
      <c r="D9" s="33">
        <f t="shared" ref="D9:D18" si="0">C9*$C$5</f>
        <v>2.0023516799999999</v>
      </c>
      <c r="E9" s="34"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tr">
        <f>[1]CO2!D35</f>
        <v>Hêtre</v>
      </c>
      <c r="C10" s="32">
        <v>6.7799999999999999E-2</v>
      </c>
      <c r="D10" s="33">
        <f t="shared" si="0"/>
        <v>0.21988895999999999</v>
      </c>
      <c r="E10" s="34">
        <v>125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tr">
        <f>[1]CO2!D36</f>
        <v>Alisier torminal</v>
      </c>
      <c r="C11" s="32">
        <v>3.9039999999999998E-2</v>
      </c>
      <c r="D11" s="33">
        <f t="shared" si="0"/>
        <v>0.12661452799999998</v>
      </c>
      <c r="E11" s="34">
        <v>161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tr">
        <f>[1]CO2!D37</f>
        <v>Aulne glutineux</v>
      </c>
      <c r="C12" s="32">
        <v>1.8499999999999999E-2</v>
      </c>
      <c r="D12" s="33">
        <f t="shared" si="0"/>
        <v>5.9999199999999996E-2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tr">
        <f>[1]CO2!D38</f>
        <v>Merisier</v>
      </c>
      <c r="C13" s="32">
        <v>0.12529999999999999</v>
      </c>
      <c r="D13" s="33">
        <f t="shared" si="0"/>
        <v>0.40637295999999995</v>
      </c>
      <c r="E13" s="34">
        <v>69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tr">
        <f>[1]CO2!D39</f>
        <v>Erable sycomore</v>
      </c>
      <c r="C14" s="32">
        <v>0.1278</v>
      </c>
      <c r="D14" s="33">
        <f t="shared" si="0"/>
        <v>0.41448095999999995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0.99583999999999984</v>
      </c>
      <c r="D19" s="38">
        <f>SUM(D9:D18)</f>
        <v>3.2297082880000003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>
        <v>32432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121.88461538461537</v>
      </c>
      <c r="C36" s="60" t="s">
        <v>324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35</v>
      </c>
      <c r="B37" s="60">
        <v>162.16666666666669</v>
      </c>
      <c r="C37" s="60">
        <v>1</v>
      </c>
      <c r="D37" s="60">
        <v>60.602564102564102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8.0564102564102633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41</v>
      </c>
      <c r="B38" s="60">
        <v>157.44871794871796</v>
      </c>
      <c r="C38" s="60">
        <v>2</v>
      </c>
      <c r="D38" s="60">
        <v>38.512820512820511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9.3141025641025621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48</v>
      </c>
      <c r="B39" s="60">
        <v>184.35256410256409</v>
      </c>
      <c r="C39" s="60">
        <v>3</v>
      </c>
      <c r="D39" s="60">
        <v>48.025641025641022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9.3452380952380913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55</v>
      </c>
      <c r="B40" s="60">
        <v>198.44230769230768</v>
      </c>
      <c r="C40" s="60">
        <v>4</v>
      </c>
      <c r="D40" s="60">
        <v>45.147435897435898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8.8736263736263741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63</v>
      </c>
      <c r="B41" s="60">
        <v>220.28846153846152</v>
      </c>
      <c r="C41" s="60">
        <v>5</v>
      </c>
      <c r="D41" s="60">
        <v>41.724358974358978</v>
      </c>
      <c r="E41" s="51">
        <v>0.7</v>
      </c>
      <c r="F41" s="51">
        <v>0</v>
      </c>
      <c r="G41" s="51">
        <v>0</v>
      </c>
      <c r="H41" s="51">
        <v>0.3</v>
      </c>
      <c r="I41" s="53">
        <f t="shared" si="1"/>
        <v>8.374198717948719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71</v>
      </c>
      <c r="B42" s="60">
        <v>243.36538461538464</v>
      </c>
      <c r="C42" s="60">
        <v>6</v>
      </c>
      <c r="D42" s="60">
        <v>39.935897435897431</v>
      </c>
      <c r="E42" s="51">
        <v>0.7</v>
      </c>
      <c r="F42" s="51">
        <v>0</v>
      </c>
      <c r="G42" s="51">
        <v>0</v>
      </c>
      <c r="H42" s="51">
        <v>0.3</v>
      </c>
      <c r="I42" s="53">
        <f t="shared" si="1"/>
        <v>8.1001602564102626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80</v>
      </c>
      <c r="B43" s="60">
        <v>274.01282051282055</v>
      </c>
      <c r="C43" s="60">
        <v>7</v>
      </c>
      <c r="D43" s="60">
        <v>45.608974358974358</v>
      </c>
      <c r="E43" s="51">
        <v>0.7</v>
      </c>
      <c r="F43" s="51">
        <v>0</v>
      </c>
      <c r="G43" s="51">
        <v>0</v>
      </c>
      <c r="H43" s="51">
        <v>0.3</v>
      </c>
      <c r="I43" s="49">
        <f t="shared" si="1"/>
        <v>7.8425925925925934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89</v>
      </c>
      <c r="B44" s="60">
        <v>295.85897435897436</v>
      </c>
      <c r="C44" s="60">
        <v>8</v>
      </c>
      <c r="D44" s="60">
        <v>49.391025641025635</v>
      </c>
      <c r="E44" s="51">
        <v>0.7</v>
      </c>
      <c r="F44" s="51">
        <v>0</v>
      </c>
      <c r="G44" s="51">
        <v>0</v>
      </c>
      <c r="H44" s="51">
        <v>0.3</v>
      </c>
      <c r="I44" s="49">
        <f t="shared" si="1"/>
        <v>7.4950142450142421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99</v>
      </c>
      <c r="B45" s="60">
        <v>318.25</v>
      </c>
      <c r="C45" s="60">
        <v>9</v>
      </c>
      <c r="D45" s="60">
        <v>48.019230769230766</v>
      </c>
      <c r="E45" s="51">
        <v>0.7</v>
      </c>
      <c r="F45" s="51">
        <v>0</v>
      </c>
      <c r="G45" s="51">
        <v>0</v>
      </c>
      <c r="H45" s="51">
        <v>0.3</v>
      </c>
      <c r="I45" s="49">
        <f t="shared" si="1"/>
        <v>7.1782051282051267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109</v>
      </c>
      <c r="B46" s="60">
        <v>340.16666666666663</v>
      </c>
      <c r="C46" s="60">
        <v>10</v>
      </c>
      <c r="D46" s="60">
        <v>51.28846153846154</v>
      </c>
      <c r="E46" s="51">
        <v>0.9</v>
      </c>
      <c r="F46" s="51">
        <v>0</v>
      </c>
      <c r="G46" s="51">
        <v>0</v>
      </c>
      <c r="H46" s="51">
        <v>0.1</v>
      </c>
      <c r="I46" s="49">
        <f t="shared" si="1"/>
        <v>6.9935897435897401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119</v>
      </c>
      <c r="B47" s="60">
        <v>357.33974358974359</v>
      </c>
      <c r="C47" s="60">
        <v>11</v>
      </c>
      <c r="D47" s="60">
        <v>150.02564102564102</v>
      </c>
      <c r="E47" s="51">
        <v>0.9</v>
      </c>
      <c r="F47" s="51">
        <v>0</v>
      </c>
      <c r="G47" s="51">
        <v>0</v>
      </c>
      <c r="H47" s="51">
        <v>0.1</v>
      </c>
      <c r="I47" s="49">
        <f t="shared" si="1"/>
        <v>6.8461538461538511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123</v>
      </c>
      <c r="B48" s="60">
        <v>222.63461538461539</v>
      </c>
      <c r="C48" s="60">
        <v>12</v>
      </c>
      <c r="D48" s="60">
        <v>77.17307692307692</v>
      </c>
      <c r="E48" s="51">
        <v>0.9</v>
      </c>
      <c r="F48" s="51">
        <v>0</v>
      </c>
      <c r="G48" s="51">
        <v>0</v>
      </c>
      <c r="H48" s="51">
        <v>0.1</v>
      </c>
      <c r="I48" s="49">
        <f t="shared" si="1"/>
        <v>3.8301282051282044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127</v>
      </c>
      <c r="B49" s="60">
        <v>154.80128205128204</v>
      </c>
      <c r="C49" s="60">
        <v>13</v>
      </c>
      <c r="D49" s="60">
        <v>49.916666666666671</v>
      </c>
      <c r="E49" s="51">
        <v>0.9</v>
      </c>
      <c r="F49" s="51">
        <v>0</v>
      </c>
      <c r="G49" s="51">
        <v>0</v>
      </c>
      <c r="H49" s="51">
        <v>0.1</v>
      </c>
      <c r="I49" s="49">
        <f t="shared" si="1"/>
        <v>2.3349358974358978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131</v>
      </c>
      <c r="B50" s="50">
        <v>110.91025641025641</v>
      </c>
      <c r="C50" s="50">
        <v>14</v>
      </c>
      <c r="D50" s="50">
        <v>110.91025641025641</v>
      </c>
      <c r="E50" s="51">
        <v>0.9</v>
      </c>
      <c r="F50" s="51">
        <v>0</v>
      </c>
      <c r="G50" s="51">
        <v>0</v>
      </c>
      <c r="H50" s="51">
        <v>0.1</v>
      </c>
      <c r="I50" s="49">
        <f t="shared" si="1"/>
        <v>1.5064102564102591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Hêtre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97.28205128205127</v>
      </c>
      <c r="C62" s="60" t="s">
        <v>324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3.2427350427350423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42</v>
      </c>
      <c r="B63" s="60">
        <v>193.06410256410257</v>
      </c>
      <c r="C63" s="60">
        <v>1</v>
      </c>
      <c r="D63" s="60">
        <v>69.141025641025635</v>
      </c>
      <c r="E63" s="51">
        <v>0</v>
      </c>
      <c r="F63" s="51">
        <v>0</v>
      </c>
      <c r="G63" s="51">
        <v>0.5</v>
      </c>
      <c r="H63" s="51">
        <v>0.5</v>
      </c>
      <c r="I63" s="49">
        <f>IF(A63&lt;&gt;0,(B63-(B62-D62))/(A63-A62),"")</f>
        <v>7.9818376068376082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48</v>
      </c>
      <c r="B64" s="60">
        <v>186.62179487179486</v>
      </c>
      <c r="C64" s="60">
        <v>2</v>
      </c>
      <c r="D64" s="60">
        <v>44.737179487179489</v>
      </c>
      <c r="E64" s="51">
        <v>0</v>
      </c>
      <c r="F64" s="51">
        <v>0</v>
      </c>
      <c r="G64" s="51">
        <v>0.5</v>
      </c>
      <c r="H64" s="51">
        <v>0.5</v>
      </c>
      <c r="I64" s="49">
        <f>IF(A64&lt;&gt;0,(B64-(B63-D63))/(A64-A63),"")</f>
        <v>10.449786324786322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54</v>
      </c>
      <c r="B65" s="60">
        <v>203.78846153846155</v>
      </c>
      <c r="C65" s="60">
        <v>3</v>
      </c>
      <c r="D65" s="60">
        <v>47.025641025641022</v>
      </c>
      <c r="E65" s="51">
        <v>0</v>
      </c>
      <c r="F65" s="51">
        <v>0.4</v>
      </c>
      <c r="G65" s="51">
        <v>0.3</v>
      </c>
      <c r="H65" s="51">
        <v>0.3</v>
      </c>
      <c r="I65" s="49">
        <f>IF(A65&lt;&gt;0,(B65-(B64-D64))/(A65-A64),"")</f>
        <v>10.317307692307699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63</v>
      </c>
      <c r="B66" s="60">
        <v>244.41666666666669</v>
      </c>
      <c r="C66" s="60">
        <v>4</v>
      </c>
      <c r="D66" s="60">
        <v>64.628205128205124</v>
      </c>
      <c r="E66" s="51">
        <v>0</v>
      </c>
      <c r="F66" s="51">
        <v>0.4</v>
      </c>
      <c r="G66" s="51">
        <v>0.3</v>
      </c>
      <c r="H66" s="51">
        <v>0.3</v>
      </c>
      <c r="I66" s="49">
        <f t="shared" ref="I66:I81" si="2">IF(A66&lt;&gt;0,(B66-(B65-D65))/(A66-A65),"")</f>
        <v>9.7393162393162402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72</v>
      </c>
      <c r="B67" s="60">
        <v>260.44230769230768</v>
      </c>
      <c r="C67" s="60">
        <v>5</v>
      </c>
      <c r="D67" s="60">
        <v>62.551282051282051</v>
      </c>
      <c r="E67" s="51">
        <v>0.3</v>
      </c>
      <c r="F67" s="51">
        <v>0.3</v>
      </c>
      <c r="G67" s="51">
        <v>0.2</v>
      </c>
      <c r="H67" s="51">
        <v>0.2</v>
      </c>
      <c r="I67" s="49">
        <f t="shared" si="2"/>
        <v>8.9615384615384599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81</v>
      </c>
      <c r="B68" s="60">
        <v>270.05128205128204</v>
      </c>
      <c r="C68" s="60">
        <v>6</v>
      </c>
      <c r="D68" s="60">
        <v>57.38461538461538</v>
      </c>
      <c r="E68" s="51">
        <v>0.3</v>
      </c>
      <c r="F68" s="51">
        <v>0.3</v>
      </c>
      <c r="G68" s="51">
        <v>0.2</v>
      </c>
      <c r="H68" s="51">
        <v>0.2</v>
      </c>
      <c r="I68" s="49">
        <f t="shared" si="2"/>
        <v>8.017806267806268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90</v>
      </c>
      <c r="B69" s="50">
        <v>277.21794871794873</v>
      </c>
      <c r="C69" s="50">
        <v>7</v>
      </c>
      <c r="D69" s="50">
        <v>52.782051282051285</v>
      </c>
      <c r="E69" s="51">
        <v>0.35</v>
      </c>
      <c r="F69" s="51">
        <v>0.35</v>
      </c>
      <c r="G69" s="51">
        <v>0.2</v>
      </c>
      <c r="H69" s="51">
        <v>0.1</v>
      </c>
      <c r="I69" s="49">
        <f t="shared" si="2"/>
        <v>7.172364672364675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99</v>
      </c>
      <c r="B70" s="50">
        <v>282.06410256410254</v>
      </c>
      <c r="C70" s="50">
        <v>8</v>
      </c>
      <c r="D70" s="50">
        <v>53.749999999999993</v>
      </c>
      <c r="E70" s="51">
        <v>0.4</v>
      </c>
      <c r="F70" s="51">
        <v>0.35</v>
      </c>
      <c r="G70" s="51">
        <v>0.2</v>
      </c>
      <c r="H70" s="51">
        <v>0.05</v>
      </c>
      <c r="I70" s="49">
        <f t="shared" si="2"/>
        <v>6.4031339031338979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111</v>
      </c>
      <c r="B71" s="50">
        <v>295.95512820512823</v>
      </c>
      <c r="C71" s="50">
        <v>9</v>
      </c>
      <c r="D71" s="50">
        <v>108.1474358974359</v>
      </c>
      <c r="E71" s="51">
        <v>0.5</v>
      </c>
      <c r="F71" s="51">
        <v>0.35</v>
      </c>
      <c r="G71" s="51">
        <v>0.1</v>
      </c>
      <c r="H71" s="51">
        <v>0.05</v>
      </c>
      <c r="I71" s="49">
        <f t="shared" si="2"/>
        <v>5.6367521367521407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116</v>
      </c>
      <c r="B72" s="50">
        <v>210.82692307692307</v>
      </c>
      <c r="C72" s="50">
        <v>10</v>
      </c>
      <c r="D72" s="50">
        <v>72.698717948717942</v>
      </c>
      <c r="E72" s="51">
        <v>0.5</v>
      </c>
      <c r="F72" s="51">
        <v>0.35</v>
      </c>
      <c r="G72" s="51">
        <v>0.1</v>
      </c>
      <c r="H72" s="51">
        <v>0.05</v>
      </c>
      <c r="I72" s="49">
        <f t="shared" si="2"/>
        <v>4.603846153846149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121</v>
      </c>
      <c r="B73" s="50">
        <v>156.43589743589743</v>
      </c>
      <c r="C73" s="50">
        <v>11</v>
      </c>
      <c r="D73" s="50">
        <v>66.179487179487168</v>
      </c>
      <c r="E73" s="51">
        <v>0.6</v>
      </c>
      <c r="F73" s="51">
        <v>0.35</v>
      </c>
      <c r="G73" s="51">
        <v>0.05</v>
      </c>
      <c r="H73" s="51">
        <v>0</v>
      </c>
      <c r="I73" s="49">
        <f t="shared" si="2"/>
        <v>3.6615384615384583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125</v>
      </c>
      <c r="B74" s="50">
        <v>100.62179487179486</v>
      </c>
      <c r="C74" s="50">
        <v>12</v>
      </c>
      <c r="D74" s="50">
        <v>100.62179487179486</v>
      </c>
      <c r="E74" s="51">
        <v>0.6</v>
      </c>
      <c r="F74" s="51">
        <v>0.35</v>
      </c>
      <c r="G74" s="51">
        <v>0.05</v>
      </c>
      <c r="H74" s="51">
        <v>0</v>
      </c>
      <c r="I74" s="49">
        <f t="shared" si="2"/>
        <v>2.5913461538461497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Alisier torminal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30</v>
      </c>
      <c r="B88" s="60">
        <v>87.705128205128204</v>
      </c>
      <c r="C88" s="60" t="s">
        <v>324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2.9235042735042733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44</v>
      </c>
      <c r="B89" s="60">
        <v>162.42307692307691</v>
      </c>
      <c r="C89" s="60">
        <v>1</v>
      </c>
      <c r="D89" s="60">
        <v>64.416666666666657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5.3369963369963358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51</v>
      </c>
      <c r="B90" s="60">
        <v>145.78846153846152</v>
      </c>
      <c r="C90" s="60">
        <v>2</v>
      </c>
      <c r="D90" s="60">
        <v>37.685897435897431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6.826007326007324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59</v>
      </c>
      <c r="B91" s="60">
        <v>159.25641025641025</v>
      </c>
      <c r="C91" s="60">
        <v>3</v>
      </c>
      <c r="D91" s="60">
        <v>38.942307692307693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6.3942307692307701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67</v>
      </c>
      <c r="B92" s="60">
        <v>167.85897435897436</v>
      </c>
      <c r="C92" s="60">
        <v>4</v>
      </c>
      <c r="D92" s="60">
        <v>31.993589743589741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5.9431089743589762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75</v>
      </c>
      <c r="B93" s="60">
        <v>181.38461538461536</v>
      </c>
      <c r="C93" s="60">
        <v>5</v>
      </c>
      <c r="D93" s="60">
        <v>30.916666666666664</v>
      </c>
      <c r="E93" s="87">
        <v>0.7</v>
      </c>
      <c r="F93" s="87">
        <v>0</v>
      </c>
      <c r="G93" s="87">
        <v>0</v>
      </c>
      <c r="H93" s="87">
        <v>0.3</v>
      </c>
      <c r="I93" s="53">
        <f t="shared" si="3"/>
        <v>5.6899038461538431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84</v>
      </c>
      <c r="B94" s="60">
        <v>200.00641025641025</v>
      </c>
      <c r="C94" s="60">
        <v>6</v>
      </c>
      <c r="D94" s="60">
        <v>35.083333333333329</v>
      </c>
      <c r="E94" s="87">
        <v>0.7</v>
      </c>
      <c r="F94" s="87">
        <v>0</v>
      </c>
      <c r="G94" s="87">
        <v>0</v>
      </c>
      <c r="H94" s="87">
        <v>0.3</v>
      </c>
      <c r="I94" s="53">
        <f t="shared" si="3"/>
        <v>5.5042735042735051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93</v>
      </c>
      <c r="B95" s="60">
        <v>212.26923076923075</v>
      </c>
      <c r="C95" s="60">
        <v>7</v>
      </c>
      <c r="D95" s="60">
        <v>30.083333333333332</v>
      </c>
      <c r="E95" s="87">
        <v>0.7</v>
      </c>
      <c r="F95" s="87">
        <v>0</v>
      </c>
      <c r="G95" s="87">
        <v>0</v>
      </c>
      <c r="H95" s="87">
        <v>0.3</v>
      </c>
      <c r="I95" s="53">
        <f t="shared" si="3"/>
        <v>5.2606837606837598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103</v>
      </c>
      <c r="B96" s="60">
        <v>234.76923076923077</v>
      </c>
      <c r="C96" s="60">
        <v>8</v>
      </c>
      <c r="D96" s="60">
        <v>39.512820512820511</v>
      </c>
      <c r="E96" s="87">
        <v>0.7</v>
      </c>
      <c r="F96" s="87">
        <v>0</v>
      </c>
      <c r="G96" s="87">
        <v>0</v>
      </c>
      <c r="H96" s="87">
        <v>0.3</v>
      </c>
      <c r="I96" s="53">
        <f t="shared" si="3"/>
        <v>5.2583333333333373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113</v>
      </c>
      <c r="B97" s="60">
        <v>246.21794871794873</v>
      </c>
      <c r="C97" s="60">
        <v>9</v>
      </c>
      <c r="D97" s="60">
        <v>31.602564102564099</v>
      </c>
      <c r="E97" s="87">
        <v>0.7</v>
      </c>
      <c r="F97" s="87">
        <v>0</v>
      </c>
      <c r="G97" s="87">
        <v>0</v>
      </c>
      <c r="H97" s="87">
        <v>0.3</v>
      </c>
      <c r="I97" s="53">
        <f t="shared" si="3"/>
        <v>5.0961538461538449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125</v>
      </c>
      <c r="B98" s="60">
        <v>278.29487179487177</v>
      </c>
      <c r="C98" s="60">
        <v>10</v>
      </c>
      <c r="D98" s="60">
        <v>48.160256410256409</v>
      </c>
      <c r="E98" s="87">
        <v>0.7</v>
      </c>
      <c r="F98" s="87">
        <v>0</v>
      </c>
      <c r="G98" s="87">
        <v>0</v>
      </c>
      <c r="H98" s="87">
        <v>0.3</v>
      </c>
      <c r="I98" s="53">
        <f t="shared" si="3"/>
        <v>5.3066239316239274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137</v>
      </c>
      <c r="B99" s="60">
        <v>293.07051282051282</v>
      </c>
      <c r="C99" s="60">
        <v>11</v>
      </c>
      <c r="D99" s="60">
        <v>51.160256410256409</v>
      </c>
      <c r="E99" s="87">
        <v>0.7</v>
      </c>
      <c r="F99" s="87">
        <v>0</v>
      </c>
      <c r="G99" s="87">
        <v>0</v>
      </c>
      <c r="H99" s="87">
        <v>0.3</v>
      </c>
      <c r="I99" s="53">
        <f t="shared" si="3"/>
        <v>5.2446581196581219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149</v>
      </c>
      <c r="B100" s="60">
        <v>303.18589743589746</v>
      </c>
      <c r="C100" s="60">
        <v>12</v>
      </c>
      <c r="D100" s="60">
        <v>120.50641025641026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5.1063034188034209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153</v>
      </c>
      <c r="B101" s="60">
        <v>195.05769230769226</v>
      </c>
      <c r="C101" s="60">
        <v>13</v>
      </c>
      <c r="D101" s="60">
        <v>70.115384615384613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3.0945512820512704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157</v>
      </c>
      <c r="B102" s="50">
        <v>132.42948717948718</v>
      </c>
      <c r="C102" s="60">
        <v>14</v>
      </c>
      <c r="D102" s="50">
        <v>45.71153846153846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1.8717948717948829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161</v>
      </c>
      <c r="B103" s="50">
        <v>91.365384615384613</v>
      </c>
      <c r="C103" s="60">
        <v>15</v>
      </c>
      <c r="D103" s="50">
        <v>91.365384615384613</v>
      </c>
      <c r="E103" s="54">
        <v>0.9</v>
      </c>
      <c r="F103" s="54">
        <v>0</v>
      </c>
      <c r="G103" s="54">
        <v>0</v>
      </c>
      <c r="H103" s="54">
        <v>0.1</v>
      </c>
      <c r="I103" s="53">
        <f t="shared" si="3"/>
        <v>1.1618589743589709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Aulne glutineux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10</v>
      </c>
      <c r="B114" s="60">
        <v>9</v>
      </c>
      <c r="C114" s="50">
        <v>1</v>
      </c>
      <c r="D114" s="60">
        <v>1</v>
      </c>
      <c r="E114" s="51">
        <v>0</v>
      </c>
      <c r="F114" s="51">
        <v>0.1</v>
      </c>
      <c r="G114" s="51">
        <v>0.3</v>
      </c>
      <c r="H114" s="51">
        <v>0.6</v>
      </c>
      <c r="I114" s="53">
        <f>IFERROR(B114/A114,"")</f>
        <v>0.9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15</v>
      </c>
      <c r="B115" s="60">
        <v>36</v>
      </c>
      <c r="C115" s="50">
        <v>2</v>
      </c>
      <c r="D115" s="60">
        <v>3</v>
      </c>
      <c r="E115" s="51">
        <v>0</v>
      </c>
      <c r="F115" s="51">
        <v>0.1</v>
      </c>
      <c r="G115" s="51">
        <v>0.3</v>
      </c>
      <c r="H115" s="51">
        <v>0.6</v>
      </c>
      <c r="I115" s="53">
        <f t="shared" ref="I115:I133" si="4">IF(A115&lt;&gt;0,(B115-(B114-D114))/(A115-A114),"")</f>
        <v>5.6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20</v>
      </c>
      <c r="B116" s="60">
        <v>84</v>
      </c>
      <c r="C116" s="50">
        <v>3</v>
      </c>
      <c r="D116" s="60">
        <v>9</v>
      </c>
      <c r="E116" s="51">
        <v>0</v>
      </c>
      <c r="F116" s="51">
        <v>0.1</v>
      </c>
      <c r="G116" s="51">
        <v>0.3</v>
      </c>
      <c r="H116" s="51">
        <v>0.6</v>
      </c>
      <c r="I116" s="53">
        <f t="shared" si="4"/>
        <v>10.199999999999999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25</v>
      </c>
      <c r="B117" s="60">
        <v>116</v>
      </c>
      <c r="C117" s="50">
        <v>4</v>
      </c>
      <c r="D117" s="60">
        <v>18</v>
      </c>
      <c r="E117" s="51">
        <v>0</v>
      </c>
      <c r="F117" s="51">
        <v>0.1</v>
      </c>
      <c r="G117" s="51">
        <v>0.3</v>
      </c>
      <c r="H117" s="51">
        <v>0.6</v>
      </c>
      <c r="I117" s="53">
        <f t="shared" si="4"/>
        <v>8.1999999999999993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30</v>
      </c>
      <c r="B118" s="60">
        <v>137</v>
      </c>
      <c r="C118" s="50">
        <v>5</v>
      </c>
      <c r="D118" s="60">
        <v>20</v>
      </c>
      <c r="E118" s="51">
        <v>0</v>
      </c>
      <c r="F118" s="51">
        <v>0.1</v>
      </c>
      <c r="G118" s="51">
        <v>0.3</v>
      </c>
      <c r="H118" s="51">
        <v>0.6</v>
      </c>
      <c r="I118" s="53">
        <f t="shared" si="4"/>
        <v>7.8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35</v>
      </c>
      <c r="B119" s="60">
        <v>153</v>
      </c>
      <c r="C119" s="50">
        <v>6</v>
      </c>
      <c r="D119" s="60">
        <v>21</v>
      </c>
      <c r="E119" s="51">
        <v>0</v>
      </c>
      <c r="F119" s="51">
        <v>0.1</v>
      </c>
      <c r="G119" s="51">
        <v>0.3</v>
      </c>
      <c r="H119" s="51">
        <v>0.6</v>
      </c>
      <c r="I119" s="53">
        <f t="shared" si="4"/>
        <v>7.2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40</v>
      </c>
      <c r="B120" s="60">
        <v>167</v>
      </c>
      <c r="C120" s="60">
        <v>7</v>
      </c>
      <c r="D120" s="60">
        <v>22</v>
      </c>
      <c r="E120" s="87">
        <v>0</v>
      </c>
      <c r="F120" s="87">
        <v>0.1</v>
      </c>
      <c r="G120" s="87">
        <v>0.3</v>
      </c>
      <c r="H120" s="87">
        <v>0.6</v>
      </c>
      <c r="I120" s="53">
        <f t="shared" si="4"/>
        <v>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45</v>
      </c>
      <c r="B121" s="60">
        <v>177</v>
      </c>
      <c r="C121" s="60">
        <v>8</v>
      </c>
      <c r="D121" s="60">
        <v>22</v>
      </c>
      <c r="E121" s="87">
        <v>0</v>
      </c>
      <c r="F121" s="87">
        <v>0.1</v>
      </c>
      <c r="G121" s="87">
        <v>0.3</v>
      </c>
      <c r="H121" s="87">
        <v>0.6</v>
      </c>
      <c r="I121" s="53">
        <f t="shared" si="4"/>
        <v>6.4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50</v>
      </c>
      <c r="B122" s="60">
        <v>184</v>
      </c>
      <c r="C122" s="60">
        <v>9</v>
      </c>
      <c r="D122" s="60">
        <v>21</v>
      </c>
      <c r="E122" s="87">
        <v>0</v>
      </c>
      <c r="F122" s="87">
        <v>0.3</v>
      </c>
      <c r="G122" s="87">
        <v>0.3</v>
      </c>
      <c r="H122" s="87">
        <v>0.4</v>
      </c>
      <c r="I122" s="53">
        <f t="shared" si="4"/>
        <v>5.8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55</v>
      </c>
      <c r="B123" s="60">
        <v>191</v>
      </c>
      <c r="C123" s="60">
        <v>10</v>
      </c>
      <c r="D123" s="60">
        <v>20</v>
      </c>
      <c r="E123" s="87">
        <v>0</v>
      </c>
      <c r="F123" s="87">
        <v>0.3</v>
      </c>
      <c r="G123" s="87">
        <v>0.3</v>
      </c>
      <c r="H123" s="87">
        <v>0.4</v>
      </c>
      <c r="I123" s="53">
        <f t="shared" si="4"/>
        <v>5.6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60</v>
      </c>
      <c r="B124" s="60">
        <v>196</v>
      </c>
      <c r="C124" s="60">
        <v>11</v>
      </c>
      <c r="D124" s="60">
        <v>19</v>
      </c>
      <c r="E124" s="87">
        <v>0</v>
      </c>
      <c r="F124" s="87">
        <v>0.3</v>
      </c>
      <c r="G124" s="87">
        <v>0.3</v>
      </c>
      <c r="H124" s="87">
        <v>0.4</v>
      </c>
      <c r="I124" s="53">
        <f t="shared" si="4"/>
        <v>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65</v>
      </c>
      <c r="B125" s="60">
        <v>201</v>
      </c>
      <c r="C125" s="60">
        <v>12</v>
      </c>
      <c r="D125" s="60">
        <v>18</v>
      </c>
      <c r="E125" s="87">
        <v>0</v>
      </c>
      <c r="F125" s="87">
        <v>0.3</v>
      </c>
      <c r="G125" s="87">
        <v>0.3</v>
      </c>
      <c r="H125" s="87">
        <v>0.4</v>
      </c>
      <c r="I125" s="53">
        <f t="shared" si="4"/>
        <v>4.8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70</v>
      </c>
      <c r="B126" s="60">
        <v>205</v>
      </c>
      <c r="C126" s="60">
        <v>13</v>
      </c>
      <c r="D126" s="60">
        <v>17</v>
      </c>
      <c r="E126" s="65">
        <v>0.1</v>
      </c>
      <c r="F126" s="65">
        <v>0.4</v>
      </c>
      <c r="G126" s="65">
        <v>0.3</v>
      </c>
      <c r="H126" s="65">
        <v>0.2</v>
      </c>
      <c r="I126" s="53">
        <f t="shared" si="4"/>
        <v>4.4000000000000004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75</v>
      </c>
      <c r="B127" s="60">
        <v>208</v>
      </c>
      <c r="C127" s="60">
        <v>14</v>
      </c>
      <c r="D127" s="60">
        <v>16</v>
      </c>
      <c r="E127" s="65">
        <v>0.1</v>
      </c>
      <c r="F127" s="65">
        <v>0.4</v>
      </c>
      <c r="G127" s="65">
        <v>0.3</v>
      </c>
      <c r="H127" s="65">
        <v>0.2</v>
      </c>
      <c r="I127" s="53">
        <f t="shared" si="4"/>
        <v>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80</v>
      </c>
      <c r="B128" s="50">
        <v>211</v>
      </c>
      <c r="C128" s="50">
        <v>15</v>
      </c>
      <c r="D128" s="50">
        <v>15</v>
      </c>
      <c r="E128" s="54">
        <v>0.1</v>
      </c>
      <c r="F128" s="54">
        <v>0.4</v>
      </c>
      <c r="G128" s="54">
        <v>0.3</v>
      </c>
      <c r="H128" s="54">
        <v>0.2</v>
      </c>
      <c r="I128" s="53">
        <f t="shared" si="4"/>
        <v>3.8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85</v>
      </c>
      <c r="B129" s="50">
        <v>214</v>
      </c>
      <c r="C129" s="50">
        <v>16</v>
      </c>
      <c r="D129" s="50">
        <v>14</v>
      </c>
      <c r="E129" s="54">
        <v>0.1</v>
      </c>
      <c r="F129" s="54">
        <v>0.4</v>
      </c>
      <c r="G129" s="54">
        <v>0.3</v>
      </c>
      <c r="H129" s="54">
        <v>0.2</v>
      </c>
      <c r="I129" s="53">
        <f t="shared" si="4"/>
        <v>3.6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90</v>
      </c>
      <c r="B130" s="50">
        <v>217</v>
      </c>
      <c r="C130" s="50">
        <v>17</v>
      </c>
      <c r="D130" s="50">
        <v>13</v>
      </c>
      <c r="E130" s="54">
        <v>0.1</v>
      </c>
      <c r="F130" s="54">
        <v>0.4</v>
      </c>
      <c r="G130" s="54">
        <v>0.3</v>
      </c>
      <c r="H130" s="54">
        <v>0.2</v>
      </c>
      <c r="I130" s="53">
        <f t="shared" si="4"/>
        <v>3.4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Merisier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15</v>
      </c>
      <c r="B140" s="60">
        <v>40</v>
      </c>
      <c r="C140" s="50">
        <v>1</v>
      </c>
      <c r="D140" s="60">
        <v>3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2.6666666666666665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20</v>
      </c>
      <c r="B141" s="60">
        <v>85</v>
      </c>
      <c r="C141" s="50">
        <v>2</v>
      </c>
      <c r="D141" s="60">
        <v>25</v>
      </c>
      <c r="E141" s="51">
        <v>0</v>
      </c>
      <c r="F141" s="51">
        <v>0.5</v>
      </c>
      <c r="G141" s="51">
        <v>0</v>
      </c>
      <c r="H141" s="51">
        <v>0.5</v>
      </c>
      <c r="I141" s="57">
        <f t="shared" ref="I141:I159" si="5">IF(A141&lt;&gt;0,(B141-(B140-D140))/(A141-A140),"")</f>
        <v>9.6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25</v>
      </c>
      <c r="B142" s="60">
        <v>113</v>
      </c>
      <c r="C142" s="50">
        <v>3</v>
      </c>
      <c r="D142" s="60">
        <v>27</v>
      </c>
      <c r="E142" s="51">
        <v>0</v>
      </c>
      <c r="F142" s="51">
        <v>0.5</v>
      </c>
      <c r="G142" s="51">
        <v>0</v>
      </c>
      <c r="H142" s="51">
        <v>0.5</v>
      </c>
      <c r="I142" s="57">
        <f t="shared" si="5"/>
        <v>10.6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31</v>
      </c>
      <c r="B143" s="60">
        <v>155</v>
      </c>
      <c r="C143" s="50">
        <v>4</v>
      </c>
      <c r="D143" s="60">
        <v>35</v>
      </c>
      <c r="E143" s="51">
        <v>0.3</v>
      </c>
      <c r="F143" s="51">
        <v>0.4</v>
      </c>
      <c r="G143" s="51">
        <v>0</v>
      </c>
      <c r="H143" s="51">
        <v>0.3</v>
      </c>
      <c r="I143" s="57">
        <f t="shared" si="5"/>
        <v>11.5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37</v>
      </c>
      <c r="B144" s="60">
        <v>188</v>
      </c>
      <c r="C144" s="50">
        <v>5</v>
      </c>
      <c r="D144" s="60">
        <v>36</v>
      </c>
      <c r="E144" s="51">
        <v>0.3</v>
      </c>
      <c r="F144" s="51">
        <v>0.4</v>
      </c>
      <c r="G144" s="51">
        <v>0</v>
      </c>
      <c r="H144" s="51">
        <v>0.3</v>
      </c>
      <c r="I144" s="57">
        <f t="shared" si="5"/>
        <v>11.333333333333334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44</v>
      </c>
      <c r="B145" s="60">
        <v>230</v>
      </c>
      <c r="C145" s="50">
        <v>6</v>
      </c>
      <c r="D145" s="60">
        <v>43</v>
      </c>
      <c r="E145" s="51">
        <v>0.4</v>
      </c>
      <c r="F145" s="51">
        <v>0.4</v>
      </c>
      <c r="G145" s="51">
        <v>0</v>
      </c>
      <c r="H145" s="51">
        <v>0.2</v>
      </c>
      <c r="I145" s="57">
        <f t="shared" si="5"/>
        <v>11.142857142857142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52</v>
      </c>
      <c r="B146" s="60">
        <v>270</v>
      </c>
      <c r="C146" s="50">
        <v>7</v>
      </c>
      <c r="D146" s="60">
        <v>49</v>
      </c>
      <c r="E146" s="51">
        <v>0.4</v>
      </c>
      <c r="F146" s="51">
        <v>0.4</v>
      </c>
      <c r="G146" s="51">
        <v>0</v>
      </c>
      <c r="H146" s="51">
        <v>0.2</v>
      </c>
      <c r="I146" s="57">
        <f t="shared" si="5"/>
        <v>10.375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60</v>
      </c>
      <c r="B147" s="60">
        <v>297</v>
      </c>
      <c r="C147" s="50">
        <v>8</v>
      </c>
      <c r="D147" s="60">
        <v>47</v>
      </c>
      <c r="E147" s="51">
        <v>0.5</v>
      </c>
      <c r="F147" s="51">
        <v>0.4</v>
      </c>
      <c r="G147" s="51">
        <v>0</v>
      </c>
      <c r="H147" s="51">
        <v>0.1</v>
      </c>
      <c r="I147" s="57">
        <f>IF(A147&lt;&gt;0,(B147-(B146-D146))/(A147-A146),"")</f>
        <v>9.5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69</v>
      </c>
      <c r="B148" s="60">
        <v>328</v>
      </c>
      <c r="C148" s="50" t="s">
        <v>325</v>
      </c>
      <c r="D148" s="60">
        <v>328</v>
      </c>
      <c r="E148" s="51">
        <v>0.5</v>
      </c>
      <c r="F148" s="51">
        <v>0.4</v>
      </c>
      <c r="G148" s="51">
        <v>0</v>
      </c>
      <c r="H148" s="51">
        <v>0.1</v>
      </c>
      <c r="I148" s="57">
        <f t="shared" si="5"/>
        <v>8.6666666666666661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Erable sycomore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15</v>
      </c>
      <c r="B166" s="60">
        <v>37</v>
      </c>
      <c r="C166" s="60">
        <v>1</v>
      </c>
      <c r="D166" s="60">
        <v>15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2.4666666666666668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20</v>
      </c>
      <c r="B167" s="60">
        <v>80</v>
      </c>
      <c r="C167" s="60">
        <v>2</v>
      </c>
      <c r="D167" s="60">
        <v>28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11.6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25</v>
      </c>
      <c r="B168" s="60">
        <v>115</v>
      </c>
      <c r="C168" s="60">
        <v>3</v>
      </c>
      <c r="D168" s="60">
        <v>28</v>
      </c>
      <c r="E168" s="51">
        <v>0</v>
      </c>
      <c r="F168" s="51">
        <v>7.0000000000000007E-2</v>
      </c>
      <c r="G168" s="51">
        <v>0</v>
      </c>
      <c r="H168" s="51">
        <v>0.93</v>
      </c>
      <c r="I168" s="49">
        <f t="shared" si="6"/>
        <v>12.6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30</v>
      </c>
      <c r="B169" s="60">
        <v>146</v>
      </c>
      <c r="C169" s="60">
        <v>4</v>
      </c>
      <c r="D169" s="60">
        <v>28</v>
      </c>
      <c r="E169" s="51">
        <v>0.04</v>
      </c>
      <c r="F169" s="51">
        <v>0.28999999999999998</v>
      </c>
      <c r="G169" s="51">
        <v>0</v>
      </c>
      <c r="H169" s="51">
        <v>0.68</v>
      </c>
      <c r="I169" s="49">
        <f t="shared" si="6"/>
        <v>11.8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35</v>
      </c>
      <c r="B170" s="60">
        <v>172</v>
      </c>
      <c r="C170" s="60">
        <v>5</v>
      </c>
      <c r="D170" s="60">
        <v>28</v>
      </c>
      <c r="E170" s="51">
        <v>0.18</v>
      </c>
      <c r="F170" s="51">
        <v>0.43</v>
      </c>
      <c r="G170" s="51">
        <v>0</v>
      </c>
      <c r="H170" s="51">
        <v>0.39</v>
      </c>
      <c r="I170" s="49">
        <f t="shared" si="6"/>
        <v>10.8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40</v>
      </c>
      <c r="B171" s="60">
        <v>192</v>
      </c>
      <c r="C171" s="60">
        <v>6</v>
      </c>
      <c r="D171" s="60">
        <v>28</v>
      </c>
      <c r="E171" s="51">
        <v>0.39</v>
      </c>
      <c r="F171" s="51">
        <v>0.39</v>
      </c>
      <c r="G171" s="51">
        <v>0</v>
      </c>
      <c r="H171" s="51">
        <v>0.21</v>
      </c>
      <c r="I171" s="49">
        <f t="shared" si="6"/>
        <v>9.6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45</v>
      </c>
      <c r="B172" s="60">
        <v>205</v>
      </c>
      <c r="C172" s="60">
        <v>7</v>
      </c>
      <c r="D172" s="60">
        <v>22</v>
      </c>
      <c r="E172" s="51">
        <v>0.59</v>
      </c>
      <c r="F172" s="51">
        <v>0.27</v>
      </c>
      <c r="G172" s="51">
        <v>0</v>
      </c>
      <c r="H172" s="51">
        <v>0.14000000000000001</v>
      </c>
      <c r="I172" s="49">
        <f t="shared" si="6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50</v>
      </c>
      <c r="B173" s="50">
        <v>219</v>
      </c>
      <c r="C173" s="50">
        <v>8</v>
      </c>
      <c r="D173" s="50">
        <v>17</v>
      </c>
      <c r="E173" s="51">
        <v>0.71</v>
      </c>
      <c r="F173" s="51">
        <v>0.18</v>
      </c>
      <c r="G173" s="51">
        <v>0</v>
      </c>
      <c r="H173" s="51">
        <v>0.12</v>
      </c>
      <c r="I173" s="49">
        <f t="shared" si="6"/>
        <v>7.2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55</v>
      </c>
      <c r="B174" s="50">
        <v>232</v>
      </c>
      <c r="C174" s="50">
        <v>9</v>
      </c>
      <c r="D174" s="50">
        <v>13</v>
      </c>
      <c r="E174" s="51">
        <v>0.77</v>
      </c>
      <c r="F174" s="51">
        <v>0.15</v>
      </c>
      <c r="G174" s="51">
        <v>0</v>
      </c>
      <c r="H174" s="51">
        <v>0.08</v>
      </c>
      <c r="I174" s="49">
        <f t="shared" si="6"/>
        <v>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60</v>
      </c>
      <c r="B175" s="50">
        <v>245</v>
      </c>
      <c r="C175" s="50">
        <v>10</v>
      </c>
      <c r="D175" s="50">
        <v>12</v>
      </c>
      <c r="E175" s="51">
        <v>0.83</v>
      </c>
      <c r="F175" s="51">
        <v>0.08</v>
      </c>
      <c r="G175" s="51">
        <v>0</v>
      </c>
      <c r="H175" s="51">
        <v>0.08</v>
      </c>
      <c r="I175" s="49">
        <f t="shared" si="6"/>
        <v>5.2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65</v>
      </c>
      <c r="B176" s="50">
        <v>255</v>
      </c>
      <c r="C176" s="50">
        <v>11</v>
      </c>
      <c r="D176" s="50">
        <v>11</v>
      </c>
      <c r="E176" s="51">
        <v>0.82</v>
      </c>
      <c r="F176" s="51">
        <v>0.09</v>
      </c>
      <c r="G176" s="51">
        <v>0</v>
      </c>
      <c r="H176" s="51">
        <v>0.09</v>
      </c>
      <c r="I176" s="49">
        <f t="shared" si="6"/>
        <v>4.4000000000000004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70</v>
      </c>
      <c r="B177" s="50">
        <v>263</v>
      </c>
      <c r="C177" s="50">
        <v>12</v>
      </c>
      <c r="D177" s="50">
        <v>10</v>
      </c>
      <c r="E177" s="51">
        <v>0.9</v>
      </c>
      <c r="F177" s="51">
        <v>0.1</v>
      </c>
      <c r="G177" s="51">
        <v>0</v>
      </c>
      <c r="H177" s="51">
        <v>0</v>
      </c>
      <c r="I177" s="49">
        <f t="shared" si="6"/>
        <v>3.8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75</v>
      </c>
      <c r="B178" s="50">
        <v>270</v>
      </c>
      <c r="C178" s="50">
        <v>13</v>
      </c>
      <c r="D178" s="50">
        <v>9</v>
      </c>
      <c r="E178" s="51">
        <v>0.89</v>
      </c>
      <c r="F178" s="51">
        <v>0.11</v>
      </c>
      <c r="G178" s="51">
        <v>0</v>
      </c>
      <c r="H178" s="51">
        <v>0</v>
      </c>
      <c r="I178" s="49">
        <f t="shared" si="6"/>
        <v>3.4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80</v>
      </c>
      <c r="B179" s="50">
        <v>275</v>
      </c>
      <c r="C179" s="50">
        <v>14</v>
      </c>
      <c r="D179" s="50">
        <v>8</v>
      </c>
      <c r="E179" s="51">
        <v>0.88</v>
      </c>
      <c r="F179" s="51">
        <v>0.13</v>
      </c>
      <c r="G179" s="51">
        <v>0</v>
      </c>
      <c r="H179" s="51">
        <v>0</v>
      </c>
      <c r="I179" s="49">
        <f t="shared" si="6"/>
        <v>2.8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Hêtre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Alisier torminal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Aulne glutineux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Merisier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Erable sycomore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384.05928630855732</v>
      </c>
      <c r="T3" s="59">
        <f>IF('Données projet'!E9&gt;30,$R$33-$H$33,LOOKUP('Données projet'!$E$9,$A$3:$A$203,R3:R203)-LOOKUP('Données projet'!$E$9,$A$3:$A$203,$H$3:$H$203))</f>
        <v>279.93992813630513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335.02113791949211</v>
      </c>
      <c r="AO3" s="59">
        <f>IF('Données projet'!E10&gt;30,$AM$33-$H$33,LOOKUP('Données projet'!$E$10,$A$3:$A$203,AM3:AM203)-LOOKUP('Données projet'!$E$10,$A$3:$A$203,$H$3:$H$203))</f>
        <v>222.06886429435099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366.51581861366333</v>
      </c>
      <c r="BJ3" s="59">
        <f>IF('Données projet'!E11&gt;30,$BH$33-$H$33,LOOKUP('Données projet'!$E$11,$A$3:$A$203,BH3:BH203)-LOOKUP('Données projet'!$E$11,$A$3:$A$203,$H$3:$H$203))</f>
        <v>225.01415116995503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230.58262378842818</v>
      </c>
      <c r="CE3" s="59">
        <f>IF('Données projet'!E12&gt;30,$CC$33-$H$33,LOOKUP('Données projet'!$E$12,$A$3:$A$203,CC3:CC203)-LOOKUP('Données projet'!$E$12,$A$3:$A$203,$H$3:$H$203))</f>
        <v>235.68746142880792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288.80569134263209</v>
      </c>
      <c r="CZ3" s="59">
        <f>IF('Données projet'!E13&gt;30,$CX$33-$H$33,LOOKUP('Données projet'!$E$13,$A$3:$A$203,CX3:CX203)-LOOKUP('Données projet'!$E$13,$A$3:$A$203,$H$3:$H$203))</f>
        <v>283.48738729114024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299.10536994156814</v>
      </c>
      <c r="DU3" s="59">
        <f>IF('Données projet'!E14&gt;30,$DS$33-$H$33,LOOKUP('Données projet'!$E$14,$A$3:$A$203,DS3:DS203)-LOOKUP('Données projet'!$E$14,$A$3:$A$203,$H$3:$H$203))</f>
        <v>292.57799203101769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>EXP(-1.0587+0.8836*LN(O4)+0.284)</f>
        <v>0.48595950732890802</v>
      </c>
      <c r="Q4" s="20">
        <f t="shared" ref="Q4:Q34" si="2">(O4+P4)*0.475*44/12</f>
        <v>2.6958578672528142</v>
      </c>
      <c r="R4" s="59">
        <f t="shared" si="0"/>
        <v>260.58474675614167</v>
      </c>
      <c r="S4" s="59">
        <f ca="1">AVERAGE(OFFSET($R$3,0,0,'Données projet'!$E$9+1,1))-AVERAGE(OFFSET($H$3,0,0,'Données projet'!$E$9+1,1))</f>
        <v>384.05928630855732</v>
      </c>
      <c r="T4" s="59">
        <f>$T$3</f>
        <v>279.93992813630513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3.2427350427350423</v>
      </c>
      <c r="AI4" s="13">
        <f>IF('Données projet'!$A$62&gt;35,AI3+AH4-AQ3,IF(A4&lt;'Données projet'!$A$62,$AF$205^A4,IF(A4='Données projet'!$A$62,'Données projet'!$B$62,AI3+AH4-AQ3)))</f>
        <v>1.1648439739929921</v>
      </c>
      <c r="AJ4" s="13">
        <f>AI4*VLOOKUP('Données projet'!$B$10,Paramètres!$A$1:$I$89,3,0)*VLOOKUP('Données projet'!$B$10,Paramètres!$A$1:$I$89,5,0)</f>
        <v>0.99943612968598727</v>
      </c>
      <c r="AK4" s="13">
        <f>EXP(-1.0587+0.8836*LN(AJ4)+0.284)</f>
        <v>0.46061239733700926</v>
      </c>
      <c r="AL4" s="20">
        <f t="shared" ref="AL4:AL67" si="4">(AJ4+AK4)*0.475*44/12</f>
        <v>2.542917851231719</v>
      </c>
      <c r="AM4" s="59">
        <f t="shared" ref="AM4:AM67" si="5">AL4+(AD4+AE4)*44/12</f>
        <v>260.43180674012058</v>
      </c>
      <c r="AN4" s="59">
        <f ca="1">AVERAGE(OFFSET($AM$3,0,0,'Données projet'!$E$10+1,1))-AVERAGE(OFFSET($H$3,0,0,'Données projet'!$E$10+1,1))</f>
        <v>335.02113791949211</v>
      </c>
      <c r="AO4" s="59">
        <f>$AO$3</f>
        <v>222.06886429435099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2.9235042735042733</v>
      </c>
      <c r="BD4" s="12">
        <f>IF('Données projet'!$A$88&gt;35,BD3+BC4-BL3,IF(A4&lt;'Données projet'!$A$88,$BA$205^A4,IF(A4='Données projet'!$A$88,'Données projet'!$B$88,BD3+BC4-BL3)))</f>
        <v>1.1608269964373037</v>
      </c>
      <c r="BE4" s="13">
        <f>BD4*VLOOKUP('Données projet'!$B$11,Paramètres!$A$1:$I$89,3,0)*VLOOKUP('Données projet'!$B$11,Paramètres!$A$1:$I$89,5,0)</f>
        <v>1.1227518709541602</v>
      </c>
      <c r="BF4" s="13">
        <f>EXP(-1.0587+0.8836*LN(BE4)+0.284)</f>
        <v>0.51048480496708748</v>
      </c>
      <c r="BG4" s="20">
        <f t="shared" ref="BG4:BG67" si="7">(BE4+BF4)*0.475*44/12</f>
        <v>2.8445538772295063</v>
      </c>
      <c r="BH4" s="59">
        <f t="shared" ref="BH4:BH67" si="8">BG4+(AY4+AZ4)*44/12</f>
        <v>260.73344276611834</v>
      </c>
      <c r="BI4" s="59">
        <f ca="1">AVERAGE(OFFSET($BH$3,0,0,'Données projet'!$E$11+1,1))-AVERAGE(OFFSET($H$3,0,0,'Données projet'!$E$11+1,1))</f>
        <v>366.51581861366333</v>
      </c>
      <c r="BJ4" s="59">
        <f>$BJ$3</f>
        <v>225.01415116995503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0.9</v>
      </c>
      <c r="BY4" s="12">
        <f>IF('Données projet'!$A$114&gt;35,BY3+BX4-CG3,IF(A4&lt;'Données projet'!$A$114,$BV$205^A4,IF(A4='Données projet'!$A$114,'Données projet'!$B$114,BY3+BX4-CG3)))</f>
        <v>1.2457309396155174</v>
      </c>
      <c r="BZ4" s="13">
        <f>BY4*VLOOKUP('Données projet'!$B$12,Paramètres!$A$1:$I$89,3,0)*VLOOKUP('Données projet'!$B$12,Paramètres!$A$1:$I$89,5,0)</f>
        <v>0.81620291163608694</v>
      </c>
      <c r="CA4" s="13">
        <f>EXP(-1.0587+0.8836*LN(BZ4)+0.284)</f>
        <v>0.38513847027569503</v>
      </c>
      <c r="CB4" s="20">
        <f t="shared" ref="CB4:CB67" si="10">(BZ4+CA4)*0.475*44/12</f>
        <v>2.0923362401630201</v>
      </c>
      <c r="CC4" s="59">
        <f t="shared" ref="CC4:CC67" si="11">CB4+(BT4+BU4)*44/12</f>
        <v>259.98122512905189</v>
      </c>
      <c r="CD4" s="59">
        <f ca="1">AVERAGE(OFFSET($CC$3,0,0,'Données projet'!$E$12+1,1))-AVERAGE(OFFSET($H$3,0,0,'Données projet'!$E$12+1,1))</f>
        <v>230.58262378842818</v>
      </c>
      <c r="CE4" s="59">
        <f>$CE$3</f>
        <v>235.68746142880792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2.6666666666666665</v>
      </c>
      <c r="CT4" s="12">
        <f>IF('Données projet'!$A$140&gt;35,CT3+CS4-DB3,IF(A4&lt;'Données projet'!$A$140,$CQ$205^A4,IF(A4='Données projet'!$A$140,'Données projet'!$B$140,CT3+CS4-DB3)))</f>
        <v>1.2788040393997409</v>
      </c>
      <c r="CU4" s="17">
        <f>CT4*VLOOKUP('Données projet'!$B$13,Paramètres!$A$1:$I$89,3,0)*VLOOKUP('Données projet'!$B$13,Paramètres!$A$1:$I$89,5,0)</f>
        <v>0.99746715073179792</v>
      </c>
      <c r="CV4" s="13">
        <f>EXP(-1.0587+0.8836*LN(CU4)+0.284)</f>
        <v>0.45981048445793882</v>
      </c>
      <c r="CW4" s="20">
        <f t="shared" ref="CW4:CW67" si="13">(CU4+CV4)*0.475*44/12</f>
        <v>2.5380918812887914</v>
      </c>
      <c r="CX4" s="59">
        <f t="shared" ref="CX4:CX67" si="14">CW4+(CO4+CP4)*44/12</f>
        <v>260.42698077017764</v>
      </c>
      <c r="CY4" s="59">
        <f ca="1">AVERAGE(OFFSET($CX$3,0,0,'Données projet'!$E$13+1,1))-AVERAGE(OFFSET($H$3,0,0,'Données projet'!$E$13+1,1))</f>
        <v>288.80569134263209</v>
      </c>
      <c r="CZ4" s="59">
        <f>$CZ$3</f>
        <v>283.48738729114024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2.4666666666666668</v>
      </c>
      <c r="DO4" s="12">
        <f>IF('Données projet'!$A$166&gt;35,DO3+DN4-DW3,IF(A4&lt;'Données projet'!$A$166,$DL$205^A4,IF(A4='Données projet'!$A$166,'Données projet'!$B$166,DO3+DN4-DW3)))</f>
        <v>1.2721747796233518</v>
      </c>
      <c r="DP4" s="17">
        <f>DO4*VLOOKUP('Données projet'!$B$14,Paramètres!$A$1:$I$89,3,0)*VLOOKUP('Données projet'!$B$14,Paramètres!$A$1:$I$89,5,0)</f>
        <v>1.0121422546683387</v>
      </c>
      <c r="DQ4" s="13">
        <f>EXP(-1.0587+0.8836*LN(DP4)+0.284)</f>
        <v>0.46578286063395047</v>
      </c>
      <c r="DR4" s="20">
        <f t="shared" ref="DR4:DR67" si="16">(DP4+DQ4)*0.475*44/12</f>
        <v>2.574052909151487</v>
      </c>
      <c r="DS4" s="59">
        <f t="shared" ref="DS4:DS67" si="17">DR4+(DJ4+DK4)*44/12</f>
        <v>260.46294179804033</v>
      </c>
      <c r="DT4" s="59">
        <f ca="1">AVERAGE(OFFSET($DS$3,0,0,'Données projet'!$E$14+1,1))-AVERAGE(OFFSET($H$3,0,0,'Données projet'!$E$14+1,1))</f>
        <v>299.10536994156814</v>
      </c>
      <c r="DU4" s="59">
        <f>$DU$3</f>
        <v>292.57799203101769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ref="P5:P68" si="33">EXP(-1.0587+0.8836*LN(O5)+0.284)</f>
        <v>0.55980687933617612</v>
      </c>
      <c r="Q5" s="20">
        <f t="shared" si="2"/>
        <v>3.1456024429294316</v>
      </c>
      <c r="R5" s="59">
        <f t="shared" si="0"/>
        <v>262.25671355404057</v>
      </c>
      <c r="S5" s="59">
        <f ca="1">AVERAGE(OFFSET($R$3,0,0,'Données projet'!$E$9+1,1))-AVERAGE(OFFSET($H$3,0,0,'Données projet'!$E$9+1,1))</f>
        <v>384.05928630855732</v>
      </c>
      <c r="T5" s="59">
        <f t="shared" ref="T5:T68" si="34">$T$3</f>
        <v>279.93992813630513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3.2427350427350423</v>
      </c>
      <c r="AI5" s="13">
        <f>IF('Données projet'!$A$62&gt;35,AI4+AH5-AQ4,IF(A5&lt;'Données projet'!$A$62,$AF$205^A5,IF(A5='Données projet'!$A$62,'Données projet'!$B$62,AI4+AH5-AQ4)))</f>
        <v>1.3568614837477866</v>
      </c>
      <c r="AJ5" s="13">
        <f>AI5*VLOOKUP('Données projet'!$B$10,Paramètres!$A$1:$I$89,3,0)*VLOOKUP('Données projet'!$B$10,Paramètres!$A$1:$I$89,5,0)</f>
        <v>1.1641871530556012</v>
      </c>
      <c r="AK5" s="13">
        <f t="shared" ref="AK5:AK68" si="35">EXP(-1.0587+0.8836*LN(AJ5)+0.284)</f>
        <v>0.52709611247107713</v>
      </c>
      <c r="AL5" s="20">
        <f t="shared" si="4"/>
        <v>2.9456516874589642</v>
      </c>
      <c r="AM5" s="59">
        <f t="shared" si="5"/>
        <v>262.05676279857011</v>
      </c>
      <c r="AN5" s="59">
        <f ca="1">AVERAGE(OFFSET($AM$3,0,0,'Données projet'!$E$10+1,1))-AVERAGE(OFFSET($H$3,0,0,'Données projet'!$E$10+1,1))</f>
        <v>335.02113791949211</v>
      </c>
      <c r="AO5" s="59">
        <f t="shared" ref="AO5:AO68" si="36">$AO$3</f>
        <v>222.06886429435099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2.9235042735042733</v>
      </c>
      <c r="BD5" s="12">
        <f>IF('Données projet'!$A$88&gt;35,BD4+BC5-BL4,IF(A5&lt;'Données projet'!$A$88,$BA$205^A5,IF(A5='Données projet'!$A$88,'Données projet'!$B$88,BD4+BC5-BL4)))</f>
        <v>1.3475193156576519</v>
      </c>
      <c r="BE5" s="13">
        <f>BD5*VLOOKUP('Données projet'!$B$11,Paramètres!$A$1:$I$89,3,0)*VLOOKUP('Données projet'!$B$11,Paramètres!$A$1:$I$89,5,0)</f>
        <v>1.303320682104081</v>
      </c>
      <c r="BF5" s="13">
        <f t="shared" ref="BF5:BF68" si="37">EXP(-1.0587+0.8836*LN(BE5)+0.284)</f>
        <v>0.5823866110713507</v>
      </c>
      <c r="BG5" s="20">
        <f t="shared" si="7"/>
        <v>3.284273535613877</v>
      </c>
      <c r="BH5" s="59">
        <f t="shared" si="8"/>
        <v>262.39538464672501</v>
      </c>
      <c r="BI5" s="59">
        <f ca="1">AVERAGE(OFFSET($BH$3,0,0,'Données projet'!$E$11+1,1))-AVERAGE(OFFSET($H$3,0,0,'Données projet'!$E$11+1,1))</f>
        <v>366.51581861366333</v>
      </c>
      <c r="BJ5" s="59">
        <f t="shared" ref="BJ5:BJ68" si="38">$BJ$3</f>
        <v>225.01415116995503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0.9</v>
      </c>
      <c r="BY5" s="12">
        <f>IF('Données projet'!$A$114&gt;35,BY4+BX5-CG4,IF(A5&lt;'Données projet'!$A$114,$BV$205^A5,IF(A5='Données projet'!$A$114,'Données projet'!$B$114,BY4+BX5-CG4)))</f>
        <v>1.5518455739153598</v>
      </c>
      <c r="BZ5" s="13">
        <f>BY5*VLOOKUP('Données projet'!$B$12,Paramètres!$A$1:$I$89,3,0)*VLOOKUP('Données projet'!$B$12,Paramètres!$A$1:$I$89,5,0)</f>
        <v>1.0167692200293437</v>
      </c>
      <c r="CA5" s="13">
        <f t="shared" ref="CA5:CA68" si="39">EXP(-1.0587+0.8836*LN(BZ5)+0.284)</f>
        <v>0.46766381619902025</v>
      </c>
      <c r="CB5" s="20">
        <f t="shared" si="10"/>
        <v>2.5853875380977338</v>
      </c>
      <c r="CC5" s="59">
        <f t="shared" si="11"/>
        <v>261.69649864920888</v>
      </c>
      <c r="CD5" s="59">
        <f ca="1">AVERAGE(OFFSET($CC$3,0,0,'Données projet'!$E$12+1,1))-AVERAGE(OFFSET($H$3,0,0,'Données projet'!$E$12+1,1))</f>
        <v>230.58262378842818</v>
      </c>
      <c r="CE5" s="59">
        <f t="shared" ref="CE5:CE68" si="40">$CE$3</f>
        <v>235.68746142880792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2.6666666666666665</v>
      </c>
      <c r="CT5" s="12">
        <f>IF('Données projet'!$A$140&gt;35,CT4+CS5-DB4,IF(A5&lt;'Données projet'!$A$140,$CQ$205^A5,IF(A5='Données projet'!$A$140,'Données projet'!$B$140,CT4+CS5-DB4)))</f>
        <v>1.6353397711850939</v>
      </c>
      <c r="CU5" s="17">
        <f>CT5*VLOOKUP('Données projet'!$B$13,Paramètres!$A$1:$I$89,3,0)*VLOOKUP('Données projet'!$B$13,Paramètres!$A$1:$I$89,5,0)</f>
        <v>1.2755650215243732</v>
      </c>
      <c r="CV5" s="13">
        <f t="shared" ref="CV5:CV68" si="41">EXP(-1.0587+0.8836*LN(CU5)+0.284)</f>
        <v>0.57141400910743001</v>
      </c>
      <c r="CW5" s="20">
        <f t="shared" si="13"/>
        <v>3.2168218116837237</v>
      </c>
      <c r="CX5" s="59">
        <f t="shared" si="14"/>
        <v>262.32793292279484</v>
      </c>
      <c r="CY5" s="59">
        <f ca="1">AVERAGE(OFFSET($CX$3,0,0,'Données projet'!$E$13+1,1))-AVERAGE(OFFSET($H$3,0,0,'Données projet'!$E$13+1,1))</f>
        <v>288.80569134263209</v>
      </c>
      <c r="CZ5" s="59">
        <f t="shared" ref="CZ5:CZ68" si="42">$CZ$3</f>
        <v>283.48738729114024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2.4666666666666668</v>
      </c>
      <c r="DO5" s="12">
        <f>IF('Données projet'!$A$166&gt;35,DO4+DN5-DW4,IF(A5&lt;'Données projet'!$A$166,$DL$205^A5,IF(A5='Données projet'!$A$166,'Données projet'!$B$166,DO4+DN5-DW4)))</f>
        <v>1.6184286699097237</v>
      </c>
      <c r="DP5" s="17">
        <f>DO5*VLOOKUP('Données projet'!$B$14,Paramètres!$A$1:$I$89,3,0)*VLOOKUP('Données projet'!$B$14,Paramètres!$A$1:$I$89,5,0)</f>
        <v>1.2876218497801761</v>
      </c>
      <c r="DQ5" s="13">
        <f t="shared" ref="DQ5:DQ68" si="43">EXP(-1.0587+0.8836*LN(DP5)+0.284)</f>
        <v>0.57618379541883336</v>
      </c>
      <c r="DR5" s="20">
        <f t="shared" si="16"/>
        <v>3.2461281653882743</v>
      </c>
      <c r="DS5" s="59">
        <f t="shared" si="17"/>
        <v>262.3572392764994</v>
      </c>
      <c r="DT5" s="59">
        <f ca="1">AVERAGE(OFFSET($DS$3,0,0,'Données projet'!$E$14+1,1))-AVERAGE(OFFSET($H$3,0,0,'Données projet'!$E$14+1,1))</f>
        <v>299.10536994156814</v>
      </c>
      <c r="DU5" s="59">
        <f t="shared" ref="DU5:DU68" si="44">$DU$3</f>
        <v>292.57799203101769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2"/>
        <v>3.6706496543126392</v>
      </c>
      <c r="R6" s="59">
        <f t="shared" si="0"/>
        <v>264.00398298764594</v>
      </c>
      <c r="S6" s="59">
        <f ca="1">AVERAGE(OFFSET($R$3,0,0,'Données projet'!$E$9+1,1))-AVERAGE(OFFSET($H$3,0,0,'Données projet'!$E$9+1,1))</f>
        <v>384.05928630855732</v>
      </c>
      <c r="T6" s="59">
        <f t="shared" si="34"/>
        <v>279.93992813630513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3.2427350427350423</v>
      </c>
      <c r="AI6" s="13">
        <f>IF('Données projet'!$A$62&gt;35,AI5+AH6-AQ5,IF(A6&lt;'Données projet'!$A$62,$AF$205^A6,IF(A6='Données projet'!$A$62,'Données projet'!$B$62,AI5+AH6-AQ5)))</f>
        <v>1.5805319228867993</v>
      </c>
      <c r="AJ6" s="13">
        <f>AI6*VLOOKUP('Données projet'!$B$10,Paramètres!$A$1:$I$89,3,0)*VLOOKUP('Données projet'!$B$10,Paramètres!$A$1:$I$89,5,0)</f>
        <v>1.3560963898368741</v>
      </c>
      <c r="AK6" s="13">
        <f t="shared" si="35"/>
        <v>0.60317593140865144</v>
      </c>
      <c r="AL6" s="20">
        <f t="shared" si="4"/>
        <v>3.412399292835957</v>
      </c>
      <c r="AM6" s="59">
        <f t="shared" si="5"/>
        <v>263.74573262616929</v>
      </c>
      <c r="AN6" s="59">
        <f ca="1">AVERAGE(OFFSET($AM$3,0,0,'Données projet'!$E$10+1,1))-AVERAGE(OFFSET($H$3,0,0,'Données projet'!$E$10+1,1))</f>
        <v>335.02113791949211</v>
      </c>
      <c r="AO6" s="59">
        <f t="shared" si="36"/>
        <v>222.06886429435099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2.9235042735042733</v>
      </c>
      <c r="BD6" s="12">
        <f>IF('Données projet'!$A$88&gt;35,BD5+BC6-BL5,IF(A6&lt;'Données projet'!$A$88,$BA$205^A6,IF(A6='Données projet'!$A$88,'Données projet'!$B$88,BD5+BC6-BL5)))</f>
        <v>1.5642367998361231</v>
      </c>
      <c r="BE6" s="13">
        <f>BD6*VLOOKUP('Données projet'!$B$11,Paramètres!$A$1:$I$89,3,0)*VLOOKUP('Données projet'!$B$11,Paramètres!$A$1:$I$89,5,0)</f>
        <v>1.5129298328014982</v>
      </c>
      <c r="BF6" s="13">
        <f t="shared" si="37"/>
        <v>0.66441578956897707</v>
      </c>
      <c r="BG6" s="20">
        <f t="shared" si="7"/>
        <v>3.7922102922952434</v>
      </c>
      <c r="BH6" s="59">
        <f t="shared" si="8"/>
        <v>264.12554362562855</v>
      </c>
      <c r="BI6" s="59">
        <f ca="1">AVERAGE(OFFSET($BH$3,0,0,'Données projet'!$E$11+1,1))-AVERAGE(OFFSET($H$3,0,0,'Données projet'!$E$11+1,1))</f>
        <v>366.51581861366333</v>
      </c>
      <c r="BJ6" s="59">
        <f t="shared" si="38"/>
        <v>225.01415116995503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0.9</v>
      </c>
      <c r="BY6" s="12">
        <f>IF('Données projet'!$A$114&gt;35,BY5+BX6-CG5,IF(A6&lt;'Données projet'!$A$114,$BV$205^A6,IF(A6='Données projet'!$A$114,'Données projet'!$B$114,BY5+BX6-CG5)))</f>
        <v>1.9331820449317632</v>
      </c>
      <c r="BZ6" s="13">
        <f>BY6*VLOOKUP('Données projet'!$B$12,Paramètres!$A$1:$I$89,3,0)*VLOOKUP('Données projet'!$B$12,Paramètres!$A$1:$I$89,5,0)</f>
        <v>1.2666208758392912</v>
      </c>
      <c r="CA6" s="13">
        <f t="shared" si="39"/>
        <v>0.56787223780909624</v>
      </c>
      <c r="CB6" s="20">
        <f t="shared" si="10"/>
        <v>3.1950755062709413</v>
      </c>
      <c r="CC6" s="59">
        <f t="shared" si="11"/>
        <v>263.52840883960425</v>
      </c>
      <c r="CD6" s="59">
        <f ca="1">AVERAGE(OFFSET($CC$3,0,0,'Données projet'!$E$12+1,1))-AVERAGE(OFFSET($H$3,0,0,'Données projet'!$E$12+1,1))</f>
        <v>230.58262378842818</v>
      </c>
      <c r="CE6" s="59">
        <f t="shared" si="40"/>
        <v>235.68746142880792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2.6666666666666665</v>
      </c>
      <c r="CT6" s="12">
        <f>IF('Données projet'!$A$140&gt;35,CT5+CS6-DB5,IF(A6&lt;'Données projet'!$A$140,$CQ$205^A6,IF(A6='Données projet'!$A$140,'Données projet'!$B$140,CT5+CS6-DB5)))</f>
        <v>2.0912791051825459</v>
      </c>
      <c r="CU6" s="17">
        <f>CT6*VLOOKUP('Données projet'!$B$13,Paramètres!$A$1:$I$89,3,0)*VLOOKUP('Données projet'!$B$13,Paramètres!$A$1:$I$89,5,0)</f>
        <v>1.6311977020423858</v>
      </c>
      <c r="CV6" s="13">
        <f t="shared" si="41"/>
        <v>0.71010553443370616</v>
      </c>
      <c r="CW6" s="20">
        <f t="shared" si="13"/>
        <v>4.0777698035291934</v>
      </c>
      <c r="CX6" s="59">
        <f t="shared" si="14"/>
        <v>264.41110313686249</v>
      </c>
      <c r="CY6" s="59">
        <f ca="1">AVERAGE(OFFSET($CX$3,0,0,'Données projet'!$E$13+1,1))-AVERAGE(OFFSET($H$3,0,0,'Données projet'!$E$13+1,1))</f>
        <v>288.80569134263209</v>
      </c>
      <c r="CZ6" s="59">
        <f t="shared" si="42"/>
        <v>283.48738729114024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2.4666666666666668</v>
      </c>
      <c r="DO6" s="12">
        <f>IF('Données projet'!$A$166&gt;35,DO5+DN6-DW5,IF(A6&lt;'Données projet'!$A$166,$DL$205^A6,IF(A6='Données projet'!$A$166,'Données projet'!$B$166,DO5+DN6-DW5)))</f>
        <v>2.0589241364785171</v>
      </c>
      <c r="DP6" s="17">
        <f>DO6*VLOOKUP('Données projet'!$B$14,Paramètres!$A$1:$I$89,3,0)*VLOOKUP('Données projet'!$B$14,Paramètres!$A$1:$I$89,5,0)</f>
        <v>1.6380800429823084</v>
      </c>
      <c r="DQ6" s="13">
        <f t="shared" si="43"/>
        <v>0.71275221602487127</v>
      </c>
      <c r="DR6" s="20">
        <f t="shared" si="16"/>
        <v>4.0943661844375043</v>
      </c>
      <c r="DS6" s="59">
        <f t="shared" si="17"/>
        <v>264.4276995177708</v>
      </c>
      <c r="DT6" s="59">
        <f ca="1">AVERAGE(OFFSET($DS$3,0,0,'Données projet'!$E$14+1,1))-AVERAGE(OFFSET($H$3,0,0,'Données projet'!$E$14+1,1))</f>
        <v>299.10536994156814</v>
      </c>
      <c r="DU6" s="59">
        <f t="shared" si="44"/>
        <v>292.57799203101769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2"/>
        <v>4.283650861728133</v>
      </c>
      <c r="R7" s="59">
        <f t="shared" si="0"/>
        <v>265.83920641728366</v>
      </c>
      <c r="S7" s="59">
        <f ca="1">AVERAGE(OFFSET($R$3,0,0,'Données projet'!$E$9+1,1))-AVERAGE(OFFSET($H$3,0,0,'Données projet'!$E$9+1,1))</f>
        <v>384.05928630855732</v>
      </c>
      <c r="T7" s="59">
        <f t="shared" si="34"/>
        <v>279.93992813630513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3.2427350427350423</v>
      </c>
      <c r="AI7" s="13">
        <f>IF('Données projet'!$A$62&gt;35,AI6+AH7-AQ6,IF(A7&lt;'Données projet'!$A$62,$AF$205^A7,IF(A7='Données projet'!$A$62,'Données projet'!$B$62,AI6+AH7-AQ6)))</f>
        <v>1.8410730860782449</v>
      </c>
      <c r="AJ7" s="13">
        <f>AI7*VLOOKUP('Données projet'!$B$10,Paramètres!$A$1:$I$89,3,0)*VLOOKUP('Données projet'!$B$10,Paramètres!$A$1:$I$89,5,0)</f>
        <v>1.5796407078551344</v>
      </c>
      <c r="AK7" s="13">
        <f t="shared" si="35"/>
        <v>0.69023693330816926</v>
      </c>
      <c r="AL7" s="20">
        <f t="shared" si="4"/>
        <v>3.9533702250260876</v>
      </c>
      <c r="AM7" s="59">
        <f t="shared" si="5"/>
        <v>265.50892578058165</v>
      </c>
      <c r="AN7" s="59">
        <f ca="1">AVERAGE(OFFSET($AM$3,0,0,'Données projet'!$E$10+1,1))-AVERAGE(OFFSET($H$3,0,0,'Données projet'!$E$10+1,1))</f>
        <v>335.02113791949211</v>
      </c>
      <c r="AO7" s="59">
        <f t="shared" si="36"/>
        <v>222.06886429435099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2.9235042735042733</v>
      </c>
      <c r="BD7" s="12">
        <f>IF('Données projet'!$A$88&gt;35,BD6+BC7-BL6,IF(A7&lt;'Données projet'!$A$88,$BA$205^A7,IF(A7='Données projet'!$A$88,'Données projet'!$B$88,BD6+BC7-BL6)))</f>
        <v>1.8158083060704666</v>
      </c>
      <c r="BE7" s="13">
        <f>BD7*VLOOKUP('Données projet'!$B$11,Paramètres!$A$1:$I$89,3,0)*VLOOKUP('Données projet'!$B$11,Paramètres!$A$1:$I$89,5,0)</f>
        <v>1.7562497936313552</v>
      </c>
      <c r="BF7" s="13">
        <f t="shared" si="37"/>
        <v>0.75799878128462583</v>
      </c>
      <c r="BG7" s="20">
        <f t="shared" si="7"/>
        <v>4.3789829346453333</v>
      </c>
      <c r="BH7" s="59">
        <f t="shared" si="8"/>
        <v>265.93453849020085</v>
      </c>
      <c r="BI7" s="59">
        <f ca="1">AVERAGE(OFFSET($BH$3,0,0,'Données projet'!$E$11+1,1))-AVERAGE(OFFSET($H$3,0,0,'Données projet'!$E$11+1,1))</f>
        <v>366.51581861366333</v>
      </c>
      <c r="BJ7" s="59">
        <f t="shared" si="38"/>
        <v>225.01415116995503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0.9</v>
      </c>
      <c r="BY7" s="12">
        <f>IF('Données projet'!$A$114&gt;35,BY6+BX7-CG6,IF(A7&lt;'Données projet'!$A$114,$BV$205^A7,IF(A7='Données projet'!$A$114,'Données projet'!$B$114,BY6+BX7-CG6)))</f>
        <v>2.4082246852806923</v>
      </c>
      <c r="BZ7" s="13">
        <f>BY7*VLOOKUP('Données projet'!$B$12,Paramètres!$A$1:$I$89,3,0)*VLOOKUP('Données projet'!$B$12,Paramètres!$A$1:$I$89,5,0)</f>
        <v>1.5778688137959096</v>
      </c>
      <c r="CA7" s="13">
        <f t="shared" si="39"/>
        <v>0.68955276697540291</v>
      </c>
      <c r="CB7" s="20">
        <f t="shared" si="10"/>
        <v>3.9490925865100355</v>
      </c>
      <c r="CC7" s="59">
        <f t="shared" si="11"/>
        <v>265.50464814206561</v>
      </c>
      <c r="CD7" s="59">
        <f ca="1">AVERAGE(OFFSET($CC$3,0,0,'Données projet'!$E$12+1,1))-AVERAGE(OFFSET($H$3,0,0,'Données projet'!$E$12+1,1))</f>
        <v>230.58262378842818</v>
      </c>
      <c r="CE7" s="59">
        <f t="shared" si="40"/>
        <v>235.68746142880792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2.6666666666666665</v>
      </c>
      <c r="CT7" s="12">
        <f>IF('Données projet'!$A$140&gt;35,CT6+CS7-DB6,IF(A7&lt;'Données projet'!$A$140,$CQ$205^A7,IF(A7='Données projet'!$A$140,'Données projet'!$B$140,CT6+CS7-DB6)))</f>
        <v>2.6743361672197152</v>
      </c>
      <c r="CU7" s="17">
        <f>CT7*VLOOKUP('Données projet'!$B$13,Paramètres!$A$1:$I$89,3,0)*VLOOKUP('Données projet'!$B$13,Paramètres!$A$1:$I$89,5,0)</f>
        <v>2.0859822104313781</v>
      </c>
      <c r="CV7" s="13">
        <f t="shared" si="41"/>
        <v>0.88245976121767966</v>
      </c>
      <c r="CW7" s="20">
        <f t="shared" si="13"/>
        <v>5.1700364339554419</v>
      </c>
      <c r="CX7" s="59">
        <f t="shared" si="14"/>
        <v>266.72559198951097</v>
      </c>
      <c r="CY7" s="59">
        <f ca="1">AVERAGE(OFFSET($CX$3,0,0,'Données projet'!$E$13+1,1))-AVERAGE(OFFSET($H$3,0,0,'Données projet'!$E$13+1,1))</f>
        <v>288.80569134263209</v>
      </c>
      <c r="CZ7" s="59">
        <f t="shared" si="42"/>
        <v>283.48738729114024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2.4666666666666668</v>
      </c>
      <c r="DO7" s="12">
        <f>IF('Données projet'!$A$166&gt;35,DO6+DN7-DW6,IF(A7&lt;'Données projet'!$A$166,$DL$205^A7,IF(A7='Données projet'!$A$166,'Données projet'!$B$166,DO6+DN7-DW6)))</f>
        <v>2.6193113595857573</v>
      </c>
      <c r="DP7" s="17">
        <f>DO7*VLOOKUP('Données projet'!$B$14,Paramètres!$A$1:$I$89,3,0)*VLOOKUP('Données projet'!$B$14,Paramètres!$A$1:$I$89,5,0)</f>
        <v>2.0839241176864287</v>
      </c>
      <c r="DQ7" s="13">
        <f t="shared" si="43"/>
        <v>0.88169040068036508</v>
      </c>
      <c r="DR7" s="20">
        <f t="shared" si="16"/>
        <v>5.1651119528221656</v>
      </c>
      <c r="DS7" s="59">
        <f t="shared" si="17"/>
        <v>266.72066750837769</v>
      </c>
      <c r="DT7" s="59">
        <f ca="1">AVERAGE(OFFSET($DS$3,0,0,'Données projet'!$E$14+1,1))-AVERAGE(OFFSET($H$3,0,0,'Données projet'!$E$14+1,1))</f>
        <v>299.10536994156814</v>
      </c>
      <c r="DU7" s="59">
        <f t="shared" si="44"/>
        <v>292.57799203101769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2"/>
        <v>4.999389736367446</v>
      </c>
      <c r="R8" s="59">
        <f t="shared" si="0"/>
        <v>267.77716751414522</v>
      </c>
      <c r="S8" s="59">
        <f ca="1">AVERAGE(OFFSET($R$3,0,0,'Données projet'!$E$9+1,1))-AVERAGE(OFFSET($H$3,0,0,'Données projet'!$E$9+1,1))</f>
        <v>384.05928630855732</v>
      </c>
      <c r="T8" s="59">
        <f t="shared" si="34"/>
        <v>279.93992813630513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3.2427350427350423</v>
      </c>
      <c r="AI8" s="13">
        <f>IF('Données projet'!$A$62&gt;35,AI7+AH8-AQ7,IF(A8&lt;'Données projet'!$A$62,$AF$205^A8,IF(A8='Données projet'!$A$62,'Données projet'!$B$62,AI7+AH8-AQ7)))</f>
        <v>2.1445628899989249</v>
      </c>
      <c r="AJ8" s="13">
        <f>AI8*VLOOKUP('Données projet'!$B$10,Paramètres!$A$1:$I$89,3,0)*VLOOKUP('Données projet'!$B$10,Paramètres!$A$1:$I$89,5,0)</f>
        <v>1.8400349596190777</v>
      </c>
      <c r="AK8" s="13">
        <f t="shared" si="35"/>
        <v>0.78986411641131449</v>
      </c>
      <c r="AL8" s="20">
        <f t="shared" si="4"/>
        <v>4.5804075574196004</v>
      </c>
      <c r="AM8" s="59">
        <f t="shared" si="5"/>
        <v>267.35818533519739</v>
      </c>
      <c r="AN8" s="59">
        <f ca="1">AVERAGE(OFFSET($AM$3,0,0,'Données projet'!$E$10+1,1))-AVERAGE(OFFSET($H$3,0,0,'Données projet'!$E$10+1,1))</f>
        <v>335.02113791949211</v>
      </c>
      <c r="AO8" s="59">
        <f t="shared" si="36"/>
        <v>222.06886429435099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2.9235042735042733</v>
      </c>
      <c r="BD8" s="12">
        <f>IF('Données projet'!$A$88&gt;35,BD7+BC8-BL7,IF(A8&lt;'Données projet'!$A$88,$BA$205^A8,IF(A8='Données projet'!$A$88,'Données projet'!$B$88,BD7+BC8-BL7)))</f>
        <v>2.1078393020416879</v>
      </c>
      <c r="BE8" s="13">
        <f>BD8*VLOOKUP('Données projet'!$B$11,Paramètres!$A$1:$I$89,3,0)*VLOOKUP('Données projet'!$B$11,Paramètres!$A$1:$I$89,5,0)</f>
        <v>2.0387021729347206</v>
      </c>
      <c r="BF8" s="13">
        <f t="shared" si="37"/>
        <v>0.86476294129269682</v>
      </c>
      <c r="BG8" s="20">
        <f t="shared" si="7"/>
        <v>5.0568684072794188</v>
      </c>
      <c r="BH8" s="59">
        <f t="shared" si="8"/>
        <v>267.83464618505718</v>
      </c>
      <c r="BI8" s="59">
        <f ca="1">AVERAGE(OFFSET($BH$3,0,0,'Données projet'!$E$11+1,1))-AVERAGE(OFFSET($H$3,0,0,'Données projet'!$E$11+1,1))</f>
        <v>366.51581861366333</v>
      </c>
      <c r="BJ8" s="59">
        <f t="shared" si="38"/>
        <v>225.01415116995503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0.9</v>
      </c>
      <c r="BY8" s="12">
        <f>IF('Données projet'!$A$114&gt;35,BY7+BX8-CG7,IF(A8&lt;'Données projet'!$A$114,$BV$205^A8,IF(A8='Données projet'!$A$114,'Données projet'!$B$114,BY7+BX8-CG7)))</f>
        <v>3.0000000000000004</v>
      </c>
      <c r="BZ8" s="13">
        <f>BY8*VLOOKUP('Données projet'!$B$12,Paramètres!$A$1:$I$89,3,0)*VLOOKUP('Données projet'!$B$12,Paramètres!$A$1:$I$89,5,0)</f>
        <v>1.9656000000000005</v>
      </c>
      <c r="CA8" s="13">
        <f t="shared" si="39"/>
        <v>0.83730632840564978</v>
      </c>
      <c r="CB8" s="20">
        <f t="shared" si="10"/>
        <v>4.8817285219731739</v>
      </c>
      <c r="CC8" s="59">
        <f t="shared" si="11"/>
        <v>267.65950629975094</v>
      </c>
      <c r="CD8" s="59">
        <f ca="1">AVERAGE(OFFSET($CC$3,0,0,'Données projet'!$E$12+1,1))-AVERAGE(OFFSET($H$3,0,0,'Données projet'!$E$12+1,1))</f>
        <v>230.58262378842818</v>
      </c>
      <c r="CE8" s="59">
        <f t="shared" si="40"/>
        <v>235.68746142880792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2.6666666666666665</v>
      </c>
      <c r="CT8" s="12">
        <f>IF('Données projet'!$A$140&gt;35,CT7+CS8-DB7,IF(A8&lt;'Données projet'!$A$140,$CQ$205^A8,IF(A8='Données projet'!$A$140,'Données projet'!$B$140,CT7+CS8-DB7)))</f>
        <v>3.4199518933533928</v>
      </c>
      <c r="CU8" s="17">
        <f>CT8*VLOOKUP('Données projet'!$B$13,Paramètres!$A$1:$I$89,3,0)*VLOOKUP('Données projet'!$B$13,Paramètres!$A$1:$I$89,5,0)</f>
        <v>2.6675624768156463</v>
      </c>
      <c r="CV8" s="13">
        <f t="shared" si="41"/>
        <v>1.0966471776471767</v>
      </c>
      <c r="CW8" s="20">
        <f t="shared" si="13"/>
        <v>6.5559984815227494</v>
      </c>
      <c r="CX8" s="59">
        <f t="shared" si="14"/>
        <v>269.33377625930052</v>
      </c>
      <c r="CY8" s="59">
        <f ca="1">AVERAGE(OFFSET($CX$3,0,0,'Données projet'!$E$13+1,1))-AVERAGE(OFFSET($H$3,0,0,'Données projet'!$E$13+1,1))</f>
        <v>288.80569134263209</v>
      </c>
      <c r="CZ8" s="59">
        <f t="shared" si="42"/>
        <v>283.48738729114024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2.4666666666666668</v>
      </c>
      <c r="DO8" s="12">
        <f>IF('Données projet'!$A$166&gt;35,DO7+DN8-DW7,IF(A8&lt;'Données projet'!$A$166,$DL$205^A8,IF(A8='Données projet'!$A$166,'Données projet'!$B$166,DO7+DN8-DW7)))</f>
        <v>3.332221851645953</v>
      </c>
      <c r="DP8" s="17">
        <f>DO8*VLOOKUP('Données projet'!$B$14,Paramètres!$A$1:$I$89,3,0)*VLOOKUP('Données projet'!$B$14,Paramètres!$A$1:$I$89,5,0)</f>
        <v>2.6511157051695204</v>
      </c>
      <c r="DQ8" s="13">
        <f t="shared" si="43"/>
        <v>1.0906707059957799</v>
      </c>
      <c r="DR8" s="20">
        <f t="shared" si="16"/>
        <v>6.5169446661128978</v>
      </c>
      <c r="DS8" s="59">
        <f t="shared" si="17"/>
        <v>269.29472244389069</v>
      </c>
      <c r="DT8" s="59">
        <f ca="1">AVERAGE(OFFSET($DS$3,0,0,'Données projet'!$E$14+1,1))-AVERAGE(OFFSET($H$3,0,0,'Données projet'!$E$14+1,1))</f>
        <v>299.10536994156814</v>
      </c>
      <c r="DU8" s="59">
        <f t="shared" si="44"/>
        <v>292.57799203101769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2"/>
        <v>5.8351427156981037</v>
      </c>
      <c r="R9" s="59">
        <f t="shared" si="0"/>
        <v>269.83514271569811</v>
      </c>
      <c r="S9" s="59">
        <f ca="1">AVERAGE(OFFSET($R$3,0,0,'Données projet'!$E$9+1,1))-AVERAGE(OFFSET($H$3,0,0,'Données projet'!$E$9+1,1))</f>
        <v>384.05928630855732</v>
      </c>
      <c r="T9" s="59">
        <f t="shared" si="34"/>
        <v>279.93992813630513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3.2427350427350423</v>
      </c>
      <c r="AI9" s="13">
        <f>IF('Données projet'!$A$62&gt;35,AI8+AH9-AQ8,IF(A9&lt;'Données projet'!$A$62,$AF$205^A9,IF(A9='Données projet'!$A$62,'Données projet'!$B$62,AI8+AH9-AQ8)))</f>
        <v>2.498081159264244</v>
      </c>
      <c r="AJ9" s="13">
        <f>AI9*VLOOKUP('Données projet'!$B$10,Paramètres!$A$1:$I$89,3,0)*VLOOKUP('Données projet'!$B$10,Paramètres!$A$1:$I$89,5,0)</f>
        <v>2.1433536346487219</v>
      </c>
      <c r="AK9" s="13">
        <f t="shared" si="35"/>
        <v>0.9038712538954814</v>
      </c>
      <c r="AL9" s="20">
        <f t="shared" si="4"/>
        <v>5.3072500142144872</v>
      </c>
      <c r="AM9" s="59">
        <f t="shared" si="5"/>
        <v>269.3072500142145</v>
      </c>
      <c r="AN9" s="59">
        <f ca="1">AVERAGE(OFFSET($AM$3,0,0,'Données projet'!$E$10+1,1))-AVERAGE(OFFSET($H$3,0,0,'Données projet'!$E$10+1,1))</f>
        <v>335.02113791949211</v>
      </c>
      <c r="AO9" s="59">
        <f t="shared" si="36"/>
        <v>222.06886429435099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2.9235042735042733</v>
      </c>
      <c r="BD9" s="12">
        <f>IF('Données projet'!$A$88&gt;35,BD8+BC9-BL8,IF(A9&lt;'Données projet'!$A$88,$BA$205^A9,IF(A9='Données projet'!$A$88,'Données projet'!$B$88,BD8+BC9-BL8)))</f>
        <v>2.4468367659615553</v>
      </c>
      <c r="BE9" s="13">
        <f>BD9*VLOOKUP('Données projet'!$B$11,Paramètres!$A$1:$I$89,3,0)*VLOOKUP('Données projet'!$B$11,Paramètres!$A$1:$I$89,5,0)</f>
        <v>2.3665805200380166</v>
      </c>
      <c r="BF9" s="13">
        <f t="shared" si="37"/>
        <v>0.9865648376977989</v>
      </c>
      <c r="BG9" s="20">
        <f t="shared" si="7"/>
        <v>5.8400614980565448</v>
      </c>
      <c r="BH9" s="59">
        <f t="shared" si="8"/>
        <v>269.84006149805657</v>
      </c>
      <c r="BI9" s="59">
        <f ca="1">AVERAGE(OFFSET($BH$3,0,0,'Données projet'!$E$11+1,1))-AVERAGE(OFFSET($H$3,0,0,'Données projet'!$E$11+1,1))</f>
        <v>366.51581861366333</v>
      </c>
      <c r="BJ9" s="59">
        <f t="shared" si="38"/>
        <v>225.01415116995503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0.9</v>
      </c>
      <c r="BY9" s="12">
        <f>IF('Données projet'!$A$114&gt;35,BY8+BX9-CG8,IF(A9&lt;'Données projet'!$A$114,$BV$205^A9,IF(A9='Données projet'!$A$114,'Données projet'!$B$114,BY8+BX9-CG8)))</f>
        <v>3.7371928188465526</v>
      </c>
      <c r="BZ9" s="13">
        <f>BY9*VLOOKUP('Données projet'!$B$12,Paramètres!$A$1:$I$89,3,0)*VLOOKUP('Données projet'!$B$12,Paramètres!$A$1:$I$89,5,0)</f>
        <v>2.448608734908261</v>
      </c>
      <c r="CA9" s="13">
        <f t="shared" si="39"/>
        <v>1.0167197075625076</v>
      </c>
      <c r="CB9" s="20">
        <f t="shared" si="10"/>
        <v>6.035447037303256</v>
      </c>
      <c r="CC9" s="59">
        <f t="shared" si="11"/>
        <v>270.03544703730324</v>
      </c>
      <c r="CD9" s="59">
        <f ca="1">AVERAGE(OFFSET($CC$3,0,0,'Données projet'!$E$12+1,1))-AVERAGE(OFFSET($H$3,0,0,'Données projet'!$E$12+1,1))</f>
        <v>230.58262378842818</v>
      </c>
      <c r="CE9" s="59">
        <f t="shared" si="40"/>
        <v>235.68746142880792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2.6666666666666665</v>
      </c>
      <c r="CT9" s="12">
        <f>IF('Données projet'!$A$140&gt;35,CT8+CS9-DB8,IF(A9&lt;'Données projet'!$A$140,$CQ$205^A9,IF(A9='Données projet'!$A$140,'Données projet'!$B$140,CT8+CS9-DB8)))</f>
        <v>4.3734482957731098</v>
      </c>
      <c r="CU9" s="17">
        <f>CT9*VLOOKUP('Données projet'!$B$13,Paramètres!$A$1:$I$89,3,0)*VLOOKUP('Données projet'!$B$13,Paramètres!$A$1:$I$89,5,0)</f>
        <v>3.4112896707030256</v>
      </c>
      <c r="CV9" s="13">
        <f t="shared" si="41"/>
        <v>1.3628213830192535</v>
      </c>
      <c r="CW9" s="20">
        <f t="shared" si="13"/>
        <v>8.3149100852329703</v>
      </c>
      <c r="CX9" s="59">
        <f t="shared" si="14"/>
        <v>272.31491008523295</v>
      </c>
      <c r="CY9" s="59">
        <f ca="1">AVERAGE(OFFSET($CX$3,0,0,'Données projet'!$E$13+1,1))-AVERAGE(OFFSET($H$3,0,0,'Données projet'!$E$13+1,1))</f>
        <v>288.80569134263209</v>
      </c>
      <c r="CZ9" s="59">
        <f t="shared" si="42"/>
        <v>283.48738729114024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2.4666666666666668</v>
      </c>
      <c r="DO9" s="12">
        <f>IF('Données projet'!$A$166&gt;35,DO8+DN9-DW8,IF(A9&lt;'Données projet'!$A$166,$DL$205^A9,IF(A9='Données projet'!$A$166,'Données projet'!$B$166,DO8+DN9-DW8)))</f>
        <v>4.2391685997738069</v>
      </c>
      <c r="DP9" s="17">
        <f>DO9*VLOOKUP('Données projet'!$B$14,Paramètres!$A$1:$I$89,3,0)*VLOOKUP('Données projet'!$B$14,Paramètres!$A$1:$I$89,5,0)</f>
        <v>3.3726825379800407</v>
      </c>
      <c r="DQ9" s="13">
        <f t="shared" si="43"/>
        <v>1.3491840083541735</v>
      </c>
      <c r="DR9" s="20">
        <f t="shared" si="16"/>
        <v>8.2239175681987557</v>
      </c>
      <c r="DS9" s="59">
        <f t="shared" si="17"/>
        <v>272.22391756819877</v>
      </c>
      <c r="DT9" s="59">
        <f ca="1">AVERAGE(OFFSET($DS$3,0,0,'Données projet'!$E$14+1,1))-AVERAGE(OFFSET($H$3,0,0,'Données projet'!$E$14+1,1))</f>
        <v>299.10536994156814</v>
      </c>
      <c r="DU9" s="59">
        <f t="shared" si="44"/>
        <v>292.57799203101769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2"/>
        <v>6.811100558946122</v>
      </c>
      <c r="R10" s="59">
        <f t="shared" si="0"/>
        <v>272.03332278116835</v>
      </c>
      <c r="S10" s="59">
        <f ca="1">AVERAGE(OFFSET($R$3,0,0,'Données projet'!$E$9+1,1))-AVERAGE(OFFSET($H$3,0,0,'Données projet'!$E$9+1,1))</f>
        <v>384.05928630855732</v>
      </c>
      <c r="T10" s="59">
        <f t="shared" si="34"/>
        <v>279.93992813630513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3.2427350427350423</v>
      </c>
      <c r="AI10" s="13">
        <f>IF('Données projet'!$A$62&gt;35,AI9+AH10-AQ9,IF(A10&lt;'Données projet'!$A$62,$AF$205^A10,IF(A10='Données projet'!$A$62,'Données projet'!$B$62,AI9+AH10-AQ9)))</f>
        <v>2.9098747849143822</v>
      </c>
      <c r="AJ10" s="13">
        <f>AI10*VLOOKUP('Données projet'!$B$10,Paramètres!$A$1:$I$89,3,0)*VLOOKUP('Données projet'!$B$10,Paramètres!$A$1:$I$89,5,0)</f>
        <v>2.49667256545654</v>
      </c>
      <c r="AK10" s="13">
        <f t="shared" si="35"/>
        <v>1.03433391471243</v>
      </c>
      <c r="AL10" s="20">
        <f t="shared" si="4"/>
        <v>6.1498362862942892</v>
      </c>
      <c r="AM10" s="59">
        <f t="shared" si="5"/>
        <v>271.37205850851655</v>
      </c>
      <c r="AN10" s="59">
        <f ca="1">AVERAGE(OFFSET($AM$3,0,0,'Données projet'!$E$10+1,1))-AVERAGE(OFFSET($H$3,0,0,'Données projet'!$E$10+1,1))</f>
        <v>335.02113791949211</v>
      </c>
      <c r="AO10" s="59">
        <f t="shared" si="36"/>
        <v>222.06886429435099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2.9235042735042733</v>
      </c>
      <c r="BD10" s="12">
        <f>IF('Données projet'!$A$88&gt;35,BD9+BC10-BL9,IF(A10&lt;'Données projet'!$A$88,$BA$205^A10,IF(A10='Données projet'!$A$88,'Données projet'!$B$88,BD9+BC10-BL9)))</f>
        <v>2.8403541738035183</v>
      </c>
      <c r="BE10" s="13">
        <f>BD10*VLOOKUP('Données projet'!$B$11,Paramètres!$A$1:$I$89,3,0)*VLOOKUP('Données projet'!$B$11,Paramètres!$A$1:$I$89,5,0)</f>
        <v>2.7471905569027628</v>
      </c>
      <c r="BF10" s="13">
        <f t="shared" si="37"/>
        <v>1.1255225362996297</v>
      </c>
      <c r="BG10" s="20">
        <f t="shared" si="7"/>
        <v>6.7449753039941669</v>
      </c>
      <c r="BH10" s="59">
        <f t="shared" si="8"/>
        <v>271.96719752621641</v>
      </c>
      <c r="BI10" s="59">
        <f ca="1">AVERAGE(OFFSET($BH$3,0,0,'Données projet'!$E$11+1,1))-AVERAGE(OFFSET($H$3,0,0,'Données projet'!$E$11+1,1))</f>
        <v>366.51581861366333</v>
      </c>
      <c r="BJ10" s="59">
        <f t="shared" si="38"/>
        <v>225.01415116995503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0.9</v>
      </c>
      <c r="BY10" s="12">
        <f>IF('Données projet'!$A$114&gt;35,BY9+BX10-CG9,IF(A10&lt;'Données projet'!$A$114,$BV$205^A10,IF(A10='Données projet'!$A$114,'Données projet'!$B$114,BY9+BX10-CG9)))</f>
        <v>4.6555367217460804</v>
      </c>
      <c r="BZ10" s="13">
        <f>BY10*VLOOKUP('Données projet'!$B$12,Paramètres!$A$1:$I$89,3,0)*VLOOKUP('Données projet'!$B$12,Paramètres!$A$1:$I$89,5,0)</f>
        <v>3.0503076600880319</v>
      </c>
      <c r="CA10" s="13">
        <f t="shared" si="39"/>
        <v>1.2345767954654534</v>
      </c>
      <c r="CB10" s="20">
        <f t="shared" si="10"/>
        <v>7.4628404267556538</v>
      </c>
      <c r="CC10" s="59">
        <f t="shared" si="11"/>
        <v>272.68506264897786</v>
      </c>
      <c r="CD10" s="59">
        <f ca="1">AVERAGE(OFFSET($CC$3,0,0,'Données projet'!$E$12+1,1))-AVERAGE(OFFSET($H$3,0,0,'Données projet'!$E$12+1,1))</f>
        <v>230.58262378842818</v>
      </c>
      <c r="CE10" s="59">
        <f t="shared" si="40"/>
        <v>235.68746142880792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2.6666666666666665</v>
      </c>
      <c r="CT10" s="12">
        <f>IF('Données projet'!$A$140&gt;35,CT9+CS10-DB9,IF(A10&lt;'Données projet'!$A$140,$CQ$205^A10,IF(A10='Données projet'!$A$140,'Données projet'!$B$140,CT9+CS10-DB9)))</f>
        <v>5.5927833467405659</v>
      </c>
      <c r="CU10" s="17">
        <f>CT10*VLOOKUP('Données projet'!$B$13,Paramètres!$A$1:$I$89,3,0)*VLOOKUP('Données projet'!$B$13,Paramètres!$A$1:$I$89,5,0)</f>
        <v>4.3623710104576414</v>
      </c>
      <c r="CV10" s="13">
        <f t="shared" si="41"/>
        <v>1.6936004212396314</v>
      </c>
      <c r="CW10" s="20">
        <f t="shared" si="13"/>
        <v>10.54748357687275</v>
      </c>
      <c r="CX10" s="59">
        <f t="shared" si="14"/>
        <v>275.76970579909499</v>
      </c>
      <c r="CY10" s="59">
        <f ca="1">AVERAGE(OFFSET($CX$3,0,0,'Données projet'!$E$13+1,1))-AVERAGE(OFFSET($H$3,0,0,'Données projet'!$E$13+1,1))</f>
        <v>288.80569134263209</v>
      </c>
      <c r="CZ10" s="59">
        <f t="shared" si="42"/>
        <v>283.48738729114024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2.4666666666666668</v>
      </c>
      <c r="DO10" s="12">
        <f>IF('Données projet'!$A$166&gt;35,DO9+DN10-DW9,IF(A10&lt;'Données projet'!$A$166,$DL$205^A10,IF(A10='Données projet'!$A$166,'Données projet'!$B$166,DO9+DN10-DW9)))</f>
        <v>5.3929633792034757</v>
      </c>
      <c r="DP10" s="17">
        <f>DO10*VLOOKUP('Données projet'!$B$14,Paramètres!$A$1:$I$89,3,0)*VLOOKUP('Données projet'!$B$14,Paramètres!$A$1:$I$89,5,0)</f>
        <v>4.2906416644942853</v>
      </c>
      <c r="DQ10" s="13">
        <f t="shared" si="43"/>
        <v>1.6689707336887791</v>
      </c>
      <c r="DR10" s="20">
        <f t="shared" si="16"/>
        <v>10.379658260168837</v>
      </c>
      <c r="DS10" s="59">
        <f t="shared" si="17"/>
        <v>275.60188048239104</v>
      </c>
      <c r="DT10" s="59">
        <f ca="1">AVERAGE(OFFSET($DS$3,0,0,'Données projet'!$E$14+1,1))-AVERAGE(OFFSET($H$3,0,0,'Données projet'!$E$14+1,1))</f>
        <v>299.10536994156814</v>
      </c>
      <c r="DU10" s="59">
        <f t="shared" si="44"/>
        <v>292.57799203101769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2"/>
        <v>7.9508613856785146</v>
      </c>
      <c r="R11" s="59">
        <f t="shared" si="0"/>
        <v>274.39530583012299</v>
      </c>
      <c r="S11" s="59">
        <f ca="1">AVERAGE(OFFSET($R$3,0,0,'Données projet'!$E$9+1,1))-AVERAGE(OFFSET($H$3,0,0,'Données projet'!$E$9+1,1))</f>
        <v>384.05928630855732</v>
      </c>
      <c r="T11" s="59">
        <f t="shared" si="34"/>
        <v>279.93992813630513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3.2427350427350423</v>
      </c>
      <c r="AI11" s="13">
        <f>IF('Données projet'!$A$62&gt;35,AI10+AH11-AQ10,IF(A11&lt;'Données projet'!$A$62,$AF$205^A11,IF(A11='Données projet'!$A$62,'Données projet'!$B$62,AI10+AH11-AQ10)))</f>
        <v>3.3895501082816728</v>
      </c>
      <c r="AJ11" s="13">
        <f>AI11*VLOOKUP('Données projet'!$B$10,Paramètres!$A$1:$I$89,3,0)*VLOOKUP('Données projet'!$B$10,Paramètres!$A$1:$I$89,5,0)</f>
        <v>2.9082339929056755</v>
      </c>
      <c r="AK11" s="13">
        <f t="shared" si="35"/>
        <v>1.1836272505774941</v>
      </c>
      <c r="AL11" s="20">
        <f t="shared" si="4"/>
        <v>7.1266583323998525</v>
      </c>
      <c r="AM11" s="59">
        <f t="shared" si="5"/>
        <v>273.57110277684433</v>
      </c>
      <c r="AN11" s="59">
        <f ca="1">AVERAGE(OFFSET($AM$3,0,0,'Données projet'!$E$10+1,1))-AVERAGE(OFFSET($H$3,0,0,'Données projet'!$E$10+1,1))</f>
        <v>335.02113791949211</v>
      </c>
      <c r="AO11" s="59">
        <f t="shared" si="36"/>
        <v>222.06886429435099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2.9235042735042733</v>
      </c>
      <c r="BD11" s="12">
        <f>IF('Données projet'!$A$88&gt;35,BD10+BC11-BL10,IF(A11&lt;'Données projet'!$A$88,$BA$205^A11,IF(A11='Données projet'!$A$88,'Données projet'!$B$88,BD10+BC11-BL10)))</f>
        <v>3.2971598043944974</v>
      </c>
      <c r="BE11" s="13">
        <f>BD11*VLOOKUP('Données projet'!$B$11,Paramètres!$A$1:$I$89,3,0)*VLOOKUP('Données projet'!$B$11,Paramètres!$A$1:$I$89,5,0)</f>
        <v>3.1890129628103581</v>
      </c>
      <c r="BF11" s="13">
        <f t="shared" si="37"/>
        <v>1.2840524325542542</v>
      </c>
      <c r="BG11" s="20">
        <f t="shared" si="7"/>
        <v>7.7905888969266996</v>
      </c>
      <c r="BH11" s="59">
        <f t="shared" si="8"/>
        <v>274.23503334137115</v>
      </c>
      <c r="BI11" s="59">
        <f ca="1">AVERAGE(OFFSET($BH$3,0,0,'Données projet'!$E$11+1,1))-AVERAGE(OFFSET($H$3,0,0,'Données projet'!$E$11+1,1))</f>
        <v>366.51581861366333</v>
      </c>
      <c r="BJ11" s="59">
        <f t="shared" si="38"/>
        <v>225.01415116995503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0.9</v>
      </c>
      <c r="BY11" s="12">
        <f>IF('Données projet'!$A$114&gt;35,BY10+BX11-CG10,IF(A11&lt;'Données projet'!$A$114,$BV$205^A11,IF(A11='Données projet'!$A$114,'Données projet'!$B$114,BY10+BX11-CG10)))</f>
        <v>5.7995461347952899</v>
      </c>
      <c r="BZ11" s="13">
        <f>BY11*VLOOKUP('Données projet'!$B$12,Paramètres!$A$1:$I$89,3,0)*VLOOKUP('Données projet'!$B$12,Paramètres!$A$1:$I$89,5,0)</f>
        <v>3.7998626275178737</v>
      </c>
      <c r="CA11" s="13">
        <f t="shared" si="39"/>
        <v>1.4991150978629391</v>
      </c>
      <c r="CB11" s="20">
        <f t="shared" si="10"/>
        <v>9.2290528717049156</v>
      </c>
      <c r="CC11" s="59">
        <f t="shared" si="11"/>
        <v>275.67349731614939</v>
      </c>
      <c r="CD11" s="59">
        <f ca="1">AVERAGE(OFFSET($CC$3,0,0,'Données projet'!$E$12+1,1))-AVERAGE(OFFSET($H$3,0,0,'Données projet'!$E$12+1,1))</f>
        <v>230.58262378842818</v>
      </c>
      <c r="CE11" s="59">
        <f t="shared" si="40"/>
        <v>235.68746142880792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2.6666666666666665</v>
      </c>
      <c r="CT11" s="12">
        <f>IF('Données projet'!$A$140&gt;35,CT10+CS11-DB10,IF(A11&lt;'Données projet'!$A$140,$CQ$205^A11,IF(A11='Données projet'!$A$140,'Données projet'!$B$140,CT10+CS11-DB10)))</f>
        <v>7.1520739352994367</v>
      </c>
      <c r="CU11" s="17">
        <f>CT11*VLOOKUP('Données projet'!$B$13,Paramètres!$A$1:$I$89,3,0)*VLOOKUP('Données projet'!$B$13,Paramètres!$A$1:$I$89,5,0)</f>
        <v>5.5786176695335605</v>
      </c>
      <c r="CV11" s="13">
        <f t="shared" si="41"/>
        <v>2.1046649418345189</v>
      </c>
      <c r="CW11" s="20">
        <f t="shared" si="13"/>
        <v>13.381717214799407</v>
      </c>
      <c r="CX11" s="59">
        <f t="shared" si="14"/>
        <v>279.82616165924384</v>
      </c>
      <c r="CY11" s="59">
        <f ca="1">AVERAGE(OFFSET($CX$3,0,0,'Données projet'!$E$13+1,1))-AVERAGE(OFFSET($H$3,0,0,'Données projet'!$E$13+1,1))</f>
        <v>288.80569134263209</v>
      </c>
      <c r="CZ11" s="59">
        <f t="shared" si="42"/>
        <v>283.48738729114024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2.4666666666666668</v>
      </c>
      <c r="DO11" s="12">
        <f>IF('Données projet'!$A$166&gt;35,DO10+DN11-DW10,IF(A11&lt;'Données projet'!$A$166,$DL$205^A11,IF(A11='Données projet'!$A$166,'Données projet'!$B$166,DO10+DN11-DW10)))</f>
        <v>6.8607919984549888</v>
      </c>
      <c r="DP11" s="17">
        <f>DO11*VLOOKUP('Données projet'!$B$14,Paramètres!$A$1:$I$89,3,0)*VLOOKUP('Données projet'!$B$14,Paramètres!$A$1:$I$89,5,0)</f>
        <v>5.4584461139707896</v>
      </c>
      <c r="DQ11" s="13">
        <f t="shared" si="43"/>
        <v>2.0645540509389519</v>
      </c>
      <c r="DR11" s="20">
        <f t="shared" si="16"/>
        <v>13.102558620551131</v>
      </c>
      <c r="DS11" s="59">
        <f t="shared" si="17"/>
        <v>279.54700306499558</v>
      </c>
      <c r="DT11" s="59">
        <f ca="1">AVERAGE(OFFSET($DS$3,0,0,'Données projet'!$E$14+1,1))-AVERAGE(OFFSET($H$3,0,0,'Données projet'!$E$14+1,1))</f>
        <v>299.10536994156814</v>
      </c>
      <c r="DU11" s="59">
        <f t="shared" si="44"/>
        <v>292.57799203101769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2"/>
        <v>9.2820073490102306</v>
      </c>
      <c r="R12" s="59">
        <f t="shared" si="0"/>
        <v>276.94867401567694</v>
      </c>
      <c r="S12" s="59">
        <f ca="1">AVERAGE(OFFSET($R$3,0,0,'Données projet'!$E$9+1,1))-AVERAGE(OFFSET($H$3,0,0,'Données projet'!$E$9+1,1))</f>
        <v>384.05928630855732</v>
      </c>
      <c r="T12" s="59">
        <f t="shared" si="34"/>
        <v>279.93992813630513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3.2427350427350423</v>
      </c>
      <c r="AI12" s="13">
        <f>IF('Données projet'!$A$62&gt;35,AI11+AH12-AQ11,IF(A12&lt;'Données projet'!$A$62,$AF$205^A12,IF(A12='Données projet'!$A$62,'Données projet'!$B$62,AI11+AH12-AQ11)))</f>
        <v>3.9482970181792005</v>
      </c>
      <c r="AJ12" s="13">
        <f>AI12*VLOOKUP('Données projet'!$B$10,Paramètres!$A$1:$I$89,3,0)*VLOOKUP('Données projet'!$B$10,Paramètres!$A$1:$I$89,5,0)</f>
        <v>3.3876388415977545</v>
      </c>
      <c r="AK12" s="13">
        <f t="shared" si="35"/>
        <v>1.3544692370443472</v>
      </c>
      <c r="AL12" s="20">
        <f t="shared" si="4"/>
        <v>8.2591715703016604</v>
      </c>
      <c r="AM12" s="59">
        <f t="shared" si="5"/>
        <v>275.92583823696833</v>
      </c>
      <c r="AN12" s="59">
        <f ca="1">AVERAGE(OFFSET($AM$3,0,0,'Données projet'!$E$10+1,1))-AVERAGE(OFFSET($H$3,0,0,'Données projet'!$E$10+1,1))</f>
        <v>335.02113791949211</v>
      </c>
      <c r="AO12" s="59">
        <f t="shared" si="36"/>
        <v>222.06886429435099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2.9235042735042733</v>
      </c>
      <c r="BD12" s="12">
        <f>IF('Données projet'!$A$88&gt;35,BD11+BC12-BL11,IF(A12&lt;'Données projet'!$A$88,$BA$205^A12,IF(A12='Données projet'!$A$88,'Données projet'!$B$88,BD11+BC12-BL11)))</f>
        <v>3.8274321125090722</v>
      </c>
      <c r="BE12" s="13">
        <f>BD12*VLOOKUP('Données projet'!$B$11,Paramètres!$A$1:$I$89,3,0)*VLOOKUP('Données projet'!$B$11,Paramètres!$A$1:$I$89,5,0)</f>
        <v>3.7018923392187748</v>
      </c>
      <c r="BF12" s="13">
        <f t="shared" si="37"/>
        <v>1.4649112713186636</v>
      </c>
      <c r="BG12" s="20">
        <f t="shared" si="7"/>
        <v>8.9988496216860376</v>
      </c>
      <c r="BH12" s="59">
        <f t="shared" si="8"/>
        <v>276.66551628835271</v>
      </c>
      <c r="BI12" s="59">
        <f ca="1">AVERAGE(OFFSET($BH$3,0,0,'Données projet'!$E$11+1,1))-AVERAGE(OFFSET($H$3,0,0,'Données projet'!$E$11+1,1))</f>
        <v>366.51581861366333</v>
      </c>
      <c r="BJ12" s="59">
        <f t="shared" si="38"/>
        <v>225.01415116995503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0.9</v>
      </c>
      <c r="BY12" s="12">
        <f>IF('Données projet'!$A$114&gt;35,BY11+BX12-CG11,IF(A12&lt;'Données projet'!$A$114,$BV$205^A12,IF(A12='Données projet'!$A$114,'Données projet'!$B$114,BY11+BX12-CG11)))</f>
        <v>7.2246740558420788</v>
      </c>
      <c r="BZ12" s="13">
        <f>BY12*VLOOKUP('Données projet'!$B$12,Paramètres!$A$1:$I$89,3,0)*VLOOKUP('Données projet'!$B$12,Paramètres!$A$1:$I$89,5,0)</f>
        <v>4.7336064413877299</v>
      </c>
      <c r="CA12" s="13">
        <f t="shared" si="39"/>
        <v>1.8203372077743676</v>
      </c>
      <c r="CB12" s="20">
        <f t="shared" si="10"/>
        <v>11.414785188957319</v>
      </c>
      <c r="CC12" s="59">
        <f t="shared" si="11"/>
        <v>279.08145185562398</v>
      </c>
      <c r="CD12" s="59">
        <f ca="1">AVERAGE(OFFSET($CC$3,0,0,'Données projet'!$E$12+1,1))-AVERAGE(OFFSET($H$3,0,0,'Données projet'!$E$12+1,1))</f>
        <v>230.58262378842818</v>
      </c>
      <c r="CE12" s="59">
        <f t="shared" si="40"/>
        <v>235.68746142880792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2.6666666666666665</v>
      </c>
      <c r="CT12" s="12">
        <f>IF('Données projet'!$A$140&gt;35,CT11+CS12-DB11,IF(A12&lt;'Données projet'!$A$140,$CQ$205^A12,IF(A12='Données projet'!$A$140,'Données projet'!$B$140,CT11+CS12-DB11)))</f>
        <v>9.1461010385465205</v>
      </c>
      <c r="CU12" s="17">
        <f>CT12*VLOOKUP('Données projet'!$B$13,Paramètres!$A$1:$I$89,3,0)*VLOOKUP('Données projet'!$B$13,Paramètres!$A$1:$I$89,5,0)</f>
        <v>7.1339588100662858</v>
      </c>
      <c r="CV12" s="13">
        <f t="shared" si="41"/>
        <v>2.6155015444227643</v>
      </c>
      <c r="CW12" s="20">
        <f t="shared" si="13"/>
        <v>16.980310117401761</v>
      </c>
      <c r="CX12" s="59">
        <f t="shared" si="14"/>
        <v>284.64697678406844</v>
      </c>
      <c r="CY12" s="59">
        <f ca="1">AVERAGE(OFFSET($CX$3,0,0,'Données projet'!$E$13+1,1))-AVERAGE(OFFSET($H$3,0,0,'Données projet'!$E$13+1,1))</f>
        <v>288.80569134263209</v>
      </c>
      <c r="CZ12" s="59">
        <f t="shared" si="42"/>
        <v>283.48738729114024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2.4666666666666668</v>
      </c>
      <c r="DO12" s="12">
        <f>IF('Données projet'!$A$166&gt;35,DO11+DN12-DW11,IF(A12&lt;'Données projet'!$A$166,$DL$205^A12,IF(A12='Données projet'!$A$166,'Données projet'!$B$166,DO11+DN12-DW11)))</f>
        <v>8.7281265486761299</v>
      </c>
      <c r="DP12" s="17">
        <f>DO12*VLOOKUP('Données projet'!$B$14,Paramètres!$A$1:$I$89,3,0)*VLOOKUP('Données projet'!$B$14,Paramètres!$A$1:$I$89,5,0)</f>
        <v>6.9440974821267289</v>
      </c>
      <c r="DQ12" s="13">
        <f t="shared" si="43"/>
        <v>2.5538994442566798</v>
      </c>
      <c r="DR12" s="20">
        <f t="shared" si="16"/>
        <v>16.542344646784436</v>
      </c>
      <c r="DS12" s="59">
        <f t="shared" si="17"/>
        <v>284.20901131345113</v>
      </c>
      <c r="DT12" s="59">
        <f ca="1">AVERAGE(OFFSET($DS$3,0,0,'Données projet'!$E$14+1,1))-AVERAGE(OFFSET($H$3,0,0,'Données projet'!$E$14+1,1))</f>
        <v>299.10536994156814</v>
      </c>
      <c r="DU12" s="59">
        <f t="shared" si="44"/>
        <v>292.57799203101769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2"/>
        <v>10.836779165307254</v>
      </c>
      <c r="R13" s="59">
        <f t="shared" si="0"/>
        <v>279.72566805419609</v>
      </c>
      <c r="S13" s="59">
        <f ca="1">AVERAGE(OFFSET($R$3,0,0,'Données projet'!$E$9+1,1))-AVERAGE(OFFSET($H$3,0,0,'Données projet'!$E$9+1,1))</f>
        <v>384.05928630855732</v>
      </c>
      <c r="T13" s="59">
        <f t="shared" si="34"/>
        <v>279.93992813630513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3.2427350427350423</v>
      </c>
      <c r="AI13" s="13">
        <f>IF('Données projet'!$A$62&gt;35,AI12+AH13-AQ12,IF(A13&lt;'Données projet'!$A$62,$AF$205^A13,IF(A13='Données projet'!$A$62,'Données projet'!$B$62,AI12+AH13-AQ12)))</f>
        <v>4.5991499891605416</v>
      </c>
      <c r="AJ13" s="13">
        <f>AI13*VLOOKUP('Données projet'!$B$10,Paramètres!$A$1:$I$89,3,0)*VLOOKUP('Données projet'!$B$10,Paramètres!$A$1:$I$89,5,0)</f>
        <v>3.9460706906997451</v>
      </c>
      <c r="AK13" s="13">
        <f t="shared" si="35"/>
        <v>1.5499701558952765</v>
      </c>
      <c r="AL13" s="20">
        <f t="shared" si="4"/>
        <v>9.5722711411529939</v>
      </c>
      <c r="AM13" s="59">
        <f t="shared" si="5"/>
        <v>278.46116003004187</v>
      </c>
      <c r="AN13" s="59">
        <f ca="1">AVERAGE(OFFSET($AM$3,0,0,'Données projet'!$E$10+1,1))-AVERAGE(OFFSET($H$3,0,0,'Données projet'!$E$10+1,1))</f>
        <v>335.02113791949211</v>
      </c>
      <c r="AO13" s="59">
        <f t="shared" si="36"/>
        <v>222.06886429435099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2.9235042735042733</v>
      </c>
      <c r="BD13" s="12">
        <f>IF('Données projet'!$A$88&gt;35,BD12+BC13-BL12,IF(A13&lt;'Données projet'!$A$88,$BA$205^A13,IF(A13='Données projet'!$A$88,'Données projet'!$B$88,BD12+BC13-BL12)))</f>
        <v>4.4429865232315908</v>
      </c>
      <c r="BE13" s="13">
        <f>BD13*VLOOKUP('Données projet'!$B$11,Paramètres!$A$1:$I$89,3,0)*VLOOKUP('Données projet'!$B$11,Paramètres!$A$1:$I$89,5,0)</f>
        <v>4.2972565652695947</v>
      </c>
      <c r="BF13" s="13">
        <f t="shared" si="37"/>
        <v>1.6712440850781161</v>
      </c>
      <c r="BG13" s="20">
        <f t="shared" si="7"/>
        <v>10.395138632688928</v>
      </c>
      <c r="BH13" s="59">
        <f t="shared" si="8"/>
        <v>279.2840275215778</v>
      </c>
      <c r="BI13" s="59">
        <f ca="1">AVERAGE(OFFSET($BH$3,0,0,'Données projet'!$E$11+1,1))-AVERAGE(OFFSET($H$3,0,0,'Données projet'!$E$11+1,1))</f>
        <v>366.51581861366333</v>
      </c>
      <c r="BJ13" s="59">
        <f t="shared" si="38"/>
        <v>225.01415116995503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9</v>
      </c>
      <c r="BW13" s="12">
        <f>VLOOKUP(A13,'Données projet'!$A$113:$I$133,9,0)</f>
        <v>0.9</v>
      </c>
      <c r="BX13" s="12">
        <f t="array" ref="BX13">INDEX(BW:BW,MIN(IF(ISNUMBER(BW13:BW209),ROW(BW13:BW209),"")))</f>
        <v>0.9</v>
      </c>
      <c r="BY13" s="12">
        <f>IF('Données projet'!$A$114&gt;35,BY12+BX13-CG12,IF(A13&lt;'Données projet'!$A$114,$BV$205^A13,IF(A13='Données projet'!$A$114,'Données projet'!$B$114,BY12+BX13-CG12)))</f>
        <v>9</v>
      </c>
      <c r="BZ13" s="13">
        <f>BY13*VLOOKUP('Données projet'!$B$12,Paramètres!$A$1:$I$89,3,0)*VLOOKUP('Données projet'!$B$12,Paramètres!$A$1:$I$89,5,0)</f>
        <v>5.8967999999999998</v>
      </c>
      <c r="CA13" s="13">
        <f t="shared" si="39"/>
        <v>2.210389018649412</v>
      </c>
      <c r="CB13" s="20">
        <f t="shared" si="10"/>
        <v>14.120020874147725</v>
      </c>
      <c r="CC13" s="59">
        <f t="shared" si="11"/>
        <v>283.00890976303657</v>
      </c>
      <c r="CD13" s="59">
        <f ca="1">AVERAGE(OFFSET($CC$3,0,0,'Données projet'!$E$12+1,1))-AVERAGE(OFFSET($H$3,0,0,'Données projet'!$E$12+1,1))</f>
        <v>230.58262378842818</v>
      </c>
      <c r="CE13" s="59">
        <f t="shared" si="40"/>
        <v>235.68746142880792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1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4.3000000000000003E-2</v>
      </c>
      <c r="CJ13" s="16">
        <f>IF(ISNA(VLOOKUP(A13,'Données projet'!$A$113:$I$133,7,0)),0%,VLOOKUP(A13,'Données projet'!$A$113:$I$133,7,0))</f>
        <v>0.3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3.1022450236522271E-2</v>
      </c>
      <c r="CM13" s="21">
        <f>EXP(-LN(2)/2)*CM12+(1-EXP(-LN(2)/2))/(LN(2)/2)*CG13*CJ13*VLOOKUP('Données projet'!$B$12,Paramètres!$A$1:$I$89,3,0)*0.475*44/12</f>
        <v>0.18545965033483505</v>
      </c>
      <c r="CN13" s="22">
        <f t="shared" si="12"/>
        <v>0.21648210057135733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2.6666666666666665</v>
      </c>
      <c r="CT13" s="12">
        <f>IF('Données projet'!$A$140&gt;35,CT12+CS13-DB12,IF(A13&lt;'Données projet'!$A$140,$CQ$205^A13,IF(A13='Données projet'!$A$140,'Données projet'!$B$140,CT12+CS13-DB12)))</f>
        <v>11.696070952851455</v>
      </c>
      <c r="CU13" s="17">
        <f>CT13*VLOOKUP('Données projet'!$B$13,Paramètres!$A$1:$I$89,3,0)*VLOOKUP('Données projet'!$B$13,Paramètres!$A$1:$I$89,5,0)</f>
        <v>9.1229353432241354</v>
      </c>
      <c r="CV13" s="13">
        <f t="shared" si="41"/>
        <v>3.2503265450485803</v>
      </c>
      <c r="CW13" s="20">
        <f t="shared" si="13"/>
        <v>21.550097788741649</v>
      </c>
      <c r="CX13" s="59">
        <f t="shared" si="14"/>
        <v>290.43898667763051</v>
      </c>
      <c r="CY13" s="59">
        <f ca="1">AVERAGE(OFFSET($CX$3,0,0,'Données projet'!$E$13+1,1))-AVERAGE(OFFSET($H$3,0,0,'Données projet'!$E$13+1,1))</f>
        <v>288.80569134263209</v>
      </c>
      <c r="CZ13" s="59">
        <f t="shared" si="42"/>
        <v>283.48738729114024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2.4666666666666668</v>
      </c>
      <c r="DO13" s="12">
        <f>IF('Données projet'!$A$166&gt;35,DO12+DN13-DW12,IF(A13&lt;'Données projet'!$A$166,$DL$205^A13,IF(A13='Données projet'!$A$166,'Données projet'!$B$166,DO12+DN13-DW12)))</f>
        <v>11.103702468586782</v>
      </c>
      <c r="DP13" s="17">
        <f>DO13*VLOOKUP('Données projet'!$B$14,Paramètres!$A$1:$I$89,3,0)*VLOOKUP('Données projet'!$B$14,Paramètres!$A$1:$I$89,5,0)</f>
        <v>8.8341056840076444</v>
      </c>
      <c r="DQ13" s="13">
        <f t="shared" si="43"/>
        <v>3.1592306185484516</v>
      </c>
      <c r="DR13" s="20">
        <f t="shared" si="16"/>
        <v>20.888394060285197</v>
      </c>
      <c r="DS13" s="59">
        <f t="shared" si="17"/>
        <v>289.77728294917404</v>
      </c>
      <c r="DT13" s="59">
        <f ca="1">AVERAGE(OFFSET($DS$3,0,0,'Données projet'!$E$14+1,1))-AVERAGE(OFFSET($H$3,0,0,'Données projet'!$E$14+1,1))</f>
        <v>299.10536994156814</v>
      </c>
      <c r="DU13" s="59">
        <f t="shared" si="44"/>
        <v>292.57799203101769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2"/>
        <v>12.65286514607409</v>
      </c>
      <c r="R14" s="59">
        <f t="shared" si="0"/>
        <v>282.76397625718522</v>
      </c>
      <c r="S14" s="59">
        <f ca="1">AVERAGE(OFFSET($R$3,0,0,'Données projet'!$E$9+1,1))-AVERAGE(OFFSET($H$3,0,0,'Données projet'!$E$9+1,1))</f>
        <v>384.05928630855732</v>
      </c>
      <c r="T14" s="59">
        <f t="shared" si="34"/>
        <v>279.93992813630513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3.2427350427350423</v>
      </c>
      <c r="AI14" s="13">
        <f>IF('Données projet'!$A$62&gt;35,AI13+AH14-AQ13,IF(A14&lt;'Données projet'!$A$62,$AF$205^A14,IF(A14='Données projet'!$A$62,'Données projet'!$B$62,AI13+AH14-AQ13)))</f>
        <v>5.3572921503635911</v>
      </c>
      <c r="AJ14" s="13">
        <f>AI14*VLOOKUP('Données projet'!$B$10,Paramètres!$A$1:$I$89,3,0)*VLOOKUP('Données projet'!$B$10,Paramètres!$A$1:$I$89,5,0)</f>
        <v>4.5965566650119616</v>
      </c>
      <c r="AK14" s="13">
        <f t="shared" si="35"/>
        <v>1.7736892197038281</v>
      </c>
      <c r="AL14" s="20">
        <f t="shared" si="4"/>
        <v>11.094844915879998</v>
      </c>
      <c r="AM14" s="59">
        <f t="shared" si="5"/>
        <v>281.20595602699115</v>
      </c>
      <c r="AN14" s="59">
        <f ca="1">AVERAGE(OFFSET($AM$3,0,0,'Données projet'!$E$10+1,1))-AVERAGE(OFFSET($H$3,0,0,'Données projet'!$E$10+1,1))</f>
        <v>335.02113791949211</v>
      </c>
      <c r="AO14" s="59">
        <f t="shared" si="36"/>
        <v>222.06886429435099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2.9235042735042733</v>
      </c>
      <c r="BD14" s="12">
        <f>IF('Données projet'!$A$88&gt;35,BD13+BC14-BL13,IF(A14&lt;'Données projet'!$A$88,$BA$205^A14,IF(A14='Données projet'!$A$88,'Données projet'!$B$88,BD13+BC14-BL13)))</f>
        <v>5.1575387009743459</v>
      </c>
      <c r="BE14" s="13">
        <f>BD14*VLOOKUP('Données projet'!$B$11,Paramètres!$A$1:$I$89,3,0)*VLOOKUP('Données projet'!$B$11,Paramètres!$A$1:$I$89,5,0)</f>
        <v>4.9883714315823875</v>
      </c>
      <c r="BF14" s="13">
        <f t="shared" si="37"/>
        <v>1.9066388842747952</v>
      </c>
      <c r="BG14" s="20">
        <f t="shared" si="7"/>
        <v>12.008809633451259</v>
      </c>
      <c r="BH14" s="59">
        <f t="shared" si="8"/>
        <v>282.11992074456242</v>
      </c>
      <c r="BI14" s="59">
        <f ca="1">AVERAGE(OFFSET($BH$3,0,0,'Données projet'!$E$11+1,1))-AVERAGE(OFFSET($H$3,0,0,'Données projet'!$E$11+1,1))</f>
        <v>366.51581861366333</v>
      </c>
      <c r="BJ14" s="59">
        <f t="shared" si="38"/>
        <v>225.01415116995503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5.6</v>
      </c>
      <c r="BY14" s="12">
        <f>IF('Données projet'!$A$114&gt;35,BY13+BX14-CG13,IF(A14&lt;'Données projet'!$A$114,$BV$205^A14,IF(A14='Données projet'!$A$114,'Données projet'!$B$114,BY13+BX14-CG13)))</f>
        <v>13.6</v>
      </c>
      <c r="BZ14" s="13">
        <f>BY14*VLOOKUP('Données projet'!$B$12,Paramètres!$A$1:$I$89,3,0)*VLOOKUP('Données projet'!$B$12,Paramètres!$A$1:$I$89,5,0)</f>
        <v>8.9107199999999995</v>
      </c>
      <c r="CA14" s="13">
        <f t="shared" si="39"/>
        <v>3.1834278577240251</v>
      </c>
      <c r="CB14" s="20">
        <f t="shared" si="10"/>
        <v>21.063974185536008</v>
      </c>
      <c r="CC14" s="59">
        <f t="shared" si="11"/>
        <v>291.17508529664713</v>
      </c>
      <c r="CD14" s="59">
        <f ca="1">AVERAGE(OFFSET($CC$3,0,0,'Données projet'!$E$12+1,1))-AVERAGE(OFFSET($H$3,0,0,'Données projet'!$E$12+1,1))</f>
        <v>230.58262378842818</v>
      </c>
      <c r="CE14" s="59">
        <f t="shared" si="40"/>
        <v>235.68746142880792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3.0174139703404813E-2</v>
      </c>
      <c r="CM14" s="21">
        <f>EXP(-LN(2)/2)*CM13+(1-EXP(-LN(2)/2))/(LN(2)/2)*CG14*CJ14*VLOOKUP('Données projet'!$B$12,Paramètres!$A$1:$I$89,3,0)*0.475*44/12</f>
        <v>0.13113977638824784</v>
      </c>
      <c r="CN14" s="22">
        <f t="shared" si="12"/>
        <v>0.16131391609165266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2.6666666666666665</v>
      </c>
      <c r="CT14" s="12">
        <f>IF('Données projet'!$A$140&gt;35,CT13+CS14-DB13,IF(A14&lt;'Données projet'!$A$140,$CQ$205^A14,IF(A14='Données projet'!$A$140,'Données projet'!$B$140,CT13+CS14-DB13)))</f>
        <v>14.956982779612416</v>
      </c>
      <c r="CU14" s="17">
        <f>CT14*VLOOKUP('Données projet'!$B$13,Paramètres!$A$1:$I$89,3,0)*VLOOKUP('Données projet'!$B$13,Paramètres!$A$1:$I$89,5,0)</f>
        <v>11.666446568097685</v>
      </c>
      <c r="CV14" s="13">
        <f t="shared" si="41"/>
        <v>4.0392339557111736</v>
      </c>
      <c r="CW14" s="20">
        <f t="shared" si="13"/>
        <v>27.354060245633761</v>
      </c>
      <c r="CX14" s="59">
        <f t="shared" si="14"/>
        <v>297.46517135674492</v>
      </c>
      <c r="CY14" s="59">
        <f ca="1">AVERAGE(OFFSET($CX$3,0,0,'Données projet'!$E$13+1,1))-AVERAGE(OFFSET($H$3,0,0,'Données projet'!$E$13+1,1))</f>
        <v>288.80569134263209</v>
      </c>
      <c r="CZ14" s="59">
        <f t="shared" si="42"/>
        <v>283.48738729114024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2.4666666666666668</v>
      </c>
      <c r="DO14" s="12">
        <f>IF('Données projet'!$A$166&gt;35,DO13+DN14-DW13,IF(A14&lt;'Données projet'!$A$166,$DL$205^A14,IF(A14='Données projet'!$A$166,'Données projet'!$B$166,DO13+DN14-DW13)))</f>
        <v>14.125850240977657</v>
      </c>
      <c r="DP14" s="17">
        <f>DO14*VLOOKUP('Données projet'!$B$14,Paramètres!$A$1:$I$89,3,0)*VLOOKUP('Données projet'!$B$14,Paramètres!$A$1:$I$89,5,0)</f>
        <v>11.238526451721825</v>
      </c>
      <c r="DQ14" s="13">
        <f t="shared" si="43"/>
        <v>3.9080387928425129</v>
      </c>
      <c r="DR14" s="20">
        <f t="shared" si="16"/>
        <v>26.380267800949554</v>
      </c>
      <c r="DS14" s="59">
        <f t="shared" si="17"/>
        <v>296.49137891206067</v>
      </c>
      <c r="DT14" s="59">
        <f ca="1">AVERAGE(OFFSET($DS$3,0,0,'Données projet'!$E$14+1,1))-AVERAGE(OFFSET($H$3,0,0,'Données projet'!$E$14+1,1))</f>
        <v>299.10536994156814</v>
      </c>
      <c r="DU14" s="59">
        <f t="shared" si="44"/>
        <v>292.57799203101769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2"/>
        <v>14.774324215459131</v>
      </c>
      <c r="R15" s="59">
        <f t="shared" si="0"/>
        <v>286.10765754879242</v>
      </c>
      <c r="S15" s="59">
        <f ca="1">AVERAGE(OFFSET($R$3,0,0,'Données projet'!$E$9+1,1))-AVERAGE(OFFSET($H$3,0,0,'Données projet'!$E$9+1,1))</f>
        <v>384.05928630855732</v>
      </c>
      <c r="T15" s="59">
        <f t="shared" si="34"/>
        <v>279.93992813630513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3.2427350427350423</v>
      </c>
      <c r="AI15" s="13">
        <f>IF('Données projet'!$A$62&gt;35,AI14+AH15-AQ14,IF(A15&lt;'Données projet'!$A$62,$AF$205^A15,IF(A15='Données projet'!$A$62,'Données projet'!$B$62,AI14+AH15-AQ14)))</f>
        <v>6.2404094782709887</v>
      </c>
      <c r="AJ15" s="13">
        <f>AI15*VLOOKUP('Données projet'!$B$10,Paramètres!$A$1:$I$89,3,0)*VLOOKUP('Données projet'!$B$10,Paramètres!$A$1:$I$89,5,0)</f>
        <v>5.3542713323565092</v>
      </c>
      <c r="AK15" s="13">
        <f t="shared" si="35"/>
        <v>2.0296993694542671</v>
      </c>
      <c r="AL15" s="20">
        <f t="shared" si="4"/>
        <v>12.860415638987101</v>
      </c>
      <c r="AM15" s="59">
        <f t="shared" si="5"/>
        <v>284.19374897232041</v>
      </c>
      <c r="AN15" s="59">
        <f ca="1">AVERAGE(OFFSET($AM$3,0,0,'Données projet'!$E$10+1,1))-AVERAGE(OFFSET($H$3,0,0,'Données projet'!$E$10+1,1))</f>
        <v>335.02113791949211</v>
      </c>
      <c r="AO15" s="59">
        <f t="shared" si="36"/>
        <v>222.06886429435099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2.9235042735042733</v>
      </c>
      <c r="BD15" s="12">
        <f>IF('Données projet'!$A$88&gt;35,BD14+BC15-BL14,IF(A15&lt;'Données projet'!$A$88,$BA$205^A15,IF(A15='Données projet'!$A$88,'Données projet'!$B$88,BD14+BC15-BL14)))</f>
        <v>5.9870101592612031</v>
      </c>
      <c r="BE15" s="13">
        <f>BD15*VLOOKUP('Données projet'!$B$11,Paramètres!$A$1:$I$89,3,0)*VLOOKUP('Données projet'!$B$11,Paramètres!$A$1:$I$89,5,0)</f>
        <v>5.790636226037436</v>
      </c>
      <c r="BF15" s="13">
        <f t="shared" si="37"/>
        <v>2.175189050771551</v>
      </c>
      <c r="BG15" s="20">
        <f t="shared" si="7"/>
        <v>13.873812357108987</v>
      </c>
      <c r="BH15" s="59">
        <f t="shared" si="8"/>
        <v>285.2071456904423</v>
      </c>
      <c r="BI15" s="59">
        <f ca="1">AVERAGE(OFFSET($BH$3,0,0,'Données projet'!$E$11+1,1))-AVERAGE(OFFSET($H$3,0,0,'Données projet'!$E$11+1,1))</f>
        <v>366.51581861366333</v>
      </c>
      <c r="BJ15" s="59">
        <f t="shared" si="38"/>
        <v>225.01415116995503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5.6</v>
      </c>
      <c r="BY15" s="12">
        <f>IF('Données projet'!$A$114&gt;35,BY14+BX15-CG14,IF(A15&lt;'Données projet'!$A$114,$BV$205^A15,IF(A15='Données projet'!$A$114,'Données projet'!$B$114,BY14+BX15-CG14)))</f>
        <v>19.2</v>
      </c>
      <c r="BZ15" s="13">
        <f>BY15*VLOOKUP('Données projet'!$B$12,Paramètres!$A$1:$I$89,3,0)*VLOOKUP('Données projet'!$B$12,Paramètres!$A$1:$I$89,5,0)</f>
        <v>12.579840000000001</v>
      </c>
      <c r="CA15" s="13">
        <f t="shared" si="39"/>
        <v>4.3174269552455735</v>
      </c>
      <c r="CB15" s="20">
        <f t="shared" si="10"/>
        <v>29.429406613719376</v>
      </c>
      <c r="CC15" s="59">
        <f t="shared" si="11"/>
        <v>300.76273994705269</v>
      </c>
      <c r="CD15" s="59">
        <f ca="1">AVERAGE(OFFSET($CC$3,0,0,'Données projet'!$E$12+1,1))-AVERAGE(OFFSET($H$3,0,0,'Données projet'!$E$12+1,1))</f>
        <v>230.58262378842818</v>
      </c>
      <c r="CE15" s="59">
        <f t="shared" si="40"/>
        <v>235.68746142880792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2.9349026266426166E-2</v>
      </c>
      <c r="CM15" s="21">
        <f>EXP(-LN(2)/2)*CM14+(1-EXP(-LN(2)/2))/(LN(2)/2)*CG15*CJ15*VLOOKUP('Données projet'!$B$12,Paramètres!$A$1:$I$89,3,0)*0.475*44/12</f>
        <v>9.272982516741754E-2</v>
      </c>
      <c r="CN15" s="22">
        <f t="shared" si="12"/>
        <v>0.1220788514338437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2.6666666666666665</v>
      </c>
      <c r="CT15" s="12">
        <f>IF('Données projet'!$A$140&gt;35,CT14+CS15-DB14,IF(A15&lt;'Données projet'!$A$140,$CQ$205^A15,IF(A15='Données projet'!$A$140,'Données projet'!$B$140,CT14+CS15-DB14)))</f>
        <v>19.127049995800721</v>
      </c>
      <c r="CU15" s="17">
        <f>CT15*VLOOKUP('Données projet'!$B$13,Paramètres!$A$1:$I$89,3,0)*VLOOKUP('Données projet'!$B$13,Paramètres!$A$1:$I$89,5,0)</f>
        <v>14.919098996724562</v>
      </c>
      <c r="CV15" s="13">
        <f t="shared" si="41"/>
        <v>5.019622097301081</v>
      </c>
      <c r="CW15" s="20">
        <f t="shared" si="13"/>
        <v>34.726605905427995</v>
      </c>
      <c r="CX15" s="59">
        <f t="shared" si="14"/>
        <v>306.05993923876133</v>
      </c>
      <c r="CY15" s="59">
        <f ca="1">AVERAGE(OFFSET($CX$3,0,0,'Données projet'!$E$13+1,1))-AVERAGE(OFFSET($H$3,0,0,'Données projet'!$E$13+1,1))</f>
        <v>288.80569134263209</v>
      </c>
      <c r="CZ15" s="59">
        <f t="shared" si="42"/>
        <v>283.48738729114024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2.4666666666666668</v>
      </c>
      <c r="DO15" s="12">
        <f>IF('Données projet'!$A$166&gt;35,DO14+DN15-DW14,IF(A15&lt;'Données projet'!$A$166,$DL$205^A15,IF(A15='Données projet'!$A$166,'Données projet'!$B$166,DO14+DN15-DW14)))</f>
        <v>17.970550417308221</v>
      </c>
      <c r="DP15" s="17">
        <f>DO15*VLOOKUP('Données projet'!$B$14,Paramètres!$A$1:$I$89,3,0)*VLOOKUP('Données projet'!$B$14,Paramètres!$A$1:$I$89,5,0)</f>
        <v>14.297369912010421</v>
      </c>
      <c r="DQ15" s="13">
        <f t="shared" si="43"/>
        <v>4.8343312187127445</v>
      </c>
      <c r="DR15" s="20">
        <f t="shared" si="16"/>
        <v>33.321046136009507</v>
      </c>
      <c r="DS15" s="59">
        <f t="shared" si="17"/>
        <v>304.65437946934281</v>
      </c>
      <c r="DT15" s="59">
        <f ca="1">AVERAGE(OFFSET($DS$3,0,0,'Données projet'!$E$14+1,1))-AVERAGE(OFFSET($H$3,0,0,'Données projet'!$E$14+1,1))</f>
        <v>299.10536994156814</v>
      </c>
      <c r="DU15" s="59">
        <f t="shared" si="44"/>
        <v>292.57799203101769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2"/>
        <v>17.252665719305359</v>
      </c>
      <c r="R16" s="59">
        <f t="shared" si="0"/>
        <v>289.8082212748609</v>
      </c>
      <c r="S16" s="59">
        <f ca="1">AVERAGE(OFFSET($R$3,0,0,'Données projet'!$E$9+1,1))-AVERAGE(OFFSET($H$3,0,0,'Données projet'!$E$9+1,1))</f>
        <v>384.05928630855732</v>
      </c>
      <c r="T16" s="59">
        <f t="shared" si="34"/>
        <v>279.93992813630513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3.2427350427350423</v>
      </c>
      <c r="AI16" s="13">
        <f>IF('Données projet'!$A$62&gt;35,AI15+AH16-AQ15,IF(A16&lt;'Données projet'!$A$62,$AF$205^A16,IF(A16='Données projet'!$A$62,'Données projet'!$B$62,AI15+AH16-AQ15)))</f>
        <v>7.2691033760127128</v>
      </c>
      <c r="AJ16" s="13">
        <f>AI16*VLOOKUP('Données projet'!$B$10,Paramètres!$A$1:$I$89,3,0)*VLOOKUP('Données projet'!$B$10,Paramètres!$A$1:$I$89,5,0)</f>
        <v>6.2368906966189082</v>
      </c>
      <c r="AK16" s="13">
        <f t="shared" si="35"/>
        <v>2.3226614248977375</v>
      </c>
      <c r="AL16" s="20">
        <f t="shared" si="4"/>
        <v>14.907886611641489</v>
      </c>
      <c r="AM16" s="59">
        <f t="shared" si="5"/>
        <v>287.46344216719706</v>
      </c>
      <c r="AN16" s="59">
        <f ca="1">AVERAGE(OFFSET($AM$3,0,0,'Données projet'!$E$10+1,1))-AVERAGE(OFFSET($H$3,0,0,'Données projet'!$E$10+1,1))</f>
        <v>335.02113791949211</v>
      </c>
      <c r="AO16" s="59">
        <f t="shared" si="36"/>
        <v>222.06886429435099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2.9235042735042733</v>
      </c>
      <c r="BD16" s="12">
        <f>IF('Données projet'!$A$88&gt;35,BD15+BC16-BL15,IF(A16&lt;'Données projet'!$A$88,$BA$205^A16,IF(A16='Données projet'!$A$88,'Données projet'!$B$88,BD15+BC16-BL15)))</f>
        <v>6.9498830208148057</v>
      </c>
      <c r="BE16" s="13">
        <f>BD16*VLOOKUP('Données projet'!$B$11,Paramètres!$A$1:$I$89,3,0)*VLOOKUP('Données projet'!$B$11,Paramètres!$A$1:$I$89,5,0)</f>
        <v>6.7219268577320808</v>
      </c>
      <c r="BF16" s="13">
        <f t="shared" si="37"/>
        <v>2.4815645194376086</v>
      </c>
      <c r="BG16" s="20">
        <f t="shared" si="7"/>
        <v>16.029414148570542</v>
      </c>
      <c r="BH16" s="59">
        <f t="shared" si="8"/>
        <v>288.58496970412608</v>
      </c>
      <c r="BI16" s="59">
        <f ca="1">AVERAGE(OFFSET($BH$3,0,0,'Données projet'!$E$11+1,1))-AVERAGE(OFFSET($H$3,0,0,'Données projet'!$E$11+1,1))</f>
        <v>366.51581861366333</v>
      </c>
      <c r="BJ16" s="59">
        <f t="shared" si="38"/>
        <v>225.01415116995503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5.6</v>
      </c>
      <c r="BY16" s="12">
        <f>IF('Données projet'!$A$114&gt;35,BY15+BX16-CG15,IF(A16&lt;'Données projet'!$A$114,$BV$205^A16,IF(A16='Données projet'!$A$114,'Données projet'!$B$114,BY15+BX16-CG15)))</f>
        <v>24.799999999999997</v>
      </c>
      <c r="BZ16" s="13">
        <f>BY16*VLOOKUP('Données projet'!$B$12,Paramètres!$A$1:$I$89,3,0)*VLOOKUP('Données projet'!$B$12,Paramètres!$A$1:$I$89,5,0)</f>
        <v>16.248959999999997</v>
      </c>
      <c r="CA16" s="13">
        <f t="shared" si="39"/>
        <v>5.4129939058841172</v>
      </c>
      <c r="CB16" s="20">
        <f t="shared" si="10"/>
        <v>37.727903052748168</v>
      </c>
      <c r="CC16" s="59">
        <f t="shared" si="11"/>
        <v>310.2834586083037</v>
      </c>
      <c r="CD16" s="59">
        <f ca="1">AVERAGE(OFFSET($CC$3,0,0,'Données projet'!$E$12+1,1))-AVERAGE(OFFSET($H$3,0,0,'Données projet'!$E$12+1,1))</f>
        <v>230.58262378842818</v>
      </c>
      <c r="CE16" s="59">
        <f t="shared" si="40"/>
        <v>235.68746142880792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2.8546475599772528E-2</v>
      </c>
      <c r="CM16" s="21">
        <f>EXP(-LN(2)/2)*CM15+(1-EXP(-LN(2)/2))/(LN(2)/2)*CG16*CJ16*VLOOKUP('Données projet'!$B$12,Paramètres!$A$1:$I$89,3,0)*0.475*44/12</f>
        <v>6.5569888194123932E-2</v>
      </c>
      <c r="CN16" s="22">
        <f t="shared" si="12"/>
        <v>9.4116363793896457E-2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2.6666666666666665</v>
      </c>
      <c r="CT16" s="12">
        <f>IF('Données projet'!$A$140&gt;35,CT15+CS16-DB15,IF(A16&lt;'Données projet'!$A$140,$CQ$205^A16,IF(A16='Données projet'!$A$140,'Données projet'!$B$140,CT15+CS16-DB15)))</f>
        <v>24.459748796430759</v>
      </c>
      <c r="CU16" s="17">
        <f>CT16*VLOOKUP('Données projet'!$B$13,Paramètres!$A$1:$I$89,3,0)*VLOOKUP('Données projet'!$B$13,Paramètres!$A$1:$I$89,5,0)</f>
        <v>19.078604061215994</v>
      </c>
      <c r="CV16" s="13">
        <f t="shared" si="41"/>
        <v>6.2379664748280286</v>
      </c>
      <c r="CW16" s="20">
        <f t="shared" si="13"/>
        <v>44.093027016943331</v>
      </c>
      <c r="CX16" s="59">
        <f t="shared" si="14"/>
        <v>316.64858257249887</v>
      </c>
      <c r="CY16" s="59">
        <f ca="1">AVERAGE(OFFSET($CX$3,0,0,'Données projet'!$E$13+1,1))-AVERAGE(OFFSET($H$3,0,0,'Données projet'!$E$13+1,1))</f>
        <v>288.80569134263209</v>
      </c>
      <c r="CZ16" s="59">
        <f t="shared" si="42"/>
        <v>283.48738729114024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2.4666666666666668</v>
      </c>
      <c r="DO16" s="12">
        <f>IF('Données projet'!$A$166&gt;35,DO15+DN16-DW15,IF(A16&lt;'Données projet'!$A$166,$DL$205^A16,IF(A16='Données projet'!$A$166,'Données projet'!$B$166,DO15+DN16-DW15)))</f>
        <v>22.86168101684942</v>
      </c>
      <c r="DP16" s="17">
        <f>DO16*VLOOKUP('Données projet'!$B$14,Paramètres!$A$1:$I$89,3,0)*VLOOKUP('Données projet'!$B$14,Paramètres!$A$1:$I$89,5,0)</f>
        <v>18.188753417005401</v>
      </c>
      <c r="DQ16" s="13">
        <f t="shared" si="43"/>
        <v>5.9801756254374139</v>
      </c>
      <c r="DR16" s="20">
        <f t="shared" si="16"/>
        <v>42.094218082254564</v>
      </c>
      <c r="DS16" s="59">
        <f t="shared" si="17"/>
        <v>314.64977363781009</v>
      </c>
      <c r="DT16" s="59">
        <f ca="1">AVERAGE(OFFSET($DS$3,0,0,'Données projet'!$E$14+1,1))-AVERAGE(OFFSET($H$3,0,0,'Données projet'!$E$14+1,1))</f>
        <v>299.10536994156814</v>
      </c>
      <c r="DU16" s="59">
        <f t="shared" si="44"/>
        <v>292.57799203101769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2"/>
        <v>20.148112721871815</v>
      </c>
      <c r="R17" s="59">
        <f t="shared" si="0"/>
        <v>293.9258904996496</v>
      </c>
      <c r="S17" s="59">
        <f ca="1">AVERAGE(OFFSET($R$3,0,0,'Données projet'!$E$9+1,1))-AVERAGE(OFFSET($H$3,0,0,'Données projet'!$E$9+1,1))</f>
        <v>384.05928630855732</v>
      </c>
      <c r="T17" s="59">
        <f t="shared" si="34"/>
        <v>279.93992813630513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3.2427350427350423</v>
      </c>
      <c r="AI17" s="13">
        <f>IF('Données projet'!$A$62&gt;35,AI16+AH17-AQ16,IF(A17&lt;'Données projet'!$A$62,$AF$205^A17,IF(A17='Données projet'!$A$62,'Données projet'!$B$62,AI16+AH17-AQ16)))</f>
        <v>8.4673712638805245</v>
      </c>
      <c r="AJ17" s="13">
        <f>AI17*VLOOKUP('Données projet'!$B$10,Paramètres!$A$1:$I$89,3,0)*VLOOKUP('Données projet'!$B$10,Paramètres!$A$1:$I$89,5,0)</f>
        <v>7.2650045444094911</v>
      </c>
      <c r="AK17" s="13">
        <f t="shared" si="35"/>
        <v>2.6579089375972442</v>
      </c>
      <c r="AL17" s="20">
        <f t="shared" si="4"/>
        <v>17.282407647828396</v>
      </c>
      <c r="AM17" s="59">
        <f t="shared" si="5"/>
        <v>291.06018542560616</v>
      </c>
      <c r="AN17" s="59">
        <f ca="1">AVERAGE(OFFSET($AM$3,0,0,'Données projet'!$E$10+1,1))-AVERAGE(OFFSET($H$3,0,0,'Données projet'!$E$10+1,1))</f>
        <v>335.02113791949211</v>
      </c>
      <c r="AO17" s="59">
        <f t="shared" si="36"/>
        <v>222.06886429435099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2.9235042735042733</v>
      </c>
      <c r="BD17" s="12">
        <f>IF('Données projet'!$A$88&gt;35,BD16+BC17-BL16,IF(A17&lt;'Données projet'!$A$88,$BA$205^A17,IF(A17='Données projet'!$A$88,'Données projet'!$B$88,BD16+BC17-BL16)))</f>
        <v>8.0676118326430668</v>
      </c>
      <c r="BE17" s="13">
        <f>BD17*VLOOKUP('Données projet'!$B$11,Paramètres!$A$1:$I$89,3,0)*VLOOKUP('Données projet'!$B$11,Paramètres!$A$1:$I$89,5,0)</f>
        <v>7.8029941645323753</v>
      </c>
      <c r="BF17" s="13">
        <f t="shared" si="37"/>
        <v>2.8310929856636031</v>
      </c>
      <c r="BG17" s="20">
        <f t="shared" si="7"/>
        <v>18.521035119924662</v>
      </c>
      <c r="BH17" s="59">
        <f t="shared" si="8"/>
        <v>292.29881289770242</v>
      </c>
      <c r="BI17" s="59">
        <f ca="1">AVERAGE(OFFSET($BH$3,0,0,'Données projet'!$E$11+1,1))-AVERAGE(OFFSET($H$3,0,0,'Données projet'!$E$11+1,1))</f>
        <v>366.51581861366333</v>
      </c>
      <c r="BJ17" s="59">
        <f t="shared" si="38"/>
        <v>225.01415116995503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5.6</v>
      </c>
      <c r="BY17" s="12">
        <f>IF('Données projet'!$A$114&gt;35,BY16+BX17-CG16,IF(A17&lt;'Données projet'!$A$114,$BV$205^A17,IF(A17='Données projet'!$A$114,'Données projet'!$B$114,BY16+BX17-CG16)))</f>
        <v>30.4</v>
      </c>
      <c r="BZ17" s="13">
        <f>BY17*VLOOKUP('Données projet'!$B$12,Paramètres!$A$1:$I$89,3,0)*VLOOKUP('Données projet'!$B$12,Paramètres!$A$1:$I$89,5,0)</f>
        <v>19.91808</v>
      </c>
      <c r="CA17" s="13">
        <f t="shared" si="39"/>
        <v>6.4798825087607046</v>
      </c>
      <c r="CB17" s="20">
        <f t="shared" si="10"/>
        <v>45.976451369424893</v>
      </c>
      <c r="CC17" s="59">
        <f t="shared" si="11"/>
        <v>319.75422914720264</v>
      </c>
      <c r="CD17" s="59">
        <f ca="1">AVERAGE(OFFSET($CC$3,0,0,'Données projet'!$E$12+1,1))-AVERAGE(OFFSET($H$3,0,0,'Données projet'!$E$12+1,1))</f>
        <v>230.58262378842818</v>
      </c>
      <c r="CE17" s="59">
        <f t="shared" si="40"/>
        <v>235.68746142880792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2.7765870723302839E-2</v>
      </c>
      <c r="CM17" s="21">
        <f>EXP(-LN(2)/2)*CM16+(1-EXP(-LN(2)/2))/(LN(2)/2)*CG17*CJ17*VLOOKUP('Données projet'!$B$12,Paramètres!$A$1:$I$89,3,0)*0.475*44/12</f>
        <v>4.6364912583708777E-2</v>
      </c>
      <c r="CN17" s="22">
        <f t="shared" si="12"/>
        <v>7.4130783307011616E-2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2.6666666666666665</v>
      </c>
      <c r="CT17" s="12">
        <f>IF('Données projet'!$A$140&gt;35,CT16+CS17-DB16,IF(A17&lt;'Données projet'!$A$140,$CQ$205^A17,IF(A17='Données projet'!$A$140,'Données projet'!$B$140,CT16+CS17-DB16)))</f>
        <v>31.279225563578599</v>
      </c>
      <c r="CU17" s="17">
        <f>CT17*VLOOKUP('Données projet'!$B$13,Paramètres!$A$1:$I$89,3,0)*VLOOKUP('Données projet'!$B$13,Paramètres!$A$1:$I$89,5,0)</f>
        <v>24.397795939591308</v>
      </c>
      <c r="CV17" s="13">
        <f t="shared" si="41"/>
        <v>7.75202295846145</v>
      </c>
      <c r="CW17" s="20">
        <f t="shared" si="13"/>
        <v>55.994267914108548</v>
      </c>
      <c r="CX17" s="59">
        <f t="shared" si="14"/>
        <v>329.77204569188632</v>
      </c>
      <c r="CY17" s="59">
        <f ca="1">AVERAGE(OFFSET($CX$3,0,0,'Données projet'!$E$13+1,1))-AVERAGE(OFFSET($H$3,0,0,'Données projet'!$E$13+1,1))</f>
        <v>288.80569134263209</v>
      </c>
      <c r="CZ17" s="59">
        <f t="shared" si="42"/>
        <v>283.48738729114024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2.4666666666666668</v>
      </c>
      <c r="DO17" s="12">
        <f>IF('Données projet'!$A$166&gt;35,DO16+DN17-DW16,IF(A17&lt;'Données projet'!$A$166,$DL$205^A17,IF(A17='Données projet'!$A$166,'Données projet'!$B$166,DO16+DN17-DW16)))</f>
        <v>29.084054009429774</v>
      </c>
      <c r="DP17" s="17">
        <f>DO17*VLOOKUP('Données projet'!$B$14,Paramètres!$A$1:$I$89,3,0)*VLOOKUP('Données projet'!$B$14,Paramètres!$A$1:$I$89,5,0)</f>
        <v>23.13927336990233</v>
      </c>
      <c r="DQ17" s="13">
        <f t="shared" si="43"/>
        <v>7.3976107331343286</v>
      </c>
      <c r="DR17" s="20">
        <f t="shared" si="16"/>
        <v>53.185073146122171</v>
      </c>
      <c r="DS17" s="59">
        <f t="shared" si="17"/>
        <v>326.96285092389996</v>
      </c>
      <c r="DT17" s="59">
        <f ca="1">AVERAGE(OFFSET($DS$3,0,0,'Données projet'!$E$14+1,1))-AVERAGE(OFFSET($H$3,0,0,'Données projet'!$E$14+1,1))</f>
        <v>299.10536994156814</v>
      </c>
      <c r="DU17" s="59">
        <f t="shared" si="44"/>
        <v>292.57799203101769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2"/>
        <v>23.531080041429274</v>
      </c>
      <c r="R18" s="59">
        <f t="shared" si="0"/>
        <v>298.53108004142928</v>
      </c>
      <c r="S18" s="59">
        <f ca="1">AVERAGE(OFFSET($R$3,0,0,'Données projet'!$E$9+1,1))-AVERAGE(OFFSET($H$3,0,0,'Données projet'!$E$9+1,1))</f>
        <v>384.05928630855732</v>
      </c>
      <c r="T18" s="59">
        <f t="shared" si="34"/>
        <v>279.93992813630513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3.2427350427350423</v>
      </c>
      <c r="AI18" s="13">
        <f>IF('Données projet'!$A$62&gt;35,AI17+AH18-AQ17,IF(A18&lt;'Données projet'!$A$62,$AF$205^A18,IF(A18='Données projet'!$A$62,'Données projet'!$B$62,AI17+AH18-AQ17)))</f>
        <v>9.8631663922926531</v>
      </c>
      <c r="AJ18" s="13">
        <f>AI18*VLOOKUP('Données projet'!$B$10,Paramètres!$A$1:$I$89,3,0)*VLOOKUP('Données projet'!$B$10,Paramètres!$A$1:$I$89,5,0)</f>
        <v>8.4625967645870972</v>
      </c>
      <c r="AK18" s="13">
        <f t="shared" si="35"/>
        <v>3.0415452914625072</v>
      </c>
      <c r="AL18" s="20">
        <f t="shared" si="4"/>
        <v>20.036380747619727</v>
      </c>
      <c r="AM18" s="59">
        <f t="shared" si="5"/>
        <v>295.03638074761972</v>
      </c>
      <c r="AN18" s="59">
        <f ca="1">AVERAGE(OFFSET($AM$3,0,0,'Données projet'!$E$10+1,1))-AVERAGE(OFFSET($H$3,0,0,'Données projet'!$E$10+1,1))</f>
        <v>335.02113791949211</v>
      </c>
      <c r="AO18" s="59">
        <f t="shared" si="36"/>
        <v>222.06886429435099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2.9235042735042733</v>
      </c>
      <c r="BD18" s="12">
        <f>IF('Données projet'!$A$88&gt;35,BD17+BC18-BL17,IF(A18&lt;'Données projet'!$A$88,$BA$205^A18,IF(A18='Données projet'!$A$88,'Données projet'!$B$88,BD17+BC18-BL17)))</f>
        <v>9.3651016121091022</v>
      </c>
      <c r="BE18" s="13">
        <f>BD18*VLOOKUP('Données projet'!$B$11,Paramètres!$A$1:$I$89,3,0)*VLOOKUP('Données projet'!$B$11,Paramètres!$A$1:$I$89,5,0)</f>
        <v>9.0579262792319231</v>
      </c>
      <c r="BF18" s="13">
        <f t="shared" si="37"/>
        <v>3.2298525509584954</v>
      </c>
      <c r="BG18" s="20">
        <f t="shared" si="7"/>
        <v>21.401214795914981</v>
      </c>
      <c r="BH18" s="59">
        <f t="shared" si="8"/>
        <v>296.401214795915</v>
      </c>
      <c r="BI18" s="59">
        <f ca="1">AVERAGE(OFFSET($BH$3,0,0,'Données projet'!$E$11+1,1))-AVERAGE(OFFSET($H$3,0,0,'Données projet'!$E$11+1,1))</f>
        <v>366.51581861366333</v>
      </c>
      <c r="BJ18" s="59">
        <f t="shared" si="38"/>
        <v>225.01415116995503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36</v>
      </c>
      <c r="BW18" s="12">
        <f>VLOOKUP(A18,'Données projet'!$A$113:$I$133,9,0)</f>
        <v>5.6</v>
      </c>
      <c r="BX18" s="12">
        <f t="array" ref="BX18">INDEX(BW:BW,MIN(IF(ISNUMBER(BW18:BW214),ROW(BW18:BW214),"")))</f>
        <v>5.6</v>
      </c>
      <c r="BY18" s="12">
        <f>IF('Données projet'!$A$114&gt;35,BY17+BX18-CG17,IF(A18&lt;'Données projet'!$A$114,$BV$205^A18,IF(A18='Données projet'!$A$114,'Données projet'!$B$114,BY17+BX18-CG17)))</f>
        <v>36</v>
      </c>
      <c r="BZ18" s="13">
        <f>BY18*VLOOKUP('Données projet'!$B$12,Paramètres!$A$1:$I$89,3,0)*VLOOKUP('Données projet'!$B$12,Paramètres!$A$1:$I$89,5,0)</f>
        <v>23.587199999999999</v>
      </c>
      <c r="CA18" s="13">
        <f t="shared" si="39"/>
        <v>7.5240023521815003</v>
      </c>
      <c r="CB18" s="20">
        <f t="shared" si="10"/>
        <v>54.185344096716108</v>
      </c>
      <c r="CC18" s="59">
        <f t="shared" si="11"/>
        <v>329.18534409671611</v>
      </c>
      <c r="CD18" s="59">
        <f ca="1">AVERAGE(OFFSET($CC$3,0,0,'Données projet'!$E$12+1,1))-AVERAGE(OFFSET($H$3,0,0,'Données projet'!$E$12+1,1))</f>
        <v>230.58262378842818</v>
      </c>
      <c r="CE18" s="59">
        <f t="shared" si="40"/>
        <v>235.68746142880792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3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4.3000000000000003E-2</v>
      </c>
      <c r="CJ18" s="16">
        <f>IF(ISNA(VLOOKUP(A18,'Données projet'!$A$113:$I$133,7,0)),0%,VLOOKUP(A18,'Données projet'!$A$113:$I$133,7,0))</f>
        <v>0.3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0.12007396223779727</v>
      </c>
      <c r="CM18" s="21">
        <f>EXP(-LN(2)/2)*CM17+(1-EXP(-LN(2)/2))/(LN(2)/2)*CG18*CJ18*VLOOKUP('Données projet'!$B$12,Paramètres!$A$1:$I$89,3,0)*0.475*44/12</f>
        <v>0.5891638951015673</v>
      </c>
      <c r="CN18" s="22">
        <f t="shared" si="12"/>
        <v>0.70923785733936462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40</v>
      </c>
      <c r="CR18" s="12">
        <f>VLOOKUP(A18,'Données projet'!$A$139:$I$159,9,0)</f>
        <v>2.6666666666666665</v>
      </c>
      <c r="CS18" s="12">
        <f t="array" ref="CS18">INDEX(CR:CR,MIN(IF(ISNUMBER(CR18:CR214),ROW(CR18:CR214),"")))</f>
        <v>2.6666666666666665</v>
      </c>
      <c r="CT18" s="12">
        <f>IF('Données projet'!$A$140&gt;35,CT17+CS18-DB17,IF(A18&lt;'Données projet'!$A$140,$CQ$205^A18,IF(A18='Données projet'!$A$140,'Données projet'!$B$140,CT17+CS18-DB17)))</f>
        <v>40</v>
      </c>
      <c r="CU18" s="17">
        <f>CT18*VLOOKUP('Données projet'!$B$13,Paramètres!$A$1:$I$89,3,0)*VLOOKUP('Données projet'!$B$13,Paramètres!$A$1:$I$89,5,0)</f>
        <v>31.200000000000003</v>
      </c>
      <c r="CV18" s="13">
        <f t="shared" si="41"/>
        <v>9.6335657126419925</v>
      </c>
      <c r="CW18" s="20">
        <f t="shared" si="13"/>
        <v>71.118460282851473</v>
      </c>
      <c r="CX18" s="59">
        <f t="shared" si="14"/>
        <v>346.11846028285146</v>
      </c>
      <c r="CY18" s="59">
        <f ca="1">AVERAGE(OFFSET($CX$3,0,0,'Données projet'!$E$13+1,1))-AVERAGE(OFFSET($H$3,0,0,'Données projet'!$E$13+1,1))</f>
        <v>288.80569134263209</v>
      </c>
      <c r="CZ18" s="59">
        <f t="shared" si="42"/>
        <v>283.48738729114024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37</v>
      </c>
      <c r="DM18" s="12">
        <f>VLOOKUP(A18,'Données projet'!$A$165:$I$185,9,0)</f>
        <v>2.4666666666666668</v>
      </c>
      <c r="DN18" s="12">
        <f t="array" ref="DN18">INDEX(DM:DM,MIN(IF(ISNUMBER(DM18:DM214),ROW(DM18:DM214),"")))</f>
        <v>2.4666666666666668</v>
      </c>
      <c r="DO18" s="12">
        <f>IF('Données projet'!$A$166&gt;35,DO17+DN18-DW17,IF(A18&lt;'Données projet'!$A$166,$DL$205^A18,IF(A18='Données projet'!$A$166,'Données projet'!$B$166,DO17+DN18-DW17)))</f>
        <v>37</v>
      </c>
      <c r="DP18" s="17">
        <f>DO18*VLOOKUP('Données projet'!$B$14,Paramètres!$A$1:$I$89,3,0)*VLOOKUP('Données projet'!$B$14,Paramètres!$A$1:$I$89,5,0)</f>
        <v>29.437200000000004</v>
      </c>
      <c r="DQ18" s="13">
        <f t="shared" si="43"/>
        <v>9.1510096001539196</v>
      </c>
      <c r="DR18" s="20">
        <f t="shared" si="16"/>
        <v>67.207798386934755</v>
      </c>
      <c r="DS18" s="59">
        <f t="shared" si="17"/>
        <v>342.20779838693477</v>
      </c>
      <c r="DT18" s="59">
        <f ca="1">AVERAGE(OFFSET($DS$3,0,0,'Données projet'!$E$14+1,1))-AVERAGE(OFFSET($H$3,0,0,'Données projet'!$E$14+1,1))</f>
        <v>299.10536994156814</v>
      </c>
      <c r="DU18" s="59">
        <f t="shared" si="44"/>
        <v>292.57799203101769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15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2"/>
        <v>27.483903609727193</v>
      </c>
      <c r="R19" s="59">
        <f t="shared" si="0"/>
        <v>303.70612583194941</v>
      </c>
      <c r="S19" s="59">
        <f ca="1">AVERAGE(OFFSET($R$3,0,0,'Données projet'!$E$9+1,1))-AVERAGE(OFFSET($H$3,0,0,'Données projet'!$E$9+1,1))</f>
        <v>384.05928630855732</v>
      </c>
      <c r="T19" s="59">
        <f t="shared" si="34"/>
        <v>279.93992813630513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3.2427350427350423</v>
      </c>
      <c r="AI19" s="13">
        <f>IF('Données projet'!$A$62&gt;35,AI18+AH19-AQ18,IF(A19&lt;'Données projet'!$A$62,$AF$205^A19,IF(A19='Données projet'!$A$62,'Données projet'!$B$62,AI18+AH19-AQ18)))</f>
        <v>11.4890499365523</v>
      </c>
      <c r="AJ19" s="13">
        <f>AI19*VLOOKUP('Données projet'!$B$10,Paramètres!$A$1:$I$89,3,0)*VLOOKUP('Données projet'!$B$10,Paramètres!$A$1:$I$89,5,0)</f>
        <v>9.857604845561875</v>
      </c>
      <c r="AK19" s="13">
        <f t="shared" si="35"/>
        <v>3.4805548185487023</v>
      </c>
      <c r="AL19" s="20">
        <f t="shared" si="4"/>
        <v>23.230628081659251</v>
      </c>
      <c r="AM19" s="59">
        <f t="shared" si="5"/>
        <v>299.45285030388146</v>
      </c>
      <c r="AN19" s="59">
        <f ca="1">AVERAGE(OFFSET($AM$3,0,0,'Données projet'!$E$10+1,1))-AVERAGE(OFFSET($H$3,0,0,'Données projet'!$E$10+1,1))</f>
        <v>335.02113791949211</v>
      </c>
      <c r="AO19" s="59">
        <f t="shared" si="36"/>
        <v>222.06886429435099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2.9235042735042733</v>
      </c>
      <c r="BD19" s="12">
        <f>IF('Données projet'!$A$88&gt;35,BD18+BC19-BL18,IF(A19&lt;'Données projet'!$A$88,$BA$205^A19,IF(A19='Données projet'!$A$88,'Données projet'!$B$88,BD18+BC19-BL18)))</f>
        <v>10.87126277571476</v>
      </c>
      <c r="BE19" s="13">
        <f>BD19*VLOOKUP('Données projet'!$B$11,Paramètres!$A$1:$I$89,3,0)*VLOOKUP('Données projet'!$B$11,Paramètres!$A$1:$I$89,5,0)</f>
        <v>10.514685356671317</v>
      </c>
      <c r="BF19" s="13">
        <f t="shared" si="37"/>
        <v>3.6847774176826884</v>
      </c>
      <c r="BG19" s="20">
        <f t="shared" si="7"/>
        <v>24.730730998666559</v>
      </c>
      <c r="BH19" s="59">
        <f t="shared" si="8"/>
        <v>300.95295322088879</v>
      </c>
      <c r="BI19" s="59">
        <f ca="1">AVERAGE(OFFSET($BH$3,0,0,'Données projet'!$E$11+1,1))-AVERAGE(OFFSET($H$3,0,0,'Données projet'!$E$11+1,1))</f>
        <v>366.51581861366333</v>
      </c>
      <c r="BJ19" s="59">
        <f t="shared" si="38"/>
        <v>225.01415116995503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10.199999999999999</v>
      </c>
      <c r="BY19" s="12">
        <f>IF('Données projet'!$A$114&gt;35,BY18+BX19-CG18,IF(A19&lt;'Données projet'!$A$114,$BV$205^A19,IF(A19='Données projet'!$A$114,'Données projet'!$B$114,BY18+BX19-CG18)))</f>
        <v>43.2</v>
      </c>
      <c r="BZ19" s="13">
        <f>BY19*VLOOKUP('Données projet'!$B$12,Paramètres!$A$1:$I$89,3,0)*VLOOKUP('Données projet'!$B$12,Paramètres!$A$1:$I$89,5,0)</f>
        <v>28.304640000000003</v>
      </c>
      <c r="CA19" s="13">
        <f t="shared" si="39"/>
        <v>8.8392104022316804</v>
      </c>
      <c r="CB19" s="20">
        <f t="shared" si="10"/>
        <v>64.692206117220181</v>
      </c>
      <c r="CC19" s="59">
        <f t="shared" si="11"/>
        <v>340.9144283394424</v>
      </c>
      <c r="CD19" s="59">
        <f ca="1">AVERAGE(OFFSET($CC$3,0,0,'Données projet'!$E$12+1,1))-AVERAGE(OFFSET($H$3,0,0,'Données projet'!$E$12+1,1))</f>
        <v>230.58262378842818</v>
      </c>
      <c r="CE19" s="59">
        <f t="shared" si="40"/>
        <v>235.68746142880792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0.11679053342598947</v>
      </c>
      <c r="CM19" s="21">
        <f>EXP(-LN(2)/2)*CM18+(1-EXP(-LN(2)/2))/(LN(2)/2)*CG19*CJ19*VLOOKUP('Données projet'!$B$12,Paramètres!$A$1:$I$89,3,0)*0.475*44/12</f>
        <v>0.41660178545659804</v>
      </c>
      <c r="CN19" s="22">
        <f t="shared" si="12"/>
        <v>0.53339231888258754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9.6</v>
      </c>
      <c r="CT19" s="12">
        <f>IF('Données projet'!$A$140&gt;35,CT18+CS19-DB18,IF(A19&lt;'Données projet'!$A$140,$CQ$205^A19,IF(A19='Données projet'!$A$140,'Données projet'!$B$140,CT18+CS19-DB18)))</f>
        <v>46.6</v>
      </c>
      <c r="CU19" s="17">
        <f>CT19*VLOOKUP('Données projet'!$B$13,Paramètres!$A$1:$I$89,3,0)*VLOOKUP('Données projet'!$B$13,Paramètres!$A$1:$I$89,5,0)</f>
        <v>36.347999999999999</v>
      </c>
      <c r="CV19" s="13">
        <f t="shared" si="41"/>
        <v>11.025356771848859</v>
      </c>
      <c r="CW19" s="20">
        <f t="shared" si="13"/>
        <v>82.508596377636763</v>
      </c>
      <c r="CX19" s="59">
        <f t="shared" si="14"/>
        <v>358.73081859985899</v>
      </c>
      <c r="CY19" s="59">
        <f ca="1">AVERAGE(OFFSET($CX$3,0,0,'Données projet'!$E$13+1,1))-AVERAGE(OFFSET($H$3,0,0,'Données projet'!$E$13+1,1))</f>
        <v>288.80569134263209</v>
      </c>
      <c r="CZ19" s="59">
        <f t="shared" si="42"/>
        <v>283.48738729114024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11.6</v>
      </c>
      <c r="DO19" s="12">
        <f>IF('Données projet'!$A$166&gt;35,DO18+DN19-DW18,IF(A19&lt;'Données projet'!$A$166,$DL$205^A19,IF(A19='Données projet'!$A$166,'Données projet'!$B$166,DO18+DN19-DW18)))</f>
        <v>33.6</v>
      </c>
      <c r="DP19" s="17">
        <f>DO19*VLOOKUP('Données projet'!$B$14,Paramètres!$A$1:$I$89,3,0)*VLOOKUP('Données projet'!$B$14,Paramètres!$A$1:$I$89,5,0)</f>
        <v>26.732160000000004</v>
      </c>
      <c r="DQ19" s="13">
        <f t="shared" si="43"/>
        <v>8.4038705306032053</v>
      </c>
      <c r="DR19" s="20">
        <f t="shared" si="16"/>
        <v>61.195253174133917</v>
      </c>
      <c r="DS19" s="59">
        <f t="shared" si="17"/>
        <v>337.41747539635617</v>
      </c>
      <c r="DT19" s="59">
        <f ca="1">AVERAGE(OFFSET($DS$3,0,0,'Données projet'!$E$14+1,1))-AVERAGE(OFFSET($H$3,0,0,'Données projet'!$E$14+1,1))</f>
        <v>299.10536994156814</v>
      </c>
      <c r="DU19" s="59">
        <f t="shared" si="44"/>
        <v>292.57799203101769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2"/>
        <v>32.102863986196247</v>
      </c>
      <c r="R20" s="59">
        <f t="shared" si="0"/>
        <v>309.54730843064073</v>
      </c>
      <c r="S20" s="59">
        <f ca="1">AVERAGE(OFFSET($R$3,0,0,'Données projet'!$E$9+1,1))-AVERAGE(OFFSET($H$3,0,0,'Données projet'!$E$9+1,1))</f>
        <v>384.05928630855732</v>
      </c>
      <c r="T20" s="59">
        <f t="shared" si="34"/>
        <v>279.93992813630513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3.2427350427350423</v>
      </c>
      <c r="AI20" s="13">
        <f>IF('Données projet'!$A$62&gt;35,AI19+AH20-AQ19,IF(A20&lt;'Données projet'!$A$62,$AF$205^A20,IF(A20='Données projet'!$A$62,'Données projet'!$B$62,AI19+AH20-AQ19)))</f>
        <v>13.382950585497515</v>
      </c>
      <c r="AJ20" s="13">
        <f>AI20*VLOOKUP('Données projet'!$B$10,Paramètres!$A$1:$I$89,3,0)*VLOOKUP('Données projet'!$B$10,Paramètres!$A$1:$I$89,5,0)</f>
        <v>11.482571602356868</v>
      </c>
      <c r="AK20" s="13">
        <f t="shared" si="35"/>
        <v>3.9829299530494664</v>
      </c>
      <c r="AL20" s="20">
        <f t="shared" si="4"/>
        <v>26.935748542332693</v>
      </c>
      <c r="AM20" s="59">
        <f t="shared" si="5"/>
        <v>304.38019298677716</v>
      </c>
      <c r="AN20" s="59">
        <f ca="1">AVERAGE(OFFSET($AM$3,0,0,'Données projet'!$E$10+1,1))-AVERAGE(OFFSET($H$3,0,0,'Données projet'!$E$10+1,1))</f>
        <v>335.02113791949211</v>
      </c>
      <c r="AO20" s="59">
        <f t="shared" si="36"/>
        <v>222.06886429435099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2.9235042735042733</v>
      </c>
      <c r="BD20" s="12">
        <f>IF('Données projet'!$A$88&gt;35,BD19+BC20-BL19,IF(A20&lt;'Données projet'!$A$88,$BA$205^A20,IF(A20='Données projet'!$A$88,'Données projet'!$B$88,BD19+BC20-BL19)))</f>
        <v>12.619655315413629</v>
      </c>
      <c r="BE20" s="13">
        <f>BD20*VLOOKUP('Données projet'!$B$11,Paramètres!$A$1:$I$89,3,0)*VLOOKUP('Données projet'!$B$11,Paramètres!$A$1:$I$89,5,0)</f>
        <v>12.205730621068064</v>
      </c>
      <c r="BF20" s="13">
        <f t="shared" si="37"/>
        <v>4.2037784708887092</v>
      </c>
      <c r="BG20" s="20">
        <f t="shared" si="7"/>
        <v>28.57989500182471</v>
      </c>
      <c r="BH20" s="59">
        <f t="shared" si="8"/>
        <v>306.02433944626915</v>
      </c>
      <c r="BI20" s="59">
        <f ca="1">AVERAGE(OFFSET($BH$3,0,0,'Données projet'!$E$11+1,1))-AVERAGE(OFFSET($H$3,0,0,'Données projet'!$E$11+1,1))</f>
        <v>366.51581861366333</v>
      </c>
      <c r="BJ20" s="59">
        <f t="shared" si="38"/>
        <v>225.01415116995503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10.199999999999999</v>
      </c>
      <c r="BY20" s="12">
        <f>IF('Données projet'!$A$114&gt;35,BY19+BX20-CG19,IF(A20&lt;'Données projet'!$A$114,$BV$205^A20,IF(A20='Données projet'!$A$114,'Données projet'!$B$114,BY19+BX20-CG19)))</f>
        <v>53.400000000000006</v>
      </c>
      <c r="BZ20" s="13">
        <f>BY20*VLOOKUP('Données projet'!$B$12,Paramètres!$A$1:$I$89,3,0)*VLOOKUP('Données projet'!$B$12,Paramètres!$A$1:$I$89,5,0)</f>
        <v>34.987680000000005</v>
      </c>
      <c r="CA20" s="13">
        <f t="shared" si="39"/>
        <v>10.65995785514129</v>
      </c>
      <c r="CB20" s="20">
        <f t="shared" si="10"/>
        <v>79.502969264371089</v>
      </c>
      <c r="CC20" s="59">
        <f t="shared" si="11"/>
        <v>356.94741370881553</v>
      </c>
      <c r="CD20" s="59">
        <f ca="1">AVERAGE(OFFSET($CC$3,0,0,'Données projet'!$E$12+1,1))-AVERAGE(OFFSET($H$3,0,0,'Données projet'!$E$12+1,1))</f>
        <v>230.58262378842818</v>
      </c>
      <c r="CE20" s="59">
        <f t="shared" si="40"/>
        <v>235.68746142880792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0.11359689014770856</v>
      </c>
      <c r="CM20" s="21">
        <f>EXP(-LN(2)/2)*CM19+(1-EXP(-LN(2)/2))/(LN(2)/2)*CG20*CJ20*VLOOKUP('Données projet'!$B$12,Paramètres!$A$1:$I$89,3,0)*0.475*44/12</f>
        <v>0.29458194755078371</v>
      </c>
      <c r="CN20" s="22">
        <f t="shared" si="12"/>
        <v>0.40817883769849228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9.6</v>
      </c>
      <c r="CT20" s="12">
        <f>IF('Données projet'!$A$140&gt;35,CT19+CS20-DB19,IF(A20&lt;'Données projet'!$A$140,$CQ$205^A20,IF(A20='Données projet'!$A$140,'Données projet'!$B$140,CT19+CS20-DB19)))</f>
        <v>56.2</v>
      </c>
      <c r="CU20" s="17">
        <f>CT20*VLOOKUP('Données projet'!$B$13,Paramètres!$A$1:$I$89,3,0)*VLOOKUP('Données projet'!$B$13,Paramètres!$A$1:$I$89,5,0)</f>
        <v>43.836000000000006</v>
      </c>
      <c r="CV20" s="13">
        <f t="shared" si="41"/>
        <v>13.009897179721728</v>
      </c>
      <c r="CW20" s="20">
        <f t="shared" si="13"/>
        <v>99.006604254682017</v>
      </c>
      <c r="CX20" s="59">
        <f t="shared" si="14"/>
        <v>376.45104869912649</v>
      </c>
      <c r="CY20" s="59">
        <f ca="1">AVERAGE(OFFSET($CX$3,0,0,'Données projet'!$E$13+1,1))-AVERAGE(OFFSET($H$3,0,0,'Données projet'!$E$13+1,1))</f>
        <v>288.80569134263209</v>
      </c>
      <c r="CZ20" s="59">
        <f t="shared" si="42"/>
        <v>283.48738729114024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11.6</v>
      </c>
      <c r="DO20" s="12">
        <f>IF('Données projet'!$A$166&gt;35,DO19+DN20-DW19,IF(A20&lt;'Données projet'!$A$166,$DL$205^A20,IF(A20='Données projet'!$A$166,'Données projet'!$B$166,DO19+DN20-DW19)))</f>
        <v>45.2</v>
      </c>
      <c r="DP20" s="17">
        <f>DO20*VLOOKUP('Données projet'!$B$14,Paramètres!$A$1:$I$89,3,0)*VLOOKUP('Données projet'!$B$14,Paramètres!$A$1:$I$89,5,0)</f>
        <v>35.961120000000008</v>
      </c>
      <c r="DQ20" s="13">
        <f t="shared" si="43"/>
        <v>10.921600552662685</v>
      </c>
      <c r="DR20" s="20">
        <f t="shared" si="16"/>
        <v>81.654071629220851</v>
      </c>
      <c r="DS20" s="59">
        <f t="shared" si="17"/>
        <v>359.09851607366534</v>
      </c>
      <c r="DT20" s="59">
        <f ca="1">AVERAGE(OFFSET($DS$3,0,0,'Données projet'!$E$14+1,1))-AVERAGE(OFFSET($H$3,0,0,'Données projet'!$E$14+1,1))</f>
        <v>299.10536994156814</v>
      </c>
      <c r="DU20" s="59">
        <f t="shared" si="44"/>
        <v>292.57799203101769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2"/>
        <v>37.500554171921223</v>
      </c>
      <c r="R21" s="59">
        <f t="shared" si="0"/>
        <v>316.16722083858792</v>
      </c>
      <c r="S21" s="59">
        <f ca="1">AVERAGE(OFFSET($R$3,0,0,'Données projet'!$E$9+1,1))-AVERAGE(OFFSET($H$3,0,0,'Données projet'!$E$9+1,1))</f>
        <v>384.05928630855732</v>
      </c>
      <c r="T21" s="59">
        <f t="shared" si="34"/>
        <v>279.93992813630513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3.2427350427350423</v>
      </c>
      <c r="AI21" s="13">
        <f>IF('Données projet'!$A$62&gt;35,AI20+AH21-AQ20,IF(A21&lt;'Données projet'!$A$62,$AF$205^A21,IF(A21='Données projet'!$A$62,'Données projet'!$B$62,AI20+AH21-AQ20)))</f>
        <v>15.589049343762767</v>
      </c>
      <c r="AJ21" s="13">
        <f>AI21*VLOOKUP('Données projet'!$B$10,Paramètres!$A$1:$I$89,3,0)*VLOOKUP('Données projet'!$B$10,Paramètres!$A$1:$I$89,5,0)</f>
        <v>13.375404336948456</v>
      </c>
      <c r="AK21" s="13">
        <f t="shared" si="35"/>
        <v>4.5578167383995902</v>
      </c>
      <c r="AL21" s="20">
        <f t="shared" si="4"/>
        <v>31.233693372897847</v>
      </c>
      <c r="AM21" s="59">
        <f t="shared" si="5"/>
        <v>309.90036003956453</v>
      </c>
      <c r="AN21" s="59">
        <f ca="1">AVERAGE(OFFSET($AM$3,0,0,'Données projet'!$E$10+1,1))-AVERAGE(OFFSET($H$3,0,0,'Données projet'!$E$10+1,1))</f>
        <v>335.02113791949211</v>
      </c>
      <c r="AO21" s="59">
        <f t="shared" si="36"/>
        <v>222.06886429435099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2.9235042735042733</v>
      </c>
      <c r="BD21" s="12">
        <f>IF('Données projet'!$A$88&gt;35,BD20+BC21-BL20,IF(A21&lt;'Données projet'!$A$88,$BA$205^A21,IF(A21='Données projet'!$A$88,'Données projet'!$B$88,BD20+BC21-BL20)))</f>
        <v>14.649236575865659</v>
      </c>
      <c r="BE21" s="13">
        <f>BD21*VLOOKUP('Données projet'!$B$11,Paramètres!$A$1:$I$89,3,0)*VLOOKUP('Données projet'!$B$11,Paramètres!$A$1:$I$89,5,0)</f>
        <v>14.168741616177266</v>
      </c>
      <c r="BF21" s="13">
        <f t="shared" si="37"/>
        <v>4.7958808441191989</v>
      </c>
      <c r="BG21" s="20">
        <f t="shared" si="7"/>
        <v>33.030050785016336</v>
      </c>
      <c r="BH21" s="59">
        <f t="shared" si="8"/>
        <v>311.69671745168301</v>
      </c>
      <c r="BI21" s="59">
        <f ca="1">AVERAGE(OFFSET($BH$3,0,0,'Données projet'!$E$11+1,1))-AVERAGE(OFFSET($H$3,0,0,'Données projet'!$E$11+1,1))</f>
        <v>366.51581861366333</v>
      </c>
      <c r="BJ21" s="59">
        <f t="shared" si="38"/>
        <v>225.01415116995503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10.199999999999999</v>
      </c>
      <c r="BY21" s="12">
        <f>IF('Données projet'!$A$114&gt;35,BY20+BX21-CG20,IF(A21&lt;'Données projet'!$A$114,$BV$205^A21,IF(A21='Données projet'!$A$114,'Données projet'!$B$114,BY20+BX21-CG20)))</f>
        <v>63.600000000000009</v>
      </c>
      <c r="BZ21" s="13">
        <f>BY21*VLOOKUP('Données projet'!$B$12,Paramètres!$A$1:$I$89,3,0)*VLOOKUP('Données projet'!$B$12,Paramètres!$A$1:$I$89,5,0)</f>
        <v>41.67072000000001</v>
      </c>
      <c r="CA21" s="13">
        <f t="shared" si="39"/>
        <v>12.440411337011152</v>
      </c>
      <c r="CB21" s="20">
        <f t="shared" si="10"/>
        <v>94.243553745294435</v>
      </c>
      <c r="CC21" s="59">
        <f t="shared" si="11"/>
        <v>372.91022041196112</v>
      </c>
      <c r="CD21" s="59">
        <f ca="1">AVERAGE(OFFSET($CC$3,0,0,'Données projet'!$E$12+1,1))-AVERAGE(OFFSET($H$3,0,0,'Données projet'!$E$12+1,1))</f>
        <v>230.58262378842818</v>
      </c>
      <c r="CE21" s="59">
        <f t="shared" si="40"/>
        <v>235.68746142880792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0.11049057721281864</v>
      </c>
      <c r="CM21" s="21">
        <f>EXP(-LN(2)/2)*CM20+(1-EXP(-LN(2)/2))/(LN(2)/2)*CG21*CJ21*VLOOKUP('Données projet'!$B$12,Paramètres!$A$1:$I$89,3,0)*0.475*44/12</f>
        <v>0.20830089272829905</v>
      </c>
      <c r="CN21" s="22">
        <f t="shared" si="12"/>
        <v>0.31879146994111768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9.6</v>
      </c>
      <c r="CT21" s="12">
        <f>IF('Données projet'!$A$140&gt;35,CT20+CS21-DB20,IF(A21&lt;'Données projet'!$A$140,$CQ$205^A21,IF(A21='Données projet'!$A$140,'Données projet'!$B$140,CT20+CS21-DB20)))</f>
        <v>65.8</v>
      </c>
      <c r="CU21" s="17">
        <f>CT21*VLOOKUP('Données projet'!$B$13,Paramètres!$A$1:$I$89,3,0)*VLOOKUP('Données projet'!$B$13,Paramètres!$A$1:$I$89,5,0)</f>
        <v>51.323999999999998</v>
      </c>
      <c r="CV21" s="13">
        <f t="shared" si="41"/>
        <v>14.95516659950003</v>
      </c>
      <c r="CW21" s="20">
        <f t="shared" si="13"/>
        <v>115.43621516079588</v>
      </c>
      <c r="CX21" s="59">
        <f t="shared" si="14"/>
        <v>394.10288182746257</v>
      </c>
      <c r="CY21" s="59">
        <f ca="1">AVERAGE(OFFSET($CX$3,0,0,'Données projet'!$E$13+1,1))-AVERAGE(OFFSET($H$3,0,0,'Données projet'!$E$13+1,1))</f>
        <v>288.80569134263209</v>
      </c>
      <c r="CZ21" s="59">
        <f t="shared" si="42"/>
        <v>283.48738729114024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11.6</v>
      </c>
      <c r="DO21" s="12">
        <f>IF('Données projet'!$A$166&gt;35,DO20+DN21-DW20,IF(A21&lt;'Données projet'!$A$166,$DL$205^A21,IF(A21='Données projet'!$A$166,'Données projet'!$B$166,DO20+DN21-DW20)))</f>
        <v>56.800000000000004</v>
      </c>
      <c r="DP21" s="17">
        <f>DO21*VLOOKUP('Données projet'!$B$14,Paramètres!$A$1:$I$89,3,0)*VLOOKUP('Données projet'!$B$14,Paramètres!$A$1:$I$89,5,0)</f>
        <v>45.190080000000009</v>
      </c>
      <c r="DQ21" s="13">
        <f t="shared" si="43"/>
        <v>13.364359727915414</v>
      </c>
      <c r="DR21" s="20">
        <f t="shared" si="16"/>
        <v>101.98231585945268</v>
      </c>
      <c r="DS21" s="59">
        <f t="shared" si="17"/>
        <v>380.64898252611937</v>
      </c>
      <c r="DT21" s="59">
        <f ca="1">AVERAGE(OFFSET($DS$3,0,0,'Données projet'!$E$14+1,1))-AVERAGE(OFFSET($H$3,0,0,'Données projet'!$E$14+1,1))</f>
        <v>299.10536994156814</v>
      </c>
      <c r="DU21" s="59">
        <f t="shared" si="44"/>
        <v>292.57799203101769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2"/>
        <v>43.808650433928051</v>
      </c>
      <c r="R22" s="59">
        <f t="shared" si="0"/>
        <v>323.69753932281691</v>
      </c>
      <c r="S22" s="59">
        <f ca="1">AVERAGE(OFFSET($R$3,0,0,'Données projet'!$E$9+1,1))-AVERAGE(OFFSET($H$3,0,0,'Données projet'!$E$9+1,1))</f>
        <v>384.05928630855732</v>
      </c>
      <c r="T22" s="59">
        <f t="shared" si="34"/>
        <v>279.93992813630513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3.2427350427350423</v>
      </c>
      <c r="AI22" s="13">
        <f>IF('Données projet'!$A$62&gt;35,AI21+AH22-AQ21,IF(A22&lt;'Données projet'!$A$62,$AF$205^A22,IF(A22='Données projet'!$A$62,'Données projet'!$B$62,AI21+AH22-AQ21)))</f>
        <v>18.158810188361468</v>
      </c>
      <c r="AJ22" s="13">
        <f>AI22*VLOOKUP('Données projet'!$B$10,Paramètres!$A$1:$I$89,3,0)*VLOOKUP('Données projet'!$B$10,Paramètres!$A$1:$I$89,5,0)</f>
        <v>15.580259141614141</v>
      </c>
      <c r="AK22" s="13">
        <f t="shared" si="35"/>
        <v>5.2156813365322758</v>
      </c>
      <c r="AL22" s="20">
        <f t="shared" si="4"/>
        <v>36.219596332771673</v>
      </c>
      <c r="AM22" s="59">
        <f t="shared" si="5"/>
        <v>316.10848522166054</v>
      </c>
      <c r="AN22" s="59">
        <f ca="1">AVERAGE(OFFSET($AM$3,0,0,'Données projet'!$E$10+1,1))-AVERAGE(OFFSET($H$3,0,0,'Données projet'!$E$10+1,1))</f>
        <v>335.02113791949211</v>
      </c>
      <c r="AO22" s="59">
        <f t="shared" si="36"/>
        <v>222.06886429435099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2.9235042735042733</v>
      </c>
      <c r="BD22" s="12">
        <f>IF('Données projet'!$A$88&gt;35,BD21+BC22-BL21,IF(A22&lt;'Données projet'!$A$88,$BA$205^A22,IF(A22='Données projet'!$A$88,'Données projet'!$B$88,BD21+BC22-BL21)))</f>
        <v>17.005229294461625</v>
      </c>
      <c r="BE22" s="13">
        <f>BD22*VLOOKUP('Données projet'!$B$11,Paramètres!$A$1:$I$89,3,0)*VLOOKUP('Données projet'!$B$11,Paramètres!$A$1:$I$89,5,0)</f>
        <v>16.447457773603283</v>
      </c>
      <c r="BF22" s="13">
        <f t="shared" si="37"/>
        <v>5.4713808613532873</v>
      </c>
      <c r="BG22" s="20">
        <f t="shared" si="7"/>
        <v>38.175310622549354</v>
      </c>
      <c r="BH22" s="59">
        <f t="shared" si="8"/>
        <v>318.06419951143823</v>
      </c>
      <c r="BI22" s="59">
        <f ca="1">AVERAGE(OFFSET($BH$3,0,0,'Données projet'!$E$11+1,1))-AVERAGE(OFFSET($H$3,0,0,'Données projet'!$E$11+1,1))</f>
        <v>366.51581861366333</v>
      </c>
      <c r="BJ22" s="59">
        <f t="shared" si="38"/>
        <v>225.01415116995503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10.199999999999999</v>
      </c>
      <c r="BY22" s="12">
        <f>IF('Données projet'!$A$114&gt;35,BY21+BX22-CG21,IF(A22&lt;'Données projet'!$A$114,$BV$205^A22,IF(A22='Données projet'!$A$114,'Données projet'!$B$114,BY21+BX22-CG21)))</f>
        <v>73.800000000000011</v>
      </c>
      <c r="BZ22" s="13">
        <f>BY22*VLOOKUP('Données projet'!$B$12,Paramètres!$A$1:$I$89,3,0)*VLOOKUP('Données projet'!$B$12,Paramètres!$A$1:$I$89,5,0)</f>
        <v>48.353760000000008</v>
      </c>
      <c r="CA22" s="13">
        <f t="shared" si="39"/>
        <v>14.187786165449609</v>
      </c>
      <c r="CB22" s="20">
        <f t="shared" si="10"/>
        <v>108.92652623815808</v>
      </c>
      <c r="CC22" s="59">
        <f t="shared" si="11"/>
        <v>388.81541512704695</v>
      </c>
      <c r="CD22" s="59">
        <f ca="1">AVERAGE(OFFSET($CC$3,0,0,'Données projet'!$E$12+1,1))-AVERAGE(OFFSET($H$3,0,0,'Données projet'!$E$12+1,1))</f>
        <v>230.58262378842818</v>
      </c>
      <c r="CE22" s="59">
        <f t="shared" si="40"/>
        <v>235.68746142880792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0.10746920656848719</v>
      </c>
      <c r="CM22" s="21">
        <f>EXP(-LN(2)/2)*CM21+(1-EXP(-LN(2)/2))/(LN(2)/2)*CG22*CJ22*VLOOKUP('Données projet'!$B$12,Paramètres!$A$1:$I$89,3,0)*0.475*44/12</f>
        <v>0.14729097377539188</v>
      </c>
      <c r="CN22" s="22">
        <f t="shared" si="12"/>
        <v>0.25476018034387904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9.6</v>
      </c>
      <c r="CT22" s="12">
        <f>IF('Données projet'!$A$140&gt;35,CT21+CS22-DB21,IF(A22&lt;'Données projet'!$A$140,$CQ$205^A22,IF(A22='Données projet'!$A$140,'Données projet'!$B$140,CT21+CS22-DB21)))</f>
        <v>75.399999999999991</v>
      </c>
      <c r="CU22" s="17">
        <f>CT22*VLOOKUP('Données projet'!$B$13,Paramètres!$A$1:$I$89,3,0)*VLOOKUP('Données projet'!$B$13,Paramètres!$A$1:$I$89,5,0)</f>
        <v>58.811999999999998</v>
      </c>
      <c r="CV22" s="13">
        <f t="shared" si="41"/>
        <v>16.86755663452599</v>
      </c>
      <c r="CW22" s="20">
        <f t="shared" si="13"/>
        <v>131.8085611384661</v>
      </c>
      <c r="CX22" s="59">
        <f t="shared" si="14"/>
        <v>411.69745002735499</v>
      </c>
      <c r="CY22" s="59">
        <f ca="1">AVERAGE(OFFSET($CX$3,0,0,'Données projet'!$E$13+1,1))-AVERAGE(OFFSET($H$3,0,0,'Données projet'!$E$13+1,1))</f>
        <v>288.80569134263209</v>
      </c>
      <c r="CZ22" s="59">
        <f t="shared" si="42"/>
        <v>283.48738729114024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11.6</v>
      </c>
      <c r="DO22" s="12">
        <f>IF('Données projet'!$A$166&gt;35,DO21+DN22-DW21,IF(A22&lt;'Données projet'!$A$166,$DL$205^A22,IF(A22='Données projet'!$A$166,'Données projet'!$B$166,DO21+DN22-DW21)))</f>
        <v>68.400000000000006</v>
      </c>
      <c r="DP22" s="17">
        <f>DO22*VLOOKUP('Données projet'!$B$14,Paramètres!$A$1:$I$89,3,0)*VLOOKUP('Données projet'!$B$14,Paramètres!$A$1:$I$89,5,0)</f>
        <v>54.419040000000003</v>
      </c>
      <c r="DQ22" s="13">
        <f t="shared" si="43"/>
        <v>15.749310274925152</v>
      </c>
      <c r="DR22" s="20">
        <f t="shared" si="16"/>
        <v>122.20987672882796</v>
      </c>
      <c r="DS22" s="59">
        <f t="shared" si="17"/>
        <v>402.09876561771682</v>
      </c>
      <c r="DT22" s="59">
        <f ca="1">AVERAGE(OFFSET($DS$3,0,0,'Données projet'!$E$14+1,1))-AVERAGE(OFFSET($H$3,0,0,'Données projet'!$E$14+1,1))</f>
        <v>299.10536994156814</v>
      </c>
      <c r="DU22" s="59">
        <f t="shared" si="44"/>
        <v>292.57799203101769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2"/>
        <v>51.181154881613445</v>
      </c>
      <c r="R23" s="59">
        <f t="shared" si="0"/>
        <v>332.29226599272459</v>
      </c>
      <c r="S23" s="59">
        <f ca="1">AVERAGE(OFFSET($R$3,0,0,'Données projet'!$E$9+1,1))-AVERAGE(OFFSET($H$3,0,0,'Données projet'!$E$9+1,1))</f>
        <v>384.05928630855732</v>
      </c>
      <c r="T23" s="59">
        <f t="shared" si="34"/>
        <v>279.93992813630513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3.2427350427350423</v>
      </c>
      <c r="AI23" s="13">
        <f>IF('Données projet'!$A$62&gt;35,AI22+AH23-AQ22,IF(A23&lt;'Données projet'!$A$62,$AF$205^A23,IF(A23='Données projet'!$A$62,'Données projet'!$B$62,AI22+AH23-AQ22)))</f>
        <v>21.152180622795406</v>
      </c>
      <c r="AJ23" s="13">
        <f>AI23*VLOOKUP('Données projet'!$B$10,Paramètres!$A$1:$I$89,3,0)*VLOOKUP('Données projet'!$B$10,Paramètres!$A$1:$I$89,5,0)</f>
        <v>18.14857097435846</v>
      </c>
      <c r="AK23" s="13">
        <f t="shared" si="35"/>
        <v>5.9685005706927887</v>
      </c>
      <c r="AL23" s="20">
        <f t="shared" si="4"/>
        <v>42.00389960763092</v>
      </c>
      <c r="AM23" s="59">
        <f t="shared" si="5"/>
        <v>323.11501071874204</v>
      </c>
      <c r="AN23" s="59">
        <f ca="1">AVERAGE(OFFSET($AM$3,0,0,'Données projet'!$E$10+1,1))-AVERAGE(OFFSET($H$3,0,0,'Données projet'!$E$10+1,1))</f>
        <v>335.02113791949211</v>
      </c>
      <c r="AO23" s="59">
        <f t="shared" si="36"/>
        <v>222.06886429435099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2.9235042735042733</v>
      </c>
      <c r="BD23" s="12">
        <f>IF('Données projet'!$A$88&gt;35,BD22+BC23-BL22,IF(A23&lt;'Données projet'!$A$88,$BA$205^A23,IF(A23='Données projet'!$A$88,'Données projet'!$B$88,BD22+BC23-BL22)))</f>
        <v>19.740129245617538</v>
      </c>
      <c r="BE23" s="13">
        <f>BD23*VLOOKUP('Données projet'!$B$11,Paramètres!$A$1:$I$89,3,0)*VLOOKUP('Données projet'!$B$11,Paramètres!$A$1:$I$89,5,0)</f>
        <v>19.092653006361285</v>
      </c>
      <c r="BF23" s="13">
        <f t="shared" si="37"/>
        <v>6.2420250842326848</v>
      </c>
      <c r="BG23" s="20">
        <f t="shared" si="7"/>
        <v>44.124564341117825</v>
      </c>
      <c r="BH23" s="59">
        <f t="shared" si="8"/>
        <v>325.23567545222897</v>
      </c>
      <c r="BI23" s="59">
        <f ca="1">AVERAGE(OFFSET($BH$3,0,0,'Données projet'!$E$11+1,1))-AVERAGE(OFFSET($H$3,0,0,'Données projet'!$E$11+1,1))</f>
        <v>366.51581861366333</v>
      </c>
      <c r="BJ23" s="59">
        <f t="shared" si="38"/>
        <v>225.01415116995503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84</v>
      </c>
      <c r="BW23" s="12">
        <f>VLOOKUP(A23,'Données projet'!$A$113:$I$133,9,0)</f>
        <v>10.199999999999999</v>
      </c>
      <c r="BX23" s="12">
        <f t="array" ref="BX23">INDEX(BW:BW,MIN(IF(ISNUMBER(BW23:BW219),ROW(BW23:BW219),"")))</f>
        <v>10.199999999999999</v>
      </c>
      <c r="BY23" s="12">
        <f>IF('Données projet'!$A$114&gt;35,BY22+BX23-CG22,IF(A23&lt;'Données projet'!$A$114,$BV$205^A23,IF(A23='Données projet'!$A$114,'Données projet'!$B$114,BY22+BX23-CG22)))</f>
        <v>84.000000000000014</v>
      </c>
      <c r="BZ23" s="13">
        <f>BY23*VLOOKUP('Données projet'!$B$12,Paramètres!$A$1:$I$89,3,0)*VLOOKUP('Données projet'!$B$12,Paramètres!$A$1:$I$89,5,0)</f>
        <v>55.036800000000007</v>
      </c>
      <c r="CA23" s="13">
        <f t="shared" si="39"/>
        <v>15.907180538864345</v>
      </c>
      <c r="CB23" s="20">
        <f t="shared" si="10"/>
        <v>123.56076610518875</v>
      </c>
      <c r="CC23" s="59">
        <f t="shared" si="11"/>
        <v>404.67187721629989</v>
      </c>
      <c r="CD23" s="59">
        <f ca="1">AVERAGE(OFFSET($CC$3,0,0,'Données projet'!$E$12+1,1))-AVERAGE(OFFSET($H$3,0,0,'Données projet'!$E$12+1,1))</f>
        <v>230.58262378842818</v>
      </c>
      <c r="CE23" s="59">
        <f t="shared" si="40"/>
        <v>235.68746142880792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9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4.3000000000000003E-2</v>
      </c>
      <c r="CJ23" s="16">
        <f>IF(ISNA(VLOOKUP(A23,'Données projet'!$A$113:$I$133,7,0)),0%,VLOOKUP(A23,'Données projet'!$A$113:$I$133,7,0))</f>
        <v>0.3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0.38373250759201244</v>
      </c>
      <c r="CM23" s="21">
        <f>EXP(-LN(2)/2)*CM22+(1-EXP(-LN(2)/2))/(LN(2)/2)*CG23*CJ23*VLOOKUP('Données projet'!$B$12,Paramètres!$A$1:$I$89,3,0)*0.475*44/12</f>
        <v>1.7732872993776654</v>
      </c>
      <c r="CN23" s="22">
        <f t="shared" si="12"/>
        <v>2.1570198069696778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85</v>
      </c>
      <c r="CR23" s="12">
        <f>VLOOKUP(A23,'Données projet'!$A$139:$I$159,9,0)</f>
        <v>9.6</v>
      </c>
      <c r="CS23" s="12">
        <f t="array" ref="CS23">INDEX(CR:CR,MIN(IF(ISNUMBER(CR23:CR219),ROW(CR23:CR219),"")))</f>
        <v>9.6</v>
      </c>
      <c r="CT23" s="12">
        <f>IF('Données projet'!$A$140&gt;35,CT22+CS23-DB22,IF(A23&lt;'Données projet'!$A$140,$CQ$205^A23,IF(A23='Données projet'!$A$140,'Données projet'!$B$140,CT22+CS23-DB22)))</f>
        <v>84.999999999999986</v>
      </c>
      <c r="CU23" s="17">
        <f>CT23*VLOOKUP('Données projet'!$B$13,Paramètres!$A$1:$I$89,3,0)*VLOOKUP('Données projet'!$B$13,Paramètres!$A$1:$I$89,5,0)</f>
        <v>66.3</v>
      </c>
      <c r="CV23" s="13">
        <f t="shared" si="41"/>
        <v>18.751733344032118</v>
      </c>
      <c r="CW23" s="20">
        <f t="shared" si="13"/>
        <v>148.13176890752257</v>
      </c>
      <c r="CX23" s="59">
        <f t="shared" si="14"/>
        <v>429.24288001863374</v>
      </c>
      <c r="CY23" s="59">
        <f ca="1">AVERAGE(OFFSET($CX$3,0,0,'Données projet'!$E$13+1,1))-AVERAGE(OFFSET($H$3,0,0,'Données projet'!$E$13+1,1))</f>
        <v>288.80569134263209</v>
      </c>
      <c r="CZ23" s="59">
        <f t="shared" si="42"/>
        <v>283.48738729114024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0.215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4.6164360471015273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4.6164360471015273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80</v>
      </c>
      <c r="DM23" s="12">
        <f>VLOOKUP(A23,'Données projet'!$A$165:$I$185,9,0)</f>
        <v>11.6</v>
      </c>
      <c r="DN23" s="12">
        <f t="array" ref="DN23">INDEX(DM:DM,MIN(IF(ISNUMBER(DM23:DM219),ROW(DM23:DM219),"")))</f>
        <v>11.6</v>
      </c>
      <c r="DO23" s="12">
        <f>IF('Données projet'!$A$166&gt;35,DO22+DN23-DW22,IF(A23&lt;'Données projet'!$A$166,$DL$205^A23,IF(A23='Données projet'!$A$166,'Données projet'!$B$166,DO22+DN23-DW22)))</f>
        <v>80</v>
      </c>
      <c r="DP23" s="17">
        <f>DO23*VLOOKUP('Données projet'!$B$14,Paramètres!$A$1:$I$89,3,0)*VLOOKUP('Données projet'!$B$14,Paramètres!$A$1:$I$89,5,0)</f>
        <v>63.647999999999996</v>
      </c>
      <c r="DQ23" s="13">
        <f t="shared" si="43"/>
        <v>18.087405707268363</v>
      </c>
      <c r="DR23" s="20">
        <f t="shared" si="16"/>
        <v>142.35583160682572</v>
      </c>
      <c r="DS23" s="59">
        <f t="shared" si="17"/>
        <v>423.46694271793683</v>
      </c>
      <c r="DT23" s="59">
        <f ca="1">AVERAGE(OFFSET($DS$3,0,0,'Données projet'!$E$14+1,1))-AVERAGE(OFFSET($H$3,0,0,'Données projet'!$E$14+1,1))</f>
        <v>299.10536994156814</v>
      </c>
      <c r="DU23" s="59">
        <f t="shared" si="44"/>
        <v>292.57799203101769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2"/>
        <v>59.798190285451518</v>
      </c>
      <c r="R24" s="59">
        <f t="shared" si="0"/>
        <v>342.13152361878485</v>
      </c>
      <c r="S24" s="59">
        <f ca="1">AVERAGE(OFFSET($R$3,0,0,'Données projet'!$E$9+1,1))-AVERAGE(OFFSET($H$3,0,0,'Données projet'!$E$9+1,1))</f>
        <v>384.05928630855732</v>
      </c>
      <c r="T24" s="59">
        <f t="shared" si="34"/>
        <v>279.93992813630513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3.2427350427350423</v>
      </c>
      <c r="AI24" s="13">
        <f>IF('Données projet'!$A$62&gt;35,AI23+AH24-AQ23,IF(A24&lt;'Données projet'!$A$62,$AF$205^A24,IF(A24='Données projet'!$A$62,'Données projet'!$B$62,AI23+AH24-AQ23)))</f>
        <v>24.638990135274565</v>
      </c>
      <c r="AJ24" s="13">
        <f>AI24*VLOOKUP('Données projet'!$B$10,Paramètres!$A$1:$I$89,3,0)*VLOOKUP('Données projet'!$B$10,Paramètres!$A$1:$I$89,5,0)</f>
        <v>21.140253536065579</v>
      </c>
      <c r="AK24" s="13">
        <f t="shared" si="35"/>
        <v>6.829979970755776</v>
      </c>
      <c r="AL24" s="20">
        <f t="shared" si="4"/>
        <v>48.714823357713861</v>
      </c>
      <c r="AM24" s="59">
        <f t="shared" si="5"/>
        <v>331.04815669104715</v>
      </c>
      <c r="AN24" s="59">
        <f ca="1">AVERAGE(OFFSET($AM$3,0,0,'Données projet'!$E$10+1,1))-AVERAGE(OFFSET($H$3,0,0,'Données projet'!$E$10+1,1))</f>
        <v>335.02113791949211</v>
      </c>
      <c r="AO24" s="59">
        <f t="shared" si="36"/>
        <v>222.06886429435099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2.9235042735042733</v>
      </c>
      <c r="BD24" s="12">
        <f>IF('Données projet'!$A$88&gt;35,BD23+BC24-BL23,IF(A24&lt;'Données projet'!$A$88,$BA$205^A24,IF(A24='Données projet'!$A$88,'Données projet'!$B$88,BD23+BC24-BL23)))</f>
        <v>22.91487494147438</v>
      </c>
      <c r="BE24" s="13">
        <f>BD24*VLOOKUP('Données projet'!$B$11,Paramètres!$A$1:$I$89,3,0)*VLOOKUP('Données projet'!$B$11,Paramètres!$A$1:$I$89,5,0)</f>
        <v>22.163267043394022</v>
      </c>
      <c r="BF24" s="13">
        <f t="shared" si="37"/>
        <v>7.121214578097014</v>
      </c>
      <c r="BG24" s="20">
        <f t="shared" si="7"/>
        <v>51.003805490763547</v>
      </c>
      <c r="BH24" s="59">
        <f t="shared" si="8"/>
        <v>333.33713882409688</v>
      </c>
      <c r="BI24" s="59">
        <f ca="1">AVERAGE(OFFSET($BH$3,0,0,'Données projet'!$E$11+1,1))-AVERAGE(OFFSET($H$3,0,0,'Données projet'!$E$11+1,1))</f>
        <v>366.51581861366333</v>
      </c>
      <c r="BJ24" s="59">
        <f t="shared" si="38"/>
        <v>225.01415116995503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8.1999999999999993</v>
      </c>
      <c r="BY24" s="12">
        <f>IF('Données projet'!$A$114&gt;35,BY23+BX24-CG23,IF(A24&lt;'Données projet'!$A$114,$BV$205^A24,IF(A24='Données projet'!$A$114,'Données projet'!$B$114,BY23+BX24-CG23)))</f>
        <v>83.200000000000017</v>
      </c>
      <c r="BZ24" s="13">
        <f>BY24*VLOOKUP('Données projet'!$B$12,Paramètres!$A$1:$I$89,3,0)*VLOOKUP('Données projet'!$B$12,Paramètres!$A$1:$I$89,5,0)</f>
        <v>54.512640000000005</v>
      </c>
      <c r="CA24" s="13">
        <f t="shared" si="39"/>
        <v>15.773243364716285</v>
      </c>
      <c r="CB24" s="20">
        <f t="shared" si="10"/>
        <v>122.41458019354752</v>
      </c>
      <c r="CC24" s="59">
        <f t="shared" si="11"/>
        <v>404.74791352688084</v>
      </c>
      <c r="CD24" s="59">
        <f ca="1">AVERAGE(OFFSET($CC$3,0,0,'Données projet'!$E$12+1,1))-AVERAGE(OFFSET($H$3,0,0,'Données projet'!$E$12+1,1))</f>
        <v>230.58262378842818</v>
      </c>
      <c r="CE24" s="59">
        <f t="shared" si="40"/>
        <v>235.68746142880792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0.37323932199229332</v>
      </c>
      <c r="CM24" s="21">
        <f>EXP(-LN(2)/2)*CM23+(1-EXP(-LN(2)/2))/(LN(2)/2)*CG24*CJ24*VLOOKUP('Données projet'!$B$12,Paramètres!$A$1:$I$89,3,0)*0.475*44/12</f>
        <v>1.2539034743819266</v>
      </c>
      <c r="CN24" s="22">
        <f t="shared" si="12"/>
        <v>1.62714279637422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10.6</v>
      </c>
      <c r="CT24" s="12">
        <f>IF('Données projet'!$A$140&gt;35,CT23+CS24-DB23,IF(A24&lt;'Données projet'!$A$140,$CQ$205^A24,IF(A24='Données projet'!$A$140,'Données projet'!$B$140,CT23+CS24-DB23)))</f>
        <v>70.59999999999998</v>
      </c>
      <c r="CU24" s="17">
        <f>CT24*VLOOKUP('Données projet'!$B$13,Paramètres!$A$1:$I$89,3,0)*VLOOKUP('Données projet'!$B$13,Paramètres!$A$1:$I$89,5,0)</f>
        <v>55.067999999999984</v>
      </c>
      <c r="CV24" s="13">
        <f t="shared" si="41"/>
        <v>15.915148294580479</v>
      </c>
      <c r="CW24" s="20">
        <f t="shared" si="13"/>
        <v>123.62898327972762</v>
      </c>
      <c r="CX24" s="59">
        <f t="shared" si="14"/>
        <v>405.96231661306092</v>
      </c>
      <c r="CY24" s="59">
        <f ca="1">AVERAGE(OFFSET($CX$3,0,0,'Données projet'!$E$13+1,1))-AVERAGE(OFFSET($H$3,0,0,'Données projet'!$E$13+1,1))</f>
        <v>288.80569134263209</v>
      </c>
      <c r="CZ24" s="59">
        <f t="shared" si="42"/>
        <v>283.48738729114024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4.4901993606257156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4.4901993606257156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12.6</v>
      </c>
      <c r="DO24" s="12">
        <f>IF('Données projet'!$A$166&gt;35,DO23+DN24-DW23,IF(A24&lt;'Données projet'!$A$166,$DL$205^A24,IF(A24='Données projet'!$A$166,'Données projet'!$B$166,DO23+DN24-DW23)))</f>
        <v>64.599999999999994</v>
      </c>
      <c r="DP24" s="17">
        <f>DO24*VLOOKUP('Données projet'!$B$14,Paramètres!$A$1:$I$89,3,0)*VLOOKUP('Données projet'!$B$14,Paramètres!$A$1:$I$89,5,0)</f>
        <v>51.395759999999996</v>
      </c>
      <c r="DQ24" s="13">
        <f t="shared" si="43"/>
        <v>14.973641136922506</v>
      </c>
      <c r="DR24" s="20">
        <f t="shared" si="16"/>
        <v>115.59337364680668</v>
      </c>
      <c r="DS24" s="59">
        <f t="shared" si="17"/>
        <v>397.92670698014001</v>
      </c>
      <c r="DT24" s="59">
        <f ca="1">AVERAGE(OFFSET($DS$3,0,0,'Données projet'!$E$14+1,1))-AVERAGE(OFFSET($H$3,0,0,'Données projet'!$E$14+1,1))</f>
        <v>299.10536994156814</v>
      </c>
      <c r="DU24" s="59">
        <f t="shared" si="44"/>
        <v>292.57799203101769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2"/>
        <v>69.870441387809549</v>
      </c>
      <c r="R25" s="59">
        <f t="shared" si="0"/>
        <v>353.42599694336508</v>
      </c>
      <c r="S25" s="59">
        <f ca="1">AVERAGE(OFFSET($R$3,0,0,'Données projet'!$E$9+1,1))-AVERAGE(OFFSET($H$3,0,0,'Données projet'!$E$9+1,1))</f>
        <v>384.05928630855732</v>
      </c>
      <c r="T25" s="59">
        <f t="shared" si="34"/>
        <v>279.93992813630513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3.2427350427350423</v>
      </c>
      <c r="AI25" s="13">
        <f>IF('Données projet'!$A$62&gt;35,AI24+AH25-AQ24,IF(A25&lt;'Données projet'!$A$62,$AF$205^A25,IF(A25='Données projet'!$A$62,'Données projet'!$B$62,AI24+AH25-AQ24)))</f>
        <v>28.700579184347358</v>
      </c>
      <c r="AJ25" s="13">
        <f>AI25*VLOOKUP('Données projet'!$B$10,Paramètres!$A$1:$I$89,3,0)*VLOOKUP('Données projet'!$B$10,Paramètres!$A$1:$I$89,5,0)</f>
        <v>24.625096940170035</v>
      </c>
      <c r="AK25" s="13">
        <f t="shared" si="35"/>
        <v>7.8158032906932196</v>
      </c>
      <c r="AL25" s="20">
        <f t="shared" si="4"/>
        <v>56.501234568753496</v>
      </c>
      <c r="AM25" s="59">
        <f t="shared" si="5"/>
        <v>340.05679012430903</v>
      </c>
      <c r="AN25" s="59">
        <f ca="1">AVERAGE(OFFSET($AM$3,0,0,'Données projet'!$E$10+1,1))-AVERAGE(OFFSET($H$3,0,0,'Données projet'!$E$10+1,1))</f>
        <v>335.02113791949211</v>
      </c>
      <c r="AO25" s="59">
        <f t="shared" si="36"/>
        <v>222.06886429435099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2.9235042735042733</v>
      </c>
      <c r="BD25" s="12">
        <f>IF('Données projet'!$A$88&gt;35,BD24+BC25-BL24,IF(A25&lt;'Données projet'!$A$88,$BA$205^A25,IF(A25='Données projet'!$A$88,'Données projet'!$B$88,BD24+BC25-BL24)))</f>
        <v>26.600205452048144</v>
      </c>
      <c r="BE25" s="13">
        <f>BD25*VLOOKUP('Données projet'!$B$11,Paramètres!$A$1:$I$89,3,0)*VLOOKUP('Données projet'!$B$11,Paramètres!$A$1:$I$89,5,0)</f>
        <v>25.727718713220966</v>
      </c>
      <c r="BF25" s="13">
        <f t="shared" si="37"/>
        <v>8.1242379488988057</v>
      </c>
      <c r="BG25" s="20">
        <f t="shared" si="7"/>
        <v>58.958824519858602</v>
      </c>
      <c r="BH25" s="59">
        <f t="shared" si="8"/>
        <v>342.51438007541412</v>
      </c>
      <c r="BI25" s="59">
        <f ca="1">AVERAGE(OFFSET($BH$3,0,0,'Données projet'!$E$11+1,1))-AVERAGE(OFFSET($H$3,0,0,'Données projet'!$E$11+1,1))</f>
        <v>366.51581861366333</v>
      </c>
      <c r="BJ25" s="59">
        <f t="shared" si="38"/>
        <v>225.01415116995503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8.1999999999999993</v>
      </c>
      <c r="BY25" s="12">
        <f>IF('Données projet'!$A$114&gt;35,BY24+BX25-CG24,IF(A25&lt;'Données projet'!$A$114,$BV$205^A25,IF(A25='Données projet'!$A$114,'Données projet'!$B$114,BY24+BX25-CG24)))</f>
        <v>91.40000000000002</v>
      </c>
      <c r="BZ25" s="13">
        <f>BY25*VLOOKUP('Données projet'!$B$12,Paramètres!$A$1:$I$89,3,0)*VLOOKUP('Données projet'!$B$12,Paramètres!$A$1:$I$89,5,0)</f>
        <v>59.885280000000009</v>
      </c>
      <c r="CA25" s="13">
        <f t="shared" si="39"/>
        <v>17.139260967250106</v>
      </c>
      <c r="CB25" s="20">
        <f t="shared" si="10"/>
        <v>134.15107551796063</v>
      </c>
      <c r="CC25" s="59">
        <f t="shared" si="11"/>
        <v>417.70663107351618</v>
      </c>
      <c r="CD25" s="59">
        <f ca="1">AVERAGE(OFFSET($CC$3,0,0,'Données projet'!$E$12+1,1))-AVERAGE(OFFSET($H$3,0,0,'Données projet'!$E$12+1,1))</f>
        <v>230.58262378842818</v>
      </c>
      <c r="CE25" s="59">
        <f t="shared" si="40"/>
        <v>235.68746142880792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0.36303307310461114</v>
      </c>
      <c r="CM25" s="21">
        <f>EXP(-LN(2)/2)*CM24+(1-EXP(-LN(2)/2))/(LN(2)/2)*CG25*CJ25*VLOOKUP('Données projet'!$B$12,Paramètres!$A$1:$I$89,3,0)*0.475*44/12</f>
        <v>0.88664364968883269</v>
      </c>
      <c r="CN25" s="22">
        <f t="shared" si="12"/>
        <v>1.2496767227934438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10.6</v>
      </c>
      <c r="CT25" s="12">
        <f>IF('Données projet'!$A$140&gt;35,CT24+CS25-DB24,IF(A25&lt;'Données projet'!$A$140,$CQ$205^A25,IF(A25='Données projet'!$A$140,'Données projet'!$B$140,CT24+CS25-DB24)))</f>
        <v>81.199999999999974</v>
      </c>
      <c r="CU25" s="17">
        <f>CT25*VLOOKUP('Données projet'!$B$13,Paramètres!$A$1:$I$89,3,0)*VLOOKUP('Données projet'!$B$13,Paramètres!$A$1:$I$89,5,0)</f>
        <v>63.335999999999984</v>
      </c>
      <c r="CV25" s="13">
        <f t="shared" si="41"/>
        <v>18.009040022946227</v>
      </c>
      <c r="CW25" s="20">
        <f t="shared" si="13"/>
        <v>141.67594470663133</v>
      </c>
      <c r="CX25" s="59">
        <f t="shared" si="14"/>
        <v>425.23150026218684</v>
      </c>
      <c r="CY25" s="59">
        <f ca="1">AVERAGE(OFFSET($CX$3,0,0,'Données projet'!$E$13+1,1))-AVERAGE(OFFSET($H$3,0,0,'Données projet'!$E$13+1,1))</f>
        <v>288.80569134263209</v>
      </c>
      <c r="CZ25" s="59">
        <f t="shared" si="42"/>
        <v>283.48738729114024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4.3674146229800836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4.3674146229800836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12.6</v>
      </c>
      <c r="DO25" s="12">
        <f>IF('Données projet'!$A$166&gt;35,DO24+DN25-DW24,IF(A25&lt;'Données projet'!$A$166,$DL$205^A25,IF(A25='Données projet'!$A$166,'Données projet'!$B$166,DO24+DN25-DW24)))</f>
        <v>77.199999999999989</v>
      </c>
      <c r="DP25" s="17">
        <f>DO25*VLOOKUP('Données projet'!$B$14,Paramètres!$A$1:$I$89,3,0)*VLOOKUP('Données projet'!$B$14,Paramètres!$A$1:$I$89,5,0)</f>
        <v>61.42031999999999</v>
      </c>
      <c r="DQ25" s="13">
        <f t="shared" si="43"/>
        <v>17.526880037631354</v>
      </c>
      <c r="DR25" s="20">
        <f t="shared" si="16"/>
        <v>137.4997067322079</v>
      </c>
      <c r="DS25" s="59">
        <f t="shared" si="17"/>
        <v>421.05526228776341</v>
      </c>
      <c r="DT25" s="59">
        <f ca="1">AVERAGE(OFFSET($DS$3,0,0,'Données projet'!$E$14+1,1))-AVERAGE(OFFSET($H$3,0,0,'Données projet'!$E$14+1,1))</f>
        <v>299.10536994156814</v>
      </c>
      <c r="DU25" s="59">
        <f t="shared" si="44"/>
        <v>292.57799203101769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2"/>
        <v>81.644353071705368</v>
      </c>
      <c r="R26" s="59">
        <f t="shared" si="0"/>
        <v>366.42213084948315</v>
      </c>
      <c r="S26" s="59">
        <f ca="1">AVERAGE(OFFSET($R$3,0,0,'Données projet'!$E$9+1,1))-AVERAGE(OFFSET($H$3,0,0,'Données projet'!$E$9+1,1))</f>
        <v>384.05928630855732</v>
      </c>
      <c r="T26" s="59">
        <f t="shared" si="34"/>
        <v>279.93992813630513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3.2427350427350423</v>
      </c>
      <c r="AI26" s="13">
        <f>IF('Données projet'!$A$62&gt;35,AI25+AH26-AQ25,IF(A26&lt;'Données projet'!$A$62,$AF$205^A26,IF(A26='Données projet'!$A$62,'Données projet'!$B$62,AI25+AH26-AQ25)))</f>
        <v>33.431696712995723</v>
      </c>
      <c r="AJ26" s="13">
        <f>AI26*VLOOKUP('Données projet'!$B$10,Paramètres!$A$1:$I$89,3,0)*VLOOKUP('Données projet'!$B$10,Paramètres!$A$1:$I$89,5,0)</f>
        <v>28.684395779750336</v>
      </c>
      <c r="AK26" s="13">
        <f t="shared" si="35"/>
        <v>8.9439180408096242</v>
      </c>
      <c r="AL26" s="20">
        <f t="shared" si="4"/>
        <v>65.535979904141939</v>
      </c>
      <c r="AM26" s="59">
        <f t="shared" si="5"/>
        <v>350.3137576819197</v>
      </c>
      <c r="AN26" s="59">
        <f ca="1">AVERAGE(OFFSET($AM$3,0,0,'Données projet'!$E$10+1,1))-AVERAGE(OFFSET($H$3,0,0,'Données projet'!$E$10+1,1))</f>
        <v>335.02113791949211</v>
      </c>
      <c r="AO26" s="59">
        <f t="shared" si="36"/>
        <v>222.06886429435099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2.9235042735042733</v>
      </c>
      <c r="BD26" s="12">
        <f>IF('Données projet'!$A$88&gt;35,BD25+BC26-BL25,IF(A26&lt;'Données projet'!$A$88,$BA$205^A26,IF(A26='Données projet'!$A$88,'Données projet'!$B$88,BD25+BC26-BL25)))</f>
        <v>30.878236599516239</v>
      </c>
      <c r="BE26" s="13">
        <f>BD26*VLOOKUP('Données projet'!$B$11,Paramètres!$A$1:$I$89,3,0)*VLOOKUP('Données projet'!$B$11,Paramètres!$A$1:$I$89,5,0)</f>
        <v>29.865430439052108</v>
      </c>
      <c r="BF26" s="13">
        <f t="shared" si="37"/>
        <v>9.2685372033776563</v>
      </c>
      <c r="BG26" s="20">
        <f t="shared" si="7"/>
        <v>68.158326977231852</v>
      </c>
      <c r="BH26" s="59">
        <f t="shared" si="8"/>
        <v>352.93610475500964</v>
      </c>
      <c r="BI26" s="59">
        <f ca="1">AVERAGE(OFFSET($BH$3,0,0,'Données projet'!$E$11+1,1))-AVERAGE(OFFSET($H$3,0,0,'Données projet'!$E$11+1,1))</f>
        <v>366.51581861366333</v>
      </c>
      <c r="BJ26" s="59">
        <f t="shared" si="38"/>
        <v>225.01415116995503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8.1999999999999993</v>
      </c>
      <c r="BY26" s="12">
        <f>IF('Données projet'!$A$114&gt;35,BY25+BX26-CG25,IF(A26&lt;'Données projet'!$A$114,$BV$205^A26,IF(A26='Données projet'!$A$114,'Données projet'!$B$114,BY25+BX26-CG25)))</f>
        <v>99.600000000000023</v>
      </c>
      <c r="BZ26" s="13">
        <f>BY26*VLOOKUP('Données projet'!$B$12,Paramètres!$A$1:$I$89,3,0)*VLOOKUP('Données projet'!$B$12,Paramètres!$A$1:$I$89,5,0)</f>
        <v>65.257920000000013</v>
      </c>
      <c r="CA26" s="13">
        <f t="shared" si="39"/>
        <v>18.491067519086762</v>
      </c>
      <c r="CB26" s="20">
        <f t="shared" si="10"/>
        <v>145.8628199290761</v>
      </c>
      <c r="CC26" s="59">
        <f t="shared" si="11"/>
        <v>430.6405977068539</v>
      </c>
      <c r="CD26" s="59">
        <f ca="1">AVERAGE(OFFSET($CC$3,0,0,'Données projet'!$E$12+1,1))-AVERAGE(OFFSET($H$3,0,0,'Données projet'!$E$12+1,1))</f>
        <v>230.58262378842818</v>
      </c>
      <c r="CE26" s="59">
        <f t="shared" si="40"/>
        <v>235.68746142880792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0.35310591462948593</v>
      </c>
      <c r="CM26" s="21">
        <f>EXP(-LN(2)/2)*CM25+(1-EXP(-LN(2)/2))/(LN(2)/2)*CG26*CJ26*VLOOKUP('Données projet'!$B$12,Paramètres!$A$1:$I$89,3,0)*0.475*44/12</f>
        <v>0.62695173719096331</v>
      </c>
      <c r="CN26" s="22">
        <f t="shared" si="12"/>
        <v>0.98005765182044924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10.6</v>
      </c>
      <c r="CT26" s="12">
        <f>IF('Données projet'!$A$140&gt;35,CT25+CS26-DB25,IF(A26&lt;'Données projet'!$A$140,$CQ$205^A26,IF(A26='Données projet'!$A$140,'Données projet'!$B$140,CT25+CS26-DB25)))</f>
        <v>91.799999999999969</v>
      </c>
      <c r="CU26" s="17">
        <f>CT26*VLOOKUP('Données projet'!$B$13,Paramètres!$A$1:$I$89,3,0)*VLOOKUP('Données projet'!$B$13,Paramètres!$A$1:$I$89,5,0)</f>
        <v>71.603999999999985</v>
      </c>
      <c r="CV26" s="13">
        <f t="shared" si="41"/>
        <v>20.071260561992585</v>
      </c>
      <c r="CW26" s="20">
        <f t="shared" si="13"/>
        <v>159.66774547880371</v>
      </c>
      <c r="CX26" s="59">
        <f t="shared" si="14"/>
        <v>444.44552325658151</v>
      </c>
      <c r="CY26" s="59">
        <f ca="1">AVERAGE(OFFSET($CX$3,0,0,'Données projet'!$E$13+1,1))-AVERAGE(OFFSET($H$3,0,0,'Données projet'!$E$13+1,1))</f>
        <v>288.80569134263209</v>
      </c>
      <c r="CZ26" s="59">
        <f t="shared" si="42"/>
        <v>283.48738729114024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4.2479874404423397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4.2479874404423397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12.6</v>
      </c>
      <c r="DO26" s="12">
        <f>IF('Données projet'!$A$166&gt;35,DO25+DN26-DW25,IF(A26&lt;'Données projet'!$A$166,$DL$205^A26,IF(A26='Données projet'!$A$166,'Données projet'!$B$166,DO25+DN26-DW25)))</f>
        <v>89.799999999999983</v>
      </c>
      <c r="DP26" s="17">
        <f>DO26*VLOOKUP('Données projet'!$B$14,Paramètres!$A$1:$I$89,3,0)*VLOOKUP('Données projet'!$B$14,Paramètres!$A$1:$I$89,5,0)</f>
        <v>71.444879999999998</v>
      </c>
      <c r="DQ26" s="13">
        <f t="shared" si="43"/>
        <v>20.03184442542841</v>
      </c>
      <c r="DR26" s="20">
        <f t="shared" si="16"/>
        <v>159.32196170762117</v>
      </c>
      <c r="DS26" s="59">
        <f t="shared" si="17"/>
        <v>444.09973948539891</v>
      </c>
      <c r="DT26" s="59">
        <f ca="1">AVERAGE(OFFSET($DS$3,0,0,'Données projet'!$E$14+1,1))-AVERAGE(OFFSET($H$3,0,0,'Données projet'!$E$14+1,1))</f>
        <v>299.10536994156814</v>
      </c>
      <c r="DU26" s="59">
        <f t="shared" si="44"/>
        <v>292.57799203101769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2"/>
        <v>95.408214629786869</v>
      </c>
      <c r="R27" s="59">
        <f t="shared" si="0"/>
        <v>381.40821462978687</v>
      </c>
      <c r="S27" s="59">
        <f ca="1">AVERAGE(OFFSET($R$3,0,0,'Données projet'!$E$9+1,1))-AVERAGE(OFFSET($H$3,0,0,'Données projet'!$E$9+1,1))</f>
        <v>384.05928630855732</v>
      </c>
      <c r="T27" s="59">
        <f t="shared" si="34"/>
        <v>279.93992813630513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3.2427350427350423</v>
      </c>
      <c r="AI27" s="13">
        <f>IF('Données projet'!$A$62&gt;35,AI26+AH27-AQ26,IF(A27&lt;'Données projet'!$A$62,$AF$205^A27,IF(A27='Données projet'!$A$62,'Données projet'!$B$62,AI26+AH27-AQ26)))</f>
        <v>38.942710456494396</v>
      </c>
      <c r="AJ27" s="13">
        <f>AI27*VLOOKUP('Données projet'!$B$10,Paramètres!$A$1:$I$89,3,0)*VLOOKUP('Données projet'!$B$10,Paramètres!$A$1:$I$89,5,0)</f>
        <v>33.412845571672193</v>
      </c>
      <c r="AK27" s="13">
        <f t="shared" si="35"/>
        <v>10.234862233031567</v>
      </c>
      <c r="AL27" s="20">
        <f t="shared" si="4"/>
        <v>76.019757759859047</v>
      </c>
      <c r="AM27" s="59">
        <f t="shared" si="5"/>
        <v>362.01975775985903</v>
      </c>
      <c r="AN27" s="59">
        <f ca="1">AVERAGE(OFFSET($AM$3,0,0,'Données projet'!$E$10+1,1))-AVERAGE(OFFSET($H$3,0,0,'Données projet'!$E$10+1,1))</f>
        <v>335.02113791949211</v>
      </c>
      <c r="AO27" s="59">
        <f t="shared" si="36"/>
        <v>222.06886429435099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2.9235042735042733</v>
      </c>
      <c r="BD27" s="12">
        <f>IF('Données projet'!$A$88&gt;35,BD26+BC27-BL26,IF(A27&lt;'Données projet'!$A$88,$BA$205^A27,IF(A27='Données projet'!$A$88,'Données projet'!$B$88,BD26+BC27-BL26)))</f>
        <v>35.844290647096855</v>
      </c>
      <c r="BE27" s="13">
        <f>BD27*VLOOKUP('Données projet'!$B$11,Paramètres!$A$1:$I$89,3,0)*VLOOKUP('Données projet'!$B$11,Paramètres!$A$1:$I$89,5,0)</f>
        <v>34.668597913872084</v>
      </c>
      <c r="BF27" s="13">
        <f t="shared" si="37"/>
        <v>10.57401105565104</v>
      </c>
      <c r="BG27" s="20">
        <f t="shared" si="7"/>
        <v>78.797543955252777</v>
      </c>
      <c r="BH27" s="59">
        <f t="shared" si="8"/>
        <v>364.79754395525276</v>
      </c>
      <c r="BI27" s="59">
        <f ca="1">AVERAGE(OFFSET($BH$3,0,0,'Données projet'!$E$11+1,1))-AVERAGE(OFFSET($H$3,0,0,'Données projet'!$E$11+1,1))</f>
        <v>366.51581861366333</v>
      </c>
      <c r="BJ27" s="59">
        <f t="shared" si="38"/>
        <v>225.01415116995503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8.1999999999999993</v>
      </c>
      <c r="BY27" s="12">
        <f>IF('Données projet'!$A$114&gt;35,BY26+BX27-CG26,IF(A27&lt;'Données projet'!$A$114,$BV$205^A27,IF(A27='Données projet'!$A$114,'Données projet'!$B$114,BY26+BX27-CG26)))</f>
        <v>107.80000000000003</v>
      </c>
      <c r="BZ27" s="13">
        <f>BY27*VLOOKUP('Données projet'!$B$12,Paramètres!$A$1:$I$89,3,0)*VLOOKUP('Données projet'!$B$12,Paramètres!$A$1:$I$89,5,0)</f>
        <v>70.630560000000017</v>
      </c>
      <c r="CA27" s="13">
        <f t="shared" si="39"/>
        <v>19.829966022106095</v>
      </c>
      <c r="CB27" s="20">
        <f t="shared" si="10"/>
        <v>157.5520828218348</v>
      </c>
      <c r="CC27" s="59">
        <f t="shared" si="11"/>
        <v>443.5520828218348</v>
      </c>
      <c r="CD27" s="59">
        <f ca="1">AVERAGE(OFFSET($CC$3,0,0,'Données projet'!$E$12+1,1))-AVERAGE(OFFSET($H$3,0,0,'Données projet'!$E$12+1,1))</f>
        <v>230.58262378842818</v>
      </c>
      <c r="CE27" s="59">
        <f t="shared" si="40"/>
        <v>235.68746142880792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0.34345021482490962</v>
      </c>
      <c r="CM27" s="21">
        <f>EXP(-LN(2)/2)*CM26+(1-EXP(-LN(2)/2))/(LN(2)/2)*CG27*CJ27*VLOOKUP('Données projet'!$B$12,Paramètres!$A$1:$I$89,3,0)*0.475*44/12</f>
        <v>0.44332182484441635</v>
      </c>
      <c r="CN27" s="22">
        <f t="shared" si="12"/>
        <v>0.78677203966932596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10.6</v>
      </c>
      <c r="CT27" s="12">
        <f>IF('Données projet'!$A$140&gt;35,CT26+CS27-DB26,IF(A27&lt;'Données projet'!$A$140,$CQ$205^A27,IF(A27='Données projet'!$A$140,'Données projet'!$B$140,CT26+CS27-DB26)))</f>
        <v>102.39999999999996</v>
      </c>
      <c r="CU27" s="17">
        <f>CT27*VLOOKUP('Données projet'!$B$13,Paramètres!$A$1:$I$89,3,0)*VLOOKUP('Données projet'!$B$13,Paramètres!$A$1:$I$89,5,0)</f>
        <v>79.871999999999971</v>
      </c>
      <c r="CV27" s="13">
        <f t="shared" si="41"/>
        <v>22.105884547145401</v>
      </c>
      <c r="CW27" s="20">
        <f t="shared" si="13"/>
        <v>177.61148225294485</v>
      </c>
      <c r="CX27" s="59">
        <f t="shared" si="14"/>
        <v>463.61148225294482</v>
      </c>
      <c r="CY27" s="59">
        <f ca="1">AVERAGE(OFFSET($CX$3,0,0,'Données projet'!$E$13+1,1))-AVERAGE(OFFSET($H$3,0,0,'Données projet'!$E$13+1,1))</f>
        <v>288.80569134263209</v>
      </c>
      <c r="CZ27" s="59">
        <f t="shared" si="42"/>
        <v>283.48738729114024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4.1318260004914933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4.1318260004914933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12.6</v>
      </c>
      <c r="DO27" s="12">
        <f>IF('Données projet'!$A$166&gt;35,DO26+DN27-DW26,IF(A27&lt;'Données projet'!$A$166,$DL$205^A27,IF(A27='Données projet'!$A$166,'Données projet'!$B$166,DO26+DN27-DW26)))</f>
        <v>102.39999999999998</v>
      </c>
      <c r="DP27" s="17">
        <f>DO27*VLOOKUP('Données projet'!$B$14,Paramètres!$A$1:$I$89,3,0)*VLOOKUP('Données projet'!$B$14,Paramètres!$A$1:$I$89,5,0)</f>
        <v>81.469439999999992</v>
      </c>
      <c r="DQ27" s="13">
        <f t="shared" si="43"/>
        <v>22.496088365195678</v>
      </c>
      <c r="DR27" s="20">
        <f t="shared" si="16"/>
        <v>181.07329523604912</v>
      </c>
      <c r="DS27" s="59">
        <f t="shared" si="17"/>
        <v>467.07329523604915</v>
      </c>
      <c r="DT27" s="59">
        <f ca="1">AVERAGE(OFFSET($DS$3,0,0,'Données projet'!$E$14+1,1))-AVERAGE(OFFSET($H$3,0,0,'Données projet'!$E$14+1,1))</f>
        <v>299.10536994156814</v>
      </c>
      <c r="DU27" s="59">
        <f t="shared" si="44"/>
        <v>292.57799203101769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2"/>
        <v>111.49928148626357</v>
      </c>
      <c r="R28" s="59">
        <f t="shared" si="0"/>
        <v>398.72150370848578</v>
      </c>
      <c r="S28" s="59">
        <f ca="1">AVERAGE(OFFSET($R$3,0,0,'Données projet'!$E$9+1,1))-AVERAGE(OFFSET($H$3,0,0,'Données projet'!$E$9+1,1))</f>
        <v>384.05928630855732</v>
      </c>
      <c r="T28" s="59">
        <f t="shared" si="34"/>
        <v>279.93992813630513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3.2427350427350423</v>
      </c>
      <c r="AI28" s="13">
        <f>IF('Données projet'!$A$62&gt;35,AI27+AH28-AQ27,IF(A28&lt;'Données projet'!$A$62,$AF$205^A28,IF(A28='Données projet'!$A$62,'Données projet'!$B$62,AI27+AH28-AQ27)))</f>
        <v>45.362181606201382</v>
      </c>
      <c r="AJ28" s="13">
        <f>AI28*VLOOKUP('Données projet'!$B$10,Paramètres!$A$1:$I$89,3,0)*VLOOKUP('Données projet'!$B$10,Paramètres!$A$1:$I$89,5,0)</f>
        <v>38.920751818120792</v>
      </c>
      <c r="AK28" s="13">
        <f t="shared" si="35"/>
        <v>11.712138287847445</v>
      </c>
      <c r="AL28" s="20">
        <f t="shared" si="4"/>
        <v>88.185616934561338</v>
      </c>
      <c r="AM28" s="59">
        <f t="shared" si="5"/>
        <v>375.40783915678355</v>
      </c>
      <c r="AN28" s="59">
        <f ca="1">AVERAGE(OFFSET($AM$3,0,0,'Données projet'!$E$10+1,1))-AVERAGE(OFFSET($H$3,0,0,'Données projet'!$E$10+1,1))</f>
        <v>335.02113791949211</v>
      </c>
      <c r="AO28" s="59">
        <f t="shared" si="36"/>
        <v>222.06886429435099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2.9235042735042733</v>
      </c>
      <c r="BD28" s="12">
        <f>IF('Données projet'!$A$88&gt;35,BD27+BC28-BL27,IF(A28&lt;'Données projet'!$A$88,$BA$205^A28,IF(A28='Données projet'!$A$88,'Données projet'!$B$88,BD27+BC28-BL27)))</f>
        <v>41.609020251295185</v>
      </c>
      <c r="BE28" s="13">
        <f>BD28*VLOOKUP('Données projet'!$B$11,Paramètres!$A$1:$I$89,3,0)*VLOOKUP('Données projet'!$B$11,Paramètres!$A$1:$I$89,5,0)</f>
        <v>40.244244387052703</v>
      </c>
      <c r="BF28" s="13">
        <f t="shared" si="37"/>
        <v>12.063360954551117</v>
      </c>
      <c r="BG28" s="20">
        <f t="shared" si="7"/>
        <v>91.102412636626653</v>
      </c>
      <c r="BH28" s="59">
        <f t="shared" si="8"/>
        <v>378.32463485884887</v>
      </c>
      <c r="BI28" s="59">
        <f ca="1">AVERAGE(OFFSET($BH$3,0,0,'Données projet'!$E$11+1,1))-AVERAGE(OFFSET($H$3,0,0,'Données projet'!$E$11+1,1))</f>
        <v>366.51581861366333</v>
      </c>
      <c r="BJ28" s="59">
        <f t="shared" si="38"/>
        <v>225.01415116995503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116</v>
      </c>
      <c r="BW28" s="12">
        <f>VLOOKUP(A28,'Données projet'!$A$113:$I$133,9,0)</f>
        <v>8.1999999999999993</v>
      </c>
      <c r="BX28" s="12">
        <f t="array" ref="BX28">INDEX(BW:BW,MIN(IF(ISNUMBER(BW28:BW224),ROW(BW28:BW224),"")))</f>
        <v>8.1999999999999993</v>
      </c>
      <c r="BY28" s="12">
        <f>IF('Données projet'!$A$114&gt;35,BY27+BX28-CG27,IF(A28&lt;'Données projet'!$A$114,$BV$205^A28,IF(A28='Données projet'!$A$114,'Données projet'!$B$114,BY27+BX28-CG27)))</f>
        <v>116.00000000000003</v>
      </c>
      <c r="BZ28" s="13">
        <f>BY28*VLOOKUP('Données projet'!$B$12,Paramètres!$A$1:$I$89,3,0)*VLOOKUP('Données projet'!$B$12,Paramètres!$A$1:$I$89,5,0)</f>
        <v>76.003200000000021</v>
      </c>
      <c r="CA28" s="13">
        <f t="shared" si="39"/>
        <v>21.157049992000456</v>
      </c>
      <c r="CB28" s="20">
        <f t="shared" si="10"/>
        <v>169.2207687360675</v>
      </c>
      <c r="CC28" s="59">
        <f t="shared" si="11"/>
        <v>456.44299095828973</v>
      </c>
      <c r="CD28" s="59">
        <f ca="1">AVERAGE(OFFSET($CC$3,0,0,'Données projet'!$E$12+1,1))-AVERAGE(OFFSET($H$3,0,0,'Données projet'!$E$12+1,1))</f>
        <v>230.58262378842818</v>
      </c>
      <c r="CE28" s="59">
        <f t="shared" si="40"/>
        <v>235.68746142880792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18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4.3000000000000003E-2</v>
      </c>
      <c r="CJ28" s="16">
        <f>IF(ISNA(VLOOKUP(A28,'Données projet'!$A$113:$I$133,7,0)),0%,VLOOKUP(A28,'Données projet'!$A$113:$I$133,7,0))</f>
        <v>0.3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0.89246265489666166</v>
      </c>
      <c r="CM28" s="21">
        <f>EXP(-LN(2)/2)*CM27+(1-EXP(-LN(2)/2))/(LN(2)/2)*CG28*CJ28*VLOOKUP('Données projet'!$B$12,Paramètres!$A$1:$I$89,3,0)*0.475*44/12</f>
        <v>3.6517495746225133</v>
      </c>
      <c r="CN28" s="22">
        <f t="shared" si="12"/>
        <v>4.5442122295191751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113</v>
      </c>
      <c r="CR28" s="12">
        <f>VLOOKUP(A28,'Données projet'!$A$139:$I$159,9,0)</f>
        <v>10.6</v>
      </c>
      <c r="CS28" s="12">
        <f t="array" ref="CS28">INDEX(CR:CR,MIN(IF(ISNUMBER(CR28:CR224),ROW(CR28:CR224),"")))</f>
        <v>10.6</v>
      </c>
      <c r="CT28" s="12">
        <f>IF('Données projet'!$A$140&gt;35,CT27+CS28-DB27,IF(A28&lt;'Données projet'!$A$140,$CQ$205^A28,IF(A28='Données projet'!$A$140,'Données projet'!$B$140,CT27+CS28-DB27)))</f>
        <v>112.99999999999996</v>
      </c>
      <c r="CU28" s="17">
        <f>CT28*VLOOKUP('Données projet'!$B$13,Paramètres!$A$1:$I$89,3,0)*VLOOKUP('Données projet'!$B$13,Paramètres!$A$1:$I$89,5,0)</f>
        <v>88.139999999999972</v>
      </c>
      <c r="CV28" s="13">
        <f t="shared" si="41"/>
        <v>24.116094026318823</v>
      </c>
      <c r="CW28" s="20">
        <f t="shared" si="13"/>
        <v>195.51269709583855</v>
      </c>
      <c r="CX28" s="59">
        <f t="shared" si="14"/>
        <v>482.73491931806075</v>
      </c>
      <c r="CY28" s="59">
        <f ca="1">AVERAGE(OFFSET($CX$3,0,0,'Données projet'!$E$13+1,1))-AVERAGE(OFFSET($H$3,0,0,'Données projet'!$E$13+1,1))</f>
        <v>288.80569134263209</v>
      </c>
      <c r="CZ28" s="59">
        <f t="shared" si="42"/>
        <v>283.48738729114024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27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0.215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9.0045919320944172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9.0045919320944172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115</v>
      </c>
      <c r="DM28" s="12">
        <f>VLOOKUP(A28,'Données projet'!$A$165:$I$185,9,0)</f>
        <v>12.6</v>
      </c>
      <c r="DN28" s="12">
        <f t="array" ref="DN28">INDEX(DM:DM,MIN(IF(ISNUMBER(DM28:DM224),ROW(DM28:DM224),"")))</f>
        <v>12.6</v>
      </c>
      <c r="DO28" s="12">
        <f>IF('Données projet'!$A$166&gt;35,DO27+DN28-DW27,IF(A28&lt;'Données projet'!$A$166,$DL$205^A28,IF(A28='Données projet'!$A$166,'Données projet'!$B$166,DO27+DN28-DW27)))</f>
        <v>114.99999999999997</v>
      </c>
      <c r="DP28" s="17">
        <f>DO28*VLOOKUP('Données projet'!$B$14,Paramètres!$A$1:$I$89,3,0)*VLOOKUP('Données projet'!$B$14,Paramètres!$A$1:$I$89,5,0)</f>
        <v>91.493999999999986</v>
      </c>
      <c r="DQ28" s="13">
        <f t="shared" si="43"/>
        <v>24.925195840896517</v>
      </c>
      <c r="DR28" s="20">
        <f t="shared" si="16"/>
        <v>202.76343275622807</v>
      </c>
      <c r="DS28" s="59">
        <f t="shared" si="17"/>
        <v>489.98565497845027</v>
      </c>
      <c r="DT28" s="59">
        <f ca="1">AVERAGE(OFFSET($DS$3,0,0,'Données projet'!$E$14+1,1))-AVERAGE(OFFSET($H$3,0,0,'Données projet'!$E$14+1,1))</f>
        <v>299.10536994156814</v>
      </c>
      <c r="DU28" s="59">
        <f t="shared" si="44"/>
        <v>292.57799203101769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3.7100000000000008E-2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0.91003997042672546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0.91003997042672546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2"/>
        <v>130.31211162387879</v>
      </c>
      <c r="R29" s="59">
        <f t="shared" si="0"/>
        <v>418.75655606832322</v>
      </c>
      <c r="S29" s="59">
        <f ca="1">AVERAGE(OFFSET($R$3,0,0,'Données projet'!$E$9+1,1))-AVERAGE(OFFSET($H$3,0,0,'Données projet'!$E$9+1,1))</f>
        <v>384.05928630855732</v>
      </c>
      <c r="T29" s="59">
        <f t="shared" si="34"/>
        <v>279.93992813630513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3.2427350427350423</v>
      </c>
      <c r="AI29" s="13">
        <f>IF('Données projet'!$A$62&gt;35,AI28+AH29-AQ28,IF(A29&lt;'Données projet'!$A$62,$AF$205^A29,IF(A29='Données projet'!$A$62,'Données projet'!$B$62,AI28+AH29-AQ28)))</f>
        <v>52.839863891159432</v>
      </c>
      <c r="AJ29" s="13">
        <f>AI29*VLOOKUP('Données projet'!$B$10,Paramètres!$A$1:$I$89,3,0)*VLOOKUP('Données projet'!$B$10,Paramètres!$A$1:$I$89,5,0)</f>
        <v>45.336603218614798</v>
      </c>
      <c r="AK29" s="13">
        <f t="shared" si="35"/>
        <v>13.40264091009959</v>
      </c>
      <c r="AL29" s="20">
        <f t="shared" si="4"/>
        <v>102.30418352417756</v>
      </c>
      <c r="AM29" s="59">
        <f t="shared" si="5"/>
        <v>390.74862796862203</v>
      </c>
      <c r="AN29" s="59">
        <f ca="1">AVERAGE(OFFSET($AM$3,0,0,'Données projet'!$E$10+1,1))-AVERAGE(OFFSET($H$3,0,0,'Données projet'!$E$10+1,1))</f>
        <v>335.02113791949211</v>
      </c>
      <c r="AO29" s="59">
        <f t="shared" si="36"/>
        <v>222.06886429435099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2.9235042735042733</v>
      </c>
      <c r="BD29" s="12">
        <f>IF('Données projet'!$A$88&gt;35,BD28+BC29-BL28,IF(A29&lt;'Données projet'!$A$88,$BA$205^A29,IF(A29='Données projet'!$A$88,'Données projet'!$B$88,BD28+BC29-BL28)))</f>
        <v>48.30087400300993</v>
      </c>
      <c r="BE29" s="13">
        <f>BD29*VLOOKUP('Données projet'!$B$11,Paramètres!$A$1:$I$89,3,0)*VLOOKUP('Données projet'!$B$11,Paramètres!$A$1:$I$89,5,0)</f>
        <v>46.716605335711208</v>
      </c>
      <c r="BF29" s="13">
        <f t="shared" si="37"/>
        <v>13.762485848926369</v>
      </c>
      <c r="BG29" s="20">
        <f t="shared" si="7"/>
        <v>105.3344171465771</v>
      </c>
      <c r="BH29" s="59">
        <f t="shared" si="8"/>
        <v>393.77886159102155</v>
      </c>
      <c r="BI29" s="59">
        <f ca="1">AVERAGE(OFFSET($BH$3,0,0,'Données projet'!$E$11+1,1))-AVERAGE(OFFSET($H$3,0,0,'Données projet'!$E$11+1,1))</f>
        <v>366.51581861366333</v>
      </c>
      <c r="BJ29" s="59">
        <f t="shared" si="38"/>
        <v>225.01415116995503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7.8</v>
      </c>
      <c r="BY29" s="12">
        <f>IF('Données projet'!$A$114&gt;35,BY28+BX29-CG28,IF(A29&lt;'Données projet'!$A$114,$BV$205^A29,IF(A29='Données projet'!$A$114,'Données projet'!$B$114,BY28+BX29-CG28)))</f>
        <v>105.80000000000003</v>
      </c>
      <c r="BZ29" s="13">
        <f>BY29*VLOOKUP('Données projet'!$B$12,Paramètres!$A$1:$I$89,3,0)*VLOOKUP('Données projet'!$B$12,Paramètres!$A$1:$I$89,5,0)</f>
        <v>69.320160000000016</v>
      </c>
      <c r="CA29" s="13">
        <f t="shared" si="39"/>
        <v>19.50453356393022</v>
      </c>
      <c r="CB29" s="20">
        <f t="shared" si="10"/>
        <v>154.70300795717847</v>
      </c>
      <c r="CC29" s="59">
        <f t="shared" si="11"/>
        <v>443.1474524016229</v>
      </c>
      <c r="CD29" s="59">
        <f ca="1">AVERAGE(OFFSET($CC$3,0,0,'Données projet'!$E$12+1,1))-AVERAGE(OFFSET($H$3,0,0,'Données projet'!$E$12+1,1))</f>
        <v>230.58262378842818</v>
      </c>
      <c r="CE29" s="59">
        <f t="shared" si="40"/>
        <v>235.68746142880792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0.86805821666594118</v>
      </c>
      <c r="CM29" s="21">
        <f>EXP(-LN(2)/2)*CM28+(1-EXP(-LN(2)/2))/(LN(2)/2)*CG29*CJ29*VLOOKUP('Données projet'!$B$12,Paramètres!$A$1:$I$89,3,0)*0.475*44/12</f>
        <v>2.5821768874106699</v>
      </c>
      <c r="CN29" s="22">
        <f t="shared" si="12"/>
        <v>3.450235104076611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11.5</v>
      </c>
      <c r="CT29" s="12">
        <f>IF('Données projet'!$A$140&gt;35,CT28+CS29-DB28,IF(A29&lt;'Données projet'!$A$140,$CQ$205^A29,IF(A29='Données projet'!$A$140,'Données projet'!$B$140,CT28+CS29-DB28)))</f>
        <v>97.499999999999957</v>
      </c>
      <c r="CU29" s="17">
        <f>CT29*VLOOKUP('Données projet'!$B$13,Paramètres!$A$1:$I$89,3,0)*VLOOKUP('Données projet'!$B$13,Paramètres!$A$1:$I$89,5,0)</f>
        <v>76.049999999999969</v>
      </c>
      <c r="CV29" s="13">
        <f t="shared" si="41"/>
        <v>21.168560890749262</v>
      </c>
      <c r="CW29" s="20">
        <f t="shared" si="13"/>
        <v>169.32232688472158</v>
      </c>
      <c r="CX29" s="59">
        <f t="shared" si="14"/>
        <v>457.76677132916603</v>
      </c>
      <c r="CY29" s="59">
        <f ca="1">AVERAGE(OFFSET($CX$3,0,0,'Données projet'!$E$13+1,1))-AVERAGE(OFFSET($H$3,0,0,'Données projet'!$E$13+1,1))</f>
        <v>288.80569134263209</v>
      </c>
      <c r="CZ29" s="59">
        <f t="shared" si="42"/>
        <v>283.48738729114024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8.7583608921803862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8.7583608921803862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11.8</v>
      </c>
      <c r="DO29" s="12">
        <f>IF('Données projet'!$A$166&gt;35,DO28+DN29-DW28,IF(A29&lt;'Données projet'!$A$166,$DL$205^A29,IF(A29='Données projet'!$A$166,'Données projet'!$B$166,DO28+DN29-DW28)))</f>
        <v>98.799999999999969</v>
      </c>
      <c r="DP29" s="17">
        <f>DO29*VLOOKUP('Données projet'!$B$14,Paramètres!$A$1:$I$89,3,0)*VLOOKUP('Données projet'!$B$14,Paramètres!$A$1:$I$89,5,0)</f>
        <v>78.605279999999979</v>
      </c>
      <c r="DQ29" s="13">
        <f t="shared" si="43"/>
        <v>21.795819556945734</v>
      </c>
      <c r="DR29" s="20">
        <f t="shared" si="16"/>
        <v>174.86524839501377</v>
      </c>
      <c r="DS29" s="59">
        <f t="shared" si="17"/>
        <v>463.30969283945819</v>
      </c>
      <c r="DT29" s="59">
        <f ca="1">AVERAGE(OFFSET($DS$3,0,0,'Données projet'!$E$14+1,1))-AVERAGE(OFFSET($H$3,0,0,'Données projet'!$E$14+1,1))</f>
        <v>299.10536994156814</v>
      </c>
      <c r="DU29" s="59">
        <f t="shared" si="44"/>
        <v>292.57799203101769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0.88515487957848449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0.88515487957848449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2"/>
        <v>152.30832430653254</v>
      </c>
      <c r="R30" s="59">
        <f t="shared" si="0"/>
        <v>441.97499097319923</v>
      </c>
      <c r="S30" s="59">
        <f ca="1">AVERAGE(OFFSET($R$3,0,0,'Données projet'!$E$9+1,1))-AVERAGE(OFFSET($H$3,0,0,'Données projet'!$E$9+1,1))</f>
        <v>384.05928630855732</v>
      </c>
      <c r="T30" s="59">
        <f t="shared" si="34"/>
        <v>279.93992813630513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3.2427350427350423</v>
      </c>
      <c r="AI30" s="13">
        <f>IF('Données projet'!$A$62&gt;35,AI29+AH30-AQ29,IF(A30&lt;'Données projet'!$A$62,$AF$205^A30,IF(A30='Données projet'!$A$62,'Données projet'!$B$62,AI29+AH30-AQ29)))</f>
        <v>61.550197040226955</v>
      </c>
      <c r="AJ30" s="13">
        <f>AI30*VLOOKUP('Données projet'!$B$10,Paramètres!$A$1:$I$89,3,0)*VLOOKUP('Données projet'!$B$10,Paramètres!$A$1:$I$89,5,0)</f>
        <v>52.810069060514735</v>
      </c>
      <c r="AK30" s="13">
        <f t="shared" si="35"/>
        <v>15.337146723366523</v>
      </c>
      <c r="AL30" s="20">
        <f t="shared" si="4"/>
        <v>118.68973415692649</v>
      </c>
      <c r="AM30" s="59">
        <f t="shared" si="5"/>
        <v>408.35640082359316</v>
      </c>
      <c r="AN30" s="59">
        <f ca="1">AVERAGE(OFFSET($AM$3,0,0,'Données projet'!$E$10+1,1))-AVERAGE(OFFSET($H$3,0,0,'Données projet'!$E$10+1,1))</f>
        <v>335.02113791949211</v>
      </c>
      <c r="AO30" s="59">
        <f t="shared" si="36"/>
        <v>222.06886429435099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2.9235042735042733</v>
      </c>
      <c r="BD30" s="12">
        <f>IF('Données projet'!$A$88&gt;35,BD29+BC30-BL29,IF(A30&lt;'Données projet'!$A$88,$BA$205^A30,IF(A30='Données projet'!$A$88,'Données projet'!$B$88,BD29+BC30-BL29)))</f>
        <v>56.068958494210662</v>
      </c>
      <c r="BE30" s="13">
        <f>BD30*VLOOKUP('Données projet'!$B$11,Paramètres!$A$1:$I$89,3,0)*VLOOKUP('Données projet'!$B$11,Paramètres!$A$1:$I$89,5,0)</f>
        <v>54.229896655600555</v>
      </c>
      <c r="BF30" s="13">
        <f t="shared" si="37"/>
        <v>15.700932555652479</v>
      </c>
      <c r="BG30" s="20">
        <f t="shared" si="7"/>
        <v>121.79619420959904</v>
      </c>
      <c r="BH30" s="59">
        <f t="shared" si="8"/>
        <v>411.46286087626572</v>
      </c>
      <c r="BI30" s="59">
        <f ca="1">AVERAGE(OFFSET($BH$3,0,0,'Données projet'!$E$11+1,1))-AVERAGE(OFFSET($H$3,0,0,'Données projet'!$E$11+1,1))</f>
        <v>366.51581861366333</v>
      </c>
      <c r="BJ30" s="59">
        <f t="shared" si="38"/>
        <v>225.01415116995503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7.8</v>
      </c>
      <c r="BY30" s="12">
        <f>IF('Données projet'!$A$114&gt;35,BY29+BX30-CG29,IF(A30&lt;'Données projet'!$A$114,$BV$205^A30,IF(A30='Données projet'!$A$114,'Données projet'!$B$114,BY29+BX30-CG29)))</f>
        <v>113.60000000000002</v>
      </c>
      <c r="BZ30" s="13">
        <f>BY30*VLOOKUP('Données projet'!$B$12,Paramètres!$A$1:$I$89,3,0)*VLOOKUP('Données projet'!$B$12,Paramètres!$A$1:$I$89,5,0)</f>
        <v>74.430720000000022</v>
      </c>
      <c r="CA30" s="13">
        <f t="shared" si="39"/>
        <v>20.76980057385482</v>
      </c>
      <c r="CB30" s="20">
        <f t="shared" si="10"/>
        <v>165.80757333279718</v>
      </c>
      <c r="CC30" s="59">
        <f t="shared" si="11"/>
        <v>455.47423999946386</v>
      </c>
      <c r="CD30" s="59">
        <f ca="1">AVERAGE(OFFSET($CC$3,0,0,'Données projet'!$E$12+1,1))-AVERAGE(OFFSET($H$3,0,0,'Données projet'!$E$12+1,1))</f>
        <v>230.58262378842818</v>
      </c>
      <c r="CE30" s="59">
        <f t="shared" si="40"/>
        <v>235.68746142880792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0.84432111908201335</v>
      </c>
      <c r="CM30" s="21">
        <f>EXP(-LN(2)/2)*CM29+(1-EXP(-LN(2)/2))/(LN(2)/2)*CG30*CJ30*VLOOKUP('Données projet'!$B$12,Paramètres!$A$1:$I$89,3,0)*0.475*44/12</f>
        <v>1.8258747873112571</v>
      </c>
      <c r="CN30" s="22">
        <f t="shared" si="12"/>
        <v>2.6701959063932703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11.5</v>
      </c>
      <c r="CT30" s="12">
        <f>IF('Données projet'!$A$140&gt;35,CT29+CS30-DB29,IF(A30&lt;'Données projet'!$A$140,$CQ$205^A30,IF(A30='Données projet'!$A$140,'Données projet'!$B$140,CT29+CS30-DB29)))</f>
        <v>108.99999999999996</v>
      </c>
      <c r="CU30" s="17">
        <f>CT30*VLOOKUP('Données projet'!$B$13,Paramètres!$A$1:$I$89,3,0)*VLOOKUP('Données projet'!$B$13,Paramètres!$A$1:$I$89,5,0)</f>
        <v>85.019999999999968</v>
      </c>
      <c r="CV30" s="13">
        <f t="shared" si="41"/>
        <v>23.360218970693097</v>
      </c>
      <c r="CW30" s="20">
        <f t="shared" si="13"/>
        <v>188.76221470729038</v>
      </c>
      <c r="CX30" s="59">
        <f t="shared" si="14"/>
        <v>478.4288813739571</v>
      </c>
      <c r="CY30" s="59">
        <f ca="1">AVERAGE(OFFSET($CX$3,0,0,'Données projet'!$E$13+1,1))-AVERAGE(OFFSET($H$3,0,0,'Données projet'!$E$13+1,1))</f>
        <v>288.80569134263209</v>
      </c>
      <c r="CZ30" s="59">
        <f t="shared" si="42"/>
        <v>283.48738729114024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8.5188630530015317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8.5188630530015317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11.8</v>
      </c>
      <c r="DO30" s="12">
        <f>IF('Données projet'!$A$166&gt;35,DO29+DN30-DW29,IF(A30&lt;'Données projet'!$A$166,$DL$205^A30,IF(A30='Données projet'!$A$166,'Données projet'!$B$166,DO29+DN30-DW29)))</f>
        <v>110.59999999999997</v>
      </c>
      <c r="DP30" s="17">
        <f>DO30*VLOOKUP('Données projet'!$B$14,Paramètres!$A$1:$I$89,3,0)*VLOOKUP('Données projet'!$B$14,Paramètres!$A$1:$I$89,5,0)</f>
        <v>87.993359999999981</v>
      </c>
      <c r="DQ30" s="13">
        <f t="shared" si="43"/>
        <v>24.080638481970816</v>
      </c>
      <c r="DR30" s="20">
        <f t="shared" si="16"/>
        <v>195.19554735609913</v>
      </c>
      <c r="DS30" s="59">
        <f t="shared" si="17"/>
        <v>484.86221402276578</v>
      </c>
      <c r="DT30" s="59">
        <f ca="1">AVERAGE(OFFSET($DS$3,0,0,'Données projet'!$E$14+1,1))-AVERAGE(OFFSET($H$3,0,0,'Données projet'!$E$14+1,1))</f>
        <v>299.10536994156814</v>
      </c>
      <c r="DU30" s="59">
        <f t="shared" si="44"/>
        <v>292.57799203101769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0.86095027284813874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0.86095027284813874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2"/>
        <v>178.02802422784376</v>
      </c>
      <c r="R31" s="59">
        <f t="shared" si="0"/>
        <v>468.91691311673264</v>
      </c>
      <c r="S31" s="59">
        <f ca="1">AVERAGE(OFFSET($R$3,0,0,'Données projet'!$E$9+1,1))-AVERAGE(OFFSET($H$3,0,0,'Données projet'!$E$9+1,1))</f>
        <v>384.05928630855732</v>
      </c>
      <c r="T31" s="59">
        <f t="shared" si="34"/>
        <v>279.93992813630513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3.2427350427350423</v>
      </c>
      <c r="AI31" s="13">
        <f>IF('Données projet'!$A$62&gt;35,AI30+AH31-AQ30,IF(A31&lt;'Données projet'!$A$62,$AF$205^A31,IF(A31='Données projet'!$A$62,'Données projet'!$B$62,AI30+AH31-AQ30)))</f>
        <v>71.696376120389672</v>
      </c>
      <c r="AJ31" s="13">
        <f>AI31*VLOOKUP('Données projet'!$B$10,Paramètres!$A$1:$I$89,3,0)*VLOOKUP('Données projet'!$B$10,Paramètres!$A$1:$I$89,5,0)</f>
        <v>61.515490711294341</v>
      </c>
      <c r="AK31" s="13">
        <f t="shared" si="35"/>
        <v>17.55087457702578</v>
      </c>
      <c r="AL31" s="20">
        <f t="shared" si="4"/>
        <v>137.70725287715754</v>
      </c>
      <c r="AM31" s="59">
        <f t="shared" si="5"/>
        <v>428.5961417660464</v>
      </c>
      <c r="AN31" s="59">
        <f ca="1">AVERAGE(OFFSET($AM$3,0,0,'Données projet'!$E$10+1,1))-AVERAGE(OFFSET($H$3,0,0,'Données projet'!$E$10+1,1))</f>
        <v>335.02113791949211</v>
      </c>
      <c r="AO31" s="59">
        <f t="shared" si="36"/>
        <v>222.06886429435099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2.9235042735042733</v>
      </c>
      <c r="BD31" s="12">
        <f>IF('Données projet'!$A$88&gt;35,BD30+BC31-BL30,IF(A31&lt;'Données projet'!$A$88,$BA$205^A31,IF(A31='Données projet'!$A$88,'Données projet'!$B$88,BD30+BC31-BL30)))</f>
        <v>65.086360682202411</v>
      </c>
      <c r="BE31" s="13">
        <f>BD31*VLOOKUP('Données projet'!$B$11,Paramètres!$A$1:$I$89,3,0)*VLOOKUP('Données projet'!$B$11,Paramètres!$A$1:$I$89,5,0)</f>
        <v>62.951528051826173</v>
      </c>
      <c r="BF31" s="13">
        <f t="shared" si="37"/>
        <v>17.91240956199632</v>
      </c>
      <c r="BG31" s="20">
        <f t="shared" si="7"/>
        <v>140.8380246774075</v>
      </c>
      <c r="BH31" s="59">
        <f t="shared" si="8"/>
        <v>431.72691356629639</v>
      </c>
      <c r="BI31" s="59">
        <f ca="1">AVERAGE(OFFSET($BH$3,0,0,'Données projet'!$E$11+1,1))-AVERAGE(OFFSET($H$3,0,0,'Données projet'!$E$11+1,1))</f>
        <v>366.51581861366333</v>
      </c>
      <c r="BJ31" s="59">
        <f t="shared" si="38"/>
        <v>225.01415116995503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7.8</v>
      </c>
      <c r="BY31" s="12">
        <f>IF('Données projet'!$A$114&gt;35,BY30+BX31-CG30,IF(A31&lt;'Données projet'!$A$114,$BV$205^A31,IF(A31='Données projet'!$A$114,'Données projet'!$B$114,BY30+BX31-CG30)))</f>
        <v>121.40000000000002</v>
      </c>
      <c r="BZ31" s="13">
        <f>BY31*VLOOKUP('Données projet'!$B$12,Paramètres!$A$1:$I$89,3,0)*VLOOKUP('Données projet'!$B$12,Paramètres!$A$1:$I$89,5,0)</f>
        <v>79.541280000000015</v>
      </c>
      <c r="CA31" s="13">
        <f t="shared" si="39"/>
        <v>22.024987194093406</v>
      </c>
      <c r="CB31" s="20">
        <f t="shared" si="10"/>
        <v>176.89458202971272</v>
      </c>
      <c r="CC31" s="59">
        <f t="shared" si="11"/>
        <v>467.78347091860155</v>
      </c>
      <c r="CD31" s="59">
        <f ca="1">AVERAGE(OFFSET($CC$3,0,0,'Données projet'!$E$12+1,1))-AVERAGE(OFFSET($H$3,0,0,'Données projet'!$E$12+1,1))</f>
        <v>230.58262378842818</v>
      </c>
      <c r="CE31" s="59">
        <f t="shared" si="40"/>
        <v>235.68746142880792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0.82123311367979779</v>
      </c>
      <c r="CM31" s="21">
        <f>EXP(-LN(2)/2)*CM30+(1-EXP(-LN(2)/2))/(LN(2)/2)*CG31*CJ31*VLOOKUP('Données projet'!$B$12,Paramètres!$A$1:$I$89,3,0)*0.475*44/12</f>
        <v>1.2910884437053352</v>
      </c>
      <c r="CN31" s="22">
        <f t="shared" si="12"/>
        <v>2.1123215573851328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11.5</v>
      </c>
      <c r="CT31" s="12">
        <f>IF('Données projet'!$A$140&gt;35,CT30+CS31-DB30,IF(A31&lt;'Données projet'!$A$140,$CQ$205^A31,IF(A31='Données projet'!$A$140,'Données projet'!$B$140,CT30+CS31-DB30)))</f>
        <v>120.49999999999996</v>
      </c>
      <c r="CU31" s="17">
        <f>CT31*VLOOKUP('Données projet'!$B$13,Paramètres!$A$1:$I$89,3,0)*VLOOKUP('Données projet'!$B$13,Paramètres!$A$1:$I$89,5,0)</f>
        <v>93.989999999999966</v>
      </c>
      <c r="CV31" s="13">
        <f t="shared" si="41"/>
        <v>25.525074036970054</v>
      </c>
      <c r="CW31" s="20">
        <f t="shared" si="13"/>
        <v>208.15542061438944</v>
      </c>
      <c r="CX31" s="59">
        <f t="shared" si="14"/>
        <v>499.04430950327833</v>
      </c>
      <c r="CY31" s="59">
        <f ca="1">AVERAGE(OFFSET($CX$3,0,0,'Données projet'!$E$13+1,1))-AVERAGE(OFFSET($H$3,0,0,'Données projet'!$E$13+1,1))</f>
        <v>288.80569134263209</v>
      </c>
      <c r="CZ31" s="59">
        <f t="shared" si="42"/>
        <v>283.48738729114024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8.2859142948296665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8.2859142948296665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11.8</v>
      </c>
      <c r="DO31" s="12">
        <f>IF('Données projet'!$A$166&gt;35,DO30+DN31-DW30,IF(A31&lt;'Données projet'!$A$166,$DL$205^A31,IF(A31='Données projet'!$A$166,'Données projet'!$B$166,DO30+DN31-DW30)))</f>
        <v>122.39999999999996</v>
      </c>
      <c r="DP31" s="17">
        <f>DO31*VLOOKUP('Données projet'!$B$14,Paramètres!$A$1:$I$89,3,0)*VLOOKUP('Données projet'!$B$14,Paramètres!$A$1:$I$89,5,0)</f>
        <v>97.381439999999984</v>
      </c>
      <c r="DQ31" s="13">
        <f t="shared" si="43"/>
        <v>26.337201615555198</v>
      </c>
      <c r="DR31" s="20">
        <f t="shared" si="16"/>
        <v>215.47663414709197</v>
      </c>
      <c r="DS31" s="59">
        <f t="shared" si="17"/>
        <v>506.3655230359808</v>
      </c>
      <c r="DT31" s="59">
        <f ca="1">AVERAGE(OFFSET($DS$3,0,0,'Données projet'!$E$14+1,1))-AVERAGE(OFFSET($H$3,0,0,'Données projet'!$E$14+1,1))</f>
        <v>299.10536994156814</v>
      </c>
      <c r="DU31" s="59">
        <f t="shared" si="44"/>
        <v>292.57799203101769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0.83740754236169923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0.83740754236169923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2"/>
        <v>208.10317584974769</v>
      </c>
      <c r="R32" s="59">
        <f t="shared" si="0"/>
        <v>500.21428696085883</v>
      </c>
      <c r="S32" s="59">
        <f ca="1">AVERAGE(OFFSET($R$3,0,0,'Données projet'!$E$9+1,1))-AVERAGE(OFFSET($H$3,0,0,'Données projet'!$E$9+1,1))</f>
        <v>384.05928630855732</v>
      </c>
      <c r="T32" s="59">
        <f t="shared" si="34"/>
        <v>279.93992813630513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3.2427350427350423</v>
      </c>
      <c r="AI32" s="13">
        <f>IF('Données projet'!$A$62&gt;35,AI31+AH32-AQ31,IF(A32&lt;'Données projet'!$A$62,$AF$205^A32,IF(A32='Données projet'!$A$62,'Données projet'!$B$62,AI31+AH32-AQ31)))</f>
        <v>83.515091680970968</v>
      </c>
      <c r="AJ32" s="13">
        <f>AI32*VLOOKUP('Données projet'!$B$10,Paramètres!$A$1:$I$89,3,0)*VLOOKUP('Données projet'!$B$10,Paramètres!$A$1:$I$89,5,0)</f>
        <v>71.655948662273104</v>
      </c>
      <c r="AK32" s="13">
        <f t="shared" si="35"/>
        <v>20.084126726726403</v>
      </c>
      <c r="AL32" s="20">
        <f t="shared" si="4"/>
        <v>159.78063130250749</v>
      </c>
      <c r="AM32" s="59">
        <f t="shared" si="5"/>
        <v>451.89174241361866</v>
      </c>
      <c r="AN32" s="59">
        <f ca="1">AVERAGE(OFFSET($AM$3,0,0,'Données projet'!$E$10+1,1))-AVERAGE(OFFSET($H$3,0,0,'Données projet'!$E$10+1,1))</f>
        <v>335.02113791949211</v>
      </c>
      <c r="AO32" s="59">
        <f t="shared" si="36"/>
        <v>222.06886429435099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2.9235042735042733</v>
      </c>
      <c r="BD32" s="12">
        <f>IF('Données projet'!$A$88&gt;35,BD31+BC32-BL31,IF(A32&lt;'Données projet'!$A$88,$BA$205^A32,IF(A32='Données projet'!$A$88,'Données projet'!$B$88,BD31+BC32-BL31)))</f>
        <v>75.55400457975604</v>
      </c>
      <c r="BE32" s="13">
        <f>BD32*VLOOKUP('Données projet'!$B$11,Paramètres!$A$1:$I$89,3,0)*VLOOKUP('Données projet'!$B$11,Paramètres!$A$1:$I$89,5,0)</f>
        <v>73.075833229540052</v>
      </c>
      <c r="BF32" s="13">
        <f t="shared" si="37"/>
        <v>20.435373197064454</v>
      </c>
      <c r="BG32" s="20">
        <f t="shared" si="7"/>
        <v>162.86535119300285</v>
      </c>
      <c r="BH32" s="59">
        <f t="shared" si="8"/>
        <v>454.97646230411397</v>
      </c>
      <c r="BI32" s="59">
        <f ca="1">AVERAGE(OFFSET($BH$3,0,0,'Données projet'!$E$11+1,1))-AVERAGE(OFFSET($H$3,0,0,'Données projet'!$E$11+1,1))</f>
        <v>366.51581861366333</v>
      </c>
      <c r="BJ32" s="59">
        <f t="shared" si="38"/>
        <v>225.01415116995503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7.8</v>
      </c>
      <c r="BY32" s="12">
        <f>IF('Données projet'!$A$114&gt;35,BY31+BX32-CG31,IF(A32&lt;'Données projet'!$A$114,$BV$205^A32,IF(A32='Données projet'!$A$114,'Données projet'!$B$114,BY31+BX32-CG31)))</f>
        <v>129.20000000000002</v>
      </c>
      <c r="BZ32" s="13">
        <f>BY32*VLOOKUP('Données projet'!$B$12,Paramètres!$A$1:$I$89,3,0)*VLOOKUP('Données projet'!$B$12,Paramètres!$A$1:$I$89,5,0)</f>
        <v>84.651840000000007</v>
      </c>
      <c r="CA32" s="13">
        <f t="shared" si="39"/>
        <v>23.270814809686321</v>
      </c>
      <c r="CB32" s="20">
        <f t="shared" si="10"/>
        <v>187.96529046020365</v>
      </c>
      <c r="CC32" s="59">
        <f t="shared" si="11"/>
        <v>480.07640157131482</v>
      </c>
      <c r="CD32" s="59">
        <f ca="1">AVERAGE(OFFSET($CC$3,0,0,'Données projet'!$E$12+1,1))-AVERAGE(OFFSET($H$3,0,0,'Données projet'!$E$12+1,1))</f>
        <v>230.58262378842818</v>
      </c>
      <c r="CE32" s="59">
        <f t="shared" si="40"/>
        <v>235.68746142880792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0.79877645099945127</v>
      </c>
      <c r="CM32" s="21">
        <f>EXP(-LN(2)/2)*CM31+(1-EXP(-LN(2)/2))/(LN(2)/2)*CG32*CJ32*VLOOKUP('Données projet'!$B$12,Paramètres!$A$1:$I$89,3,0)*0.475*44/12</f>
        <v>0.91293739365562865</v>
      </c>
      <c r="CN32" s="22">
        <f t="shared" si="12"/>
        <v>1.7117138446550799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11.5</v>
      </c>
      <c r="CT32" s="12">
        <f>IF('Données projet'!$A$140&gt;35,CT31+CS32-DB31,IF(A32&lt;'Données projet'!$A$140,$CQ$205^A32,IF(A32='Données projet'!$A$140,'Données projet'!$B$140,CT31+CS32-DB31)))</f>
        <v>131.99999999999994</v>
      </c>
      <c r="CU32" s="17">
        <f>CT32*VLOOKUP('Données projet'!$B$13,Paramètres!$A$1:$I$89,3,0)*VLOOKUP('Données projet'!$B$13,Paramètres!$A$1:$I$89,5,0)</f>
        <v>102.95999999999997</v>
      </c>
      <c r="CV32" s="13">
        <f t="shared" si="41"/>
        <v>27.665975080374633</v>
      </c>
      <c r="CW32" s="20">
        <f t="shared" si="13"/>
        <v>227.50690659831903</v>
      </c>
      <c r="CX32" s="59">
        <f t="shared" si="14"/>
        <v>519.61801770943021</v>
      </c>
      <c r="CY32" s="59">
        <f ca="1">AVERAGE(OFFSET($CX$3,0,0,'Données projet'!$E$13+1,1))-AVERAGE(OFFSET($H$3,0,0,'Données projet'!$E$13+1,1))</f>
        <v>288.80569134263209</v>
      </c>
      <c r="CZ32" s="59">
        <f t="shared" si="42"/>
        <v>283.48738729114024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8.0593355327002545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8.0593355327002545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11.8</v>
      </c>
      <c r="DO32" s="12">
        <f>IF('Données projet'!$A$166&gt;35,DO31+DN32-DW31,IF(A32&lt;'Données projet'!$A$166,$DL$205^A32,IF(A32='Données projet'!$A$166,'Données projet'!$B$166,DO31+DN32-DW31)))</f>
        <v>134.19999999999996</v>
      </c>
      <c r="DP32" s="17">
        <f>DO32*VLOOKUP('Données projet'!$B$14,Paramètres!$A$1:$I$89,3,0)*VLOOKUP('Données projet'!$B$14,Paramètres!$A$1:$I$89,5,0)</f>
        <v>106.76951999999997</v>
      </c>
      <c r="DQ32" s="13">
        <f t="shared" si="43"/>
        <v>28.568542914630683</v>
      </c>
      <c r="DR32" s="20">
        <f t="shared" si="16"/>
        <v>235.71379290964839</v>
      </c>
      <c r="DS32" s="59">
        <f t="shared" si="17"/>
        <v>527.8249040207595</v>
      </c>
      <c r="DT32" s="59">
        <f ca="1">AVERAGE(OFFSET($DS$3,0,0,'Données projet'!$E$14+1,1))-AVERAGE(OFFSET($H$3,0,0,'Données projet'!$E$14+1,1))</f>
        <v>299.10536994156814</v>
      </c>
      <c r="DU32" s="59">
        <f t="shared" si="44"/>
        <v>292.57799203101769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0.81450858907846979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0.81450858907846979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110.2812</v>
      </c>
      <c r="P33" s="13">
        <f t="shared" si="33"/>
        <v>29.397227638069996</v>
      </c>
      <c r="Q33" s="20">
        <f t="shared" si="2"/>
        <v>243.27326146963856</v>
      </c>
      <c r="R33" s="59">
        <f t="shared" si="0"/>
        <v>536.60659480297181</v>
      </c>
      <c r="S33" s="59">
        <f ca="1">AVERAGE(OFFSET($R$3,0,0,'Données projet'!$E$9+1,1))-AVERAGE(OFFSET($H$3,0,0,'Données projet'!$E$9+1,1))</f>
        <v>384.05928630855732</v>
      </c>
      <c r="T33" s="59">
        <f t="shared" si="34"/>
        <v>279.93992813630513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97.28205128205127</v>
      </c>
      <c r="AG33" s="12">
        <f>VLOOKUP(A33,'Données projet'!$A$61:$I$81,9,0)</f>
        <v>3.2427350427350423</v>
      </c>
      <c r="AH33" s="12">
        <f t="array" ref="AH33">INDEX(AG:AG,MIN(IF(ISNUMBER(AG33:AG229),ROW(AG33:AG229),"")))</f>
        <v>3.2427350427350423</v>
      </c>
      <c r="AI33" s="13">
        <f>IF('Données projet'!$A$62&gt;35,AI32+AH33-AQ32,IF(A33&lt;'Données projet'!$A$62,$AF$205^A33,IF(A33='Données projet'!$A$62,'Données projet'!$B$62,AI32+AH33-AQ32)))</f>
        <v>97.28205128205127</v>
      </c>
      <c r="AJ33" s="13">
        <f>AI33*VLOOKUP('Données projet'!$B$10,Paramètres!$A$1:$I$89,3,0)*VLOOKUP('Données projet'!$B$10,Paramètres!$A$1:$I$89,5,0)</f>
        <v>83.468000000000004</v>
      </c>
      <c r="AK33" s="13">
        <f t="shared" si="35"/>
        <v>22.983022561349888</v>
      </c>
      <c r="AL33" s="20">
        <f t="shared" si="4"/>
        <v>185.40219762768436</v>
      </c>
      <c r="AM33" s="59">
        <f t="shared" si="5"/>
        <v>478.73553096101767</v>
      </c>
      <c r="AN33" s="59">
        <f ca="1">AVERAGE(OFFSET($AM$3,0,0,'Données projet'!$E$10+1,1))-AVERAGE(OFFSET($H$3,0,0,'Données projet'!$E$10+1,1))</f>
        <v>335.02113791949211</v>
      </c>
      <c r="AO33" s="59">
        <f t="shared" si="36"/>
        <v>222.06886429435099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87.705128205128204</v>
      </c>
      <c r="BB33" s="12">
        <f>VLOOKUP(A33,'Données projet'!$A$87:$I$107,9,0)</f>
        <v>2.9235042735042733</v>
      </c>
      <c r="BC33" s="12">
        <f t="array" ref="BC33">INDEX(BB:BB,MIN(IF(ISNUMBER(BB33:BB229),ROW(BB33:BB229),"")))</f>
        <v>2.9235042735042733</v>
      </c>
      <c r="BD33" s="12">
        <f>IF('Données projet'!$A$88&gt;35,BD32+BC33-BL32,IF(A33&lt;'Données projet'!$A$88,$BA$205^A33,IF(A33='Données projet'!$A$88,'Données projet'!$B$88,BD32+BC33-BL32)))</f>
        <v>87.705128205128204</v>
      </c>
      <c r="BE33" s="13">
        <f>BD33*VLOOKUP('Données projet'!$B$11,Paramètres!$A$1:$I$89,3,0)*VLOOKUP('Données projet'!$B$11,Paramètres!$A$1:$I$89,5,0)</f>
        <v>84.828400000000002</v>
      </c>
      <c r="BF33" s="13">
        <f t="shared" si="37"/>
        <v>23.313696365524446</v>
      </c>
      <c r="BG33" s="20">
        <f t="shared" si="7"/>
        <v>188.34748450328843</v>
      </c>
      <c r="BH33" s="59">
        <f t="shared" si="8"/>
        <v>481.68081783662171</v>
      </c>
      <c r="BI33" s="59">
        <f ca="1">AVERAGE(OFFSET($BH$3,0,0,'Données projet'!$E$11+1,1))-AVERAGE(OFFSET($H$3,0,0,'Données projet'!$E$11+1,1))</f>
        <v>366.51581861366333</v>
      </c>
      <c r="BJ33" s="59">
        <f t="shared" si="38"/>
        <v>225.01415116995503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137</v>
      </c>
      <c r="BW33" s="12">
        <f>VLOOKUP(A33,'Données projet'!$A$113:$I$133,9,0)</f>
        <v>7.8</v>
      </c>
      <c r="BX33" s="12">
        <f t="array" ref="BX33">INDEX(BW:BW,MIN(IF(ISNUMBER(BW33:BW229),ROW(BW33:BW229),"")))</f>
        <v>7.8</v>
      </c>
      <c r="BY33" s="12">
        <f>IF('Données projet'!$A$114&gt;35,BY32+BX33-CG32,IF(A33&lt;'Données projet'!$A$114,$BV$205^A33,IF(A33='Données projet'!$A$114,'Données projet'!$B$114,BY32+BX33-CG32)))</f>
        <v>137.00000000000003</v>
      </c>
      <c r="BZ33" s="13">
        <f>BY33*VLOOKUP('Données projet'!$B$12,Paramètres!$A$1:$I$89,3,0)*VLOOKUP('Données projet'!$B$12,Paramètres!$A$1:$I$89,5,0)</f>
        <v>89.762400000000028</v>
      </c>
      <c r="CA33" s="13">
        <f t="shared" si="39"/>
        <v>24.507912782090678</v>
      </c>
      <c r="CB33" s="20">
        <f t="shared" si="10"/>
        <v>199.02079476214132</v>
      </c>
      <c r="CC33" s="59">
        <f t="shared" si="11"/>
        <v>492.35412809547461</v>
      </c>
      <c r="CD33" s="59">
        <f ca="1">AVERAGE(OFFSET($CC$3,0,0,'Données projet'!$E$12+1,1))-AVERAGE(OFFSET($H$3,0,0,'Données projet'!$E$12+1,1))</f>
        <v>230.58262378842818</v>
      </c>
      <c r="CE33" s="59">
        <f t="shared" si="40"/>
        <v>235.68746142880792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20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4.3000000000000003E-2</v>
      </c>
      <c r="CJ33" s="16">
        <f>IF(ISNA(VLOOKUP(A33,'Données projet'!$A$113:$I$133,7,0)),0%,VLOOKUP(A33,'Données projet'!$A$113:$I$133,7,0))</f>
        <v>0.3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1.3973828716714887</v>
      </c>
      <c r="CM33" s="21">
        <f>EXP(-LN(2)/2)*CM32+(1-EXP(-LN(2)/2))/(LN(2)/2)*CG33*CJ33*VLOOKUP('Données projet'!$B$12,Paramètres!$A$1:$I$89,3,0)*0.475*44/12</f>
        <v>4.3547372285493697</v>
      </c>
      <c r="CN33" s="22">
        <f t="shared" si="12"/>
        <v>5.7521201002208588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11.5</v>
      </c>
      <c r="CT33" s="12">
        <f>IF('Données projet'!$A$140&gt;35,CT32+CS33-DB32,IF(A33&lt;'Données projet'!$A$140,$CQ$205^A33,IF(A33='Données projet'!$A$140,'Données projet'!$B$140,CT32+CS33-DB32)))</f>
        <v>143.49999999999994</v>
      </c>
      <c r="CU33" s="17">
        <f>CT33*VLOOKUP('Données projet'!$B$13,Paramètres!$A$1:$I$89,3,0)*VLOOKUP('Données projet'!$B$13,Paramètres!$A$1:$I$89,5,0)</f>
        <v>111.92999999999996</v>
      </c>
      <c r="CV33" s="13">
        <f t="shared" si="41"/>
        <v>29.785246291563833</v>
      </c>
      <c r="CW33" s="20">
        <f t="shared" si="13"/>
        <v>246.82072062447358</v>
      </c>
      <c r="CX33" s="59">
        <f t="shared" si="14"/>
        <v>540.15405395780692</v>
      </c>
      <c r="CY33" s="59">
        <f ca="1">AVERAGE(OFFSET($CX$3,0,0,'Données projet'!$E$13+1,1))-AVERAGE(OFFSET($H$3,0,0,'Données projet'!$E$13+1,1))</f>
        <v>288.80569134263209</v>
      </c>
      <c r="CZ33" s="59">
        <f t="shared" si="42"/>
        <v>283.48738729114024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7.8389525787365306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7.8389525787365306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146</v>
      </c>
      <c r="DM33" s="12">
        <f>VLOOKUP(A33,'Données projet'!$A$165:$I$185,9,0)</f>
        <v>11.8</v>
      </c>
      <c r="DN33" s="12">
        <f t="array" ref="DN33">INDEX(DM:DM,MIN(IF(ISNUMBER(DM33:DM229),ROW(DM33:DM229),"")))</f>
        <v>11.8</v>
      </c>
      <c r="DO33" s="12">
        <f>IF('Données projet'!$A$166&gt;35,DO32+DN33-DW32,IF(A33&lt;'Données projet'!$A$166,$DL$205^A33,IF(A33='Données projet'!$A$166,'Données projet'!$B$166,DO32+DN33-DW32)))</f>
        <v>145.99999999999997</v>
      </c>
      <c r="DP33" s="17">
        <f>DO33*VLOOKUP('Données projet'!$B$14,Paramètres!$A$1:$I$89,3,0)*VLOOKUP('Données projet'!$B$14,Paramètres!$A$1:$I$89,5,0)</f>
        <v>116.15759999999999</v>
      </c>
      <c r="DQ33" s="13">
        <f t="shared" si="43"/>
        <v>30.777132266613055</v>
      </c>
      <c r="DR33" s="20">
        <f t="shared" si="16"/>
        <v>255.91132536435109</v>
      </c>
      <c r="DS33" s="59">
        <f t="shared" si="17"/>
        <v>549.24465869768437</v>
      </c>
      <c r="DT33" s="59">
        <f ca="1">AVERAGE(OFFSET($DS$3,0,0,'Données projet'!$E$14+1,1))-AVERAGE(OFFSET($H$3,0,0,'Données projet'!$E$14+1,1))</f>
        <v>299.10536994156814</v>
      </c>
      <c r="DU33" s="59">
        <f t="shared" si="44"/>
        <v>292.57799203101769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28</v>
      </c>
      <c r="DX33" s="16">
        <f>IF(ISNA(VLOOKUP(A33,'Données projet'!$A$165:$I$185,5,0)),0%,VLOOKUP(A33,'Données projet'!$A$165:$I$185,5,0)*VLOOKUP('Données projet'!$B$14,Paramètres!$A$1:$I$89,7,0))</f>
        <v>2.12E-2</v>
      </c>
      <c r="DY33" s="16">
        <f>IF(ISNA(VLOOKUP(A33,'Données projet'!$A$165:$I$185,6,0)),0%,VLOOKUP(A33,'Données projet'!$A$165:$I$185,6,0)*VLOOKUP('Données projet'!$B$14,Paramètres!$A$1:$I$89,7,0))</f>
        <v>0.1537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0.52207846207652797</v>
      </c>
      <c r="EB33" s="21">
        <f>EXP(-LN(2)/25)*EB32+(1-EXP(-LN(2)/25))/(LN(2)/25)*Calculateur!DW33*Calculateur!DY33*VLOOKUP('Données projet'!$B$14,Paramètres!$A$1:$I$89,3,0)*0.475*44/12</f>
        <v>4.5624014006448359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5.0844798627213637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8.0564102564102633</v>
      </c>
      <c r="N34" s="13">
        <f>IF('Données projet'!$A$36&gt;35,N33+M34-V33,IF(A34&lt;'Données projet'!$A$36,$K$205^A34,IF(A34='Données projet'!$A$36,'Données projet'!$B$36,N33+M34-V33)))</f>
        <v>129.94102564102565</v>
      </c>
      <c r="O34" s="13">
        <f>N34*VLOOKUP('Données projet'!$B$9,Paramètres!$A$1:$I$89,3,0)*VLOOKUP('Données projet'!$B$9,Paramètres!$A$1:$I$89,5,0)</f>
        <v>117.57064000000001</v>
      </c>
      <c r="P34" s="13">
        <f t="shared" si="33"/>
        <v>31.107718284302781</v>
      </c>
      <c r="Q34" s="20">
        <f t="shared" si="2"/>
        <v>258.94814067849398</v>
      </c>
      <c r="R34" s="59">
        <f t="shared" si="0"/>
        <v>552.2814740118273</v>
      </c>
      <c r="S34" s="59">
        <f ca="1">AVERAGE(OFFSET($R$3,0,0,'Données projet'!$E$9+1,1))-AVERAGE(OFFSET($H$3,0,0,'Données projet'!$E$9+1,1))</f>
        <v>384.05928630855732</v>
      </c>
      <c r="T34" s="59">
        <f t="shared" si="34"/>
        <v>279.93992813630513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7.9818376068376082</v>
      </c>
      <c r="AI34" s="13">
        <f>IF('Données projet'!$A$62&gt;35,AI33+AH34-AQ33,IF(A34&lt;'Données projet'!$A$62,$AF$205^A34,IF(A34='Données projet'!$A$62,'Données projet'!$B$62,AI33+AH34-AQ33)))</f>
        <v>105.26388888888889</v>
      </c>
      <c r="AJ34" s="13">
        <f>AI34*VLOOKUP('Données projet'!$B$10,Paramètres!$A$1:$I$89,3,0)*VLOOKUP('Données projet'!$B$10,Paramètres!$A$1:$I$89,5,0)</f>
        <v>90.316416666666683</v>
      </c>
      <c r="AK34" s="13">
        <f t="shared" si="35"/>
        <v>24.641521480322318</v>
      </c>
      <c r="AL34" s="20">
        <f t="shared" si="4"/>
        <v>200.21840893933916</v>
      </c>
      <c r="AM34" s="59">
        <f t="shared" si="5"/>
        <v>493.55174227267247</v>
      </c>
      <c r="AN34" s="59">
        <f ca="1">AVERAGE(OFFSET($AM$3,0,0,'Données projet'!$E$10+1,1))-AVERAGE(OFFSET($H$3,0,0,'Données projet'!$E$10+1,1))</f>
        <v>335.02113791949211</v>
      </c>
      <c r="AO34" s="59">
        <f t="shared" si="36"/>
        <v>222.06886429435099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5.3369963369963358</v>
      </c>
      <c r="BD34" s="12">
        <f>IF('Données projet'!$A$88&gt;35,BD33+BC34-BL33,IF(A34&lt;'Données projet'!$A$88,$BA$205^A34,IF(A34='Données projet'!$A$88,'Données projet'!$B$88,BD33+BC34-BL33)))</f>
        <v>93.04212454212454</v>
      </c>
      <c r="BE34" s="13">
        <f>BD34*VLOOKUP('Données projet'!$B$11,Paramètres!$A$1:$I$89,3,0)*VLOOKUP('Données projet'!$B$11,Paramètres!$A$1:$I$89,5,0)</f>
        <v>89.990342857142863</v>
      </c>
      <c r="BF34" s="13">
        <f t="shared" si="37"/>
        <v>24.562895909050297</v>
      </c>
      <c r="BG34" s="20">
        <f t="shared" si="7"/>
        <v>199.51355751778638</v>
      </c>
      <c r="BH34" s="59">
        <f t="shared" si="8"/>
        <v>492.84689085111972</v>
      </c>
      <c r="BI34" s="59">
        <f ca="1">AVERAGE(OFFSET($BH$3,0,0,'Données projet'!$E$11+1,1))-AVERAGE(OFFSET($H$3,0,0,'Données projet'!$E$11+1,1))</f>
        <v>366.51581861366333</v>
      </c>
      <c r="BJ34" s="59">
        <f t="shared" si="38"/>
        <v>225.01415116995503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7.2</v>
      </c>
      <c r="BY34" s="12">
        <f>IF('Données projet'!$A$114&gt;35,BY33+BX34-CG33,IF(A34&lt;'Données projet'!$A$114,$BV$205^A34,IF(A34='Données projet'!$A$114,'Données projet'!$B$114,BY33+BX34-CG33)))</f>
        <v>124.20000000000002</v>
      </c>
      <c r="BZ34" s="13">
        <f>BY34*VLOOKUP('Données projet'!$B$12,Paramètres!$A$1:$I$89,3,0)*VLOOKUP('Données projet'!$B$12,Paramètres!$A$1:$I$89,5,0)</f>
        <v>81.375840000000011</v>
      </c>
      <c r="CA34" s="13">
        <f t="shared" si="39"/>
        <v>22.473249586041131</v>
      </c>
      <c r="CB34" s="20">
        <f t="shared" si="10"/>
        <v>180.87049769568833</v>
      </c>
      <c r="CC34" s="59">
        <f t="shared" si="11"/>
        <v>474.20383102902167</v>
      </c>
      <c r="CD34" s="59">
        <f ca="1">AVERAGE(OFFSET($CC$3,0,0,'Données projet'!$E$12+1,1))-AVERAGE(OFFSET($H$3,0,0,'Données projet'!$E$12+1,1))</f>
        <v>230.58262378842818</v>
      </c>
      <c r="CE34" s="59">
        <f t="shared" si="40"/>
        <v>235.68746142880792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1.3591713635604603</v>
      </c>
      <c r="CM34" s="21">
        <f>EXP(-LN(2)/2)*CM33+(1-EXP(-LN(2)/2))/(LN(2)/2)*CG34*CJ34*VLOOKUP('Données projet'!$B$12,Paramètres!$A$1:$I$89,3,0)*0.475*44/12</f>
        <v>3.0792642245927717</v>
      </c>
      <c r="CN34" s="22">
        <f t="shared" si="12"/>
        <v>4.438435588153232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>
        <f>VLOOKUP(A34,'Données projet'!$A$139:$I$159,2,0)</f>
        <v>155</v>
      </c>
      <c r="CR34" s="12">
        <f>VLOOKUP(A34,'Données projet'!$A$139:$I$159,9,0)</f>
        <v>11.5</v>
      </c>
      <c r="CS34" s="12">
        <f t="array" ref="CS34">INDEX(CR:CR,MIN(IF(ISNUMBER(CR34:CR230),ROW(CR34:CR230),"")))</f>
        <v>11.5</v>
      </c>
      <c r="CT34" s="12">
        <f>IF('Données projet'!$A$140&gt;35,CT33+CS34-DB33,IF(A34&lt;'Données projet'!$A$140,$CQ$205^A34,IF(A34='Données projet'!$A$140,'Données projet'!$B$140,CT33+CS34-DB33)))</f>
        <v>154.99999999999994</v>
      </c>
      <c r="CU34" s="17">
        <f>CT34*VLOOKUP('Données projet'!$B$13,Paramètres!$A$1:$I$89,3,0)*VLOOKUP('Données projet'!$B$13,Paramètres!$A$1:$I$89,5,0)</f>
        <v>120.89999999999996</v>
      </c>
      <c r="CV34" s="13">
        <f t="shared" si="41"/>
        <v>31.884818143351602</v>
      </c>
      <c r="CW34" s="20">
        <f t="shared" si="13"/>
        <v>266.10022493300397</v>
      </c>
      <c r="CX34" s="59">
        <f t="shared" si="14"/>
        <v>559.43355826633729</v>
      </c>
      <c r="CY34" s="59">
        <f ca="1">AVERAGE(OFFSET($CX$3,0,0,'Données projet'!$E$13+1,1))-AVERAGE(OFFSET($H$3,0,0,'Données projet'!$E$13+1,1))</f>
        <v>288.80569134263209</v>
      </c>
      <c r="CZ34" s="59">
        <f t="shared" si="42"/>
        <v>283.48738729114024</v>
      </c>
      <c r="DA34" s="15">
        <f>IF(ISNA(VLOOKUP(A34,'Données projet'!$A$139:$I$159,3,0)),0,VLOOKUP(A34,'Données projet'!$A$139:$I$159,3,0))</f>
        <v>4</v>
      </c>
      <c r="DB34" s="15">
        <f>IF(ISNA(VLOOKUP(A34,'Données projet'!$A$139:$I$159,4,0)),0,VLOOKUP(A34,'Données projet'!$A$139:$I$159,4,0))</f>
        <v>35</v>
      </c>
      <c r="DC34" s="16">
        <f>IF(ISNA(VLOOKUP(A34,'Données projet'!$A$139:$I$159,5,0)),0%,VLOOKUP(A34,'Données projet'!$A$139:$I$159,5,0)*VLOOKUP('Données projet'!$B$13,Paramètres!$A$1:$I$89,7,0))</f>
        <v>0.129</v>
      </c>
      <c r="DD34" s="16">
        <f>IF(ISNA(VLOOKUP(A34,'Données projet'!$A$139:$I$159,6,0)),0%,VLOOKUP(A34,'Données projet'!$A$139:$I$159,6,0)*VLOOKUP('Données projet'!$B$13,Paramètres!$A$1:$I$89,7,0))</f>
        <v>0.17200000000000001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3.8931350356011905</v>
      </c>
      <c r="DG34" s="21">
        <f>EXP(-LN(2)/25)*DG33+(1-EXP(-LN(2)/25))/(LN(2)/25)*Calculateur!DB34*Calculateur!DD34*VLOOKUP('Données projet'!$B$13,Paramètres!$A$1:$I$89,3,0)*0.475*44/12</f>
        <v>12.795004380992092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16.68813941659328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10.8</v>
      </c>
      <c r="DO34" s="12">
        <f>IF('Données projet'!$A$166&gt;35,DO33+DN34-DW33,IF(A34&lt;'Données projet'!$A$166,$DL$205^A34,IF(A34='Données projet'!$A$166,'Données projet'!$B$166,DO33+DN34-DW33)))</f>
        <v>128.79999999999998</v>
      </c>
      <c r="DP34" s="17">
        <f>DO34*VLOOKUP('Données projet'!$B$14,Paramètres!$A$1:$I$89,3,0)*VLOOKUP('Données projet'!$B$14,Paramètres!$A$1:$I$89,5,0)</f>
        <v>102.47327999999999</v>
      </c>
      <c r="DQ34" s="13">
        <f t="shared" si="43"/>
        <v>27.550381949314474</v>
      </c>
      <c r="DR34" s="20">
        <f t="shared" si="16"/>
        <v>226.45787789505599</v>
      </c>
      <c r="DS34" s="59">
        <f t="shared" si="17"/>
        <v>519.79121122838933</v>
      </c>
      <c r="DT34" s="59">
        <f ca="1">AVERAGE(OFFSET($DS$3,0,0,'Données projet'!$E$14+1,1))-AVERAGE(OFFSET($H$3,0,0,'Données projet'!$E$14+1,1))</f>
        <v>299.10536994156814</v>
      </c>
      <c r="DU34" s="59">
        <f t="shared" si="44"/>
        <v>292.57799203101769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0.51184082187162616</v>
      </c>
      <c r="EB34" s="21">
        <f>EXP(-LN(2)/25)*EB33+(1-EXP(-LN(2)/25))/(LN(2)/25)*Calculateur!DW34*Calculateur!DY34*VLOOKUP('Données projet'!$B$14,Paramètres!$A$1:$I$89,3,0)*0.475*44/12</f>
        <v>4.437642294417941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4.9494831162895672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8.0564102564102633</v>
      </c>
      <c r="N35" s="13">
        <f>IF('Données projet'!$A$36&gt;35,N34+M35-V34,IF(A35&lt;'Données projet'!$A$36,$K$205^A35,IF(A35='Données projet'!$A$36,'Données projet'!$B$36,N34+M35-V34)))</f>
        <v>137.99743589743591</v>
      </c>
      <c r="O35" s="13">
        <f>N35*VLOOKUP('Données projet'!$B$9,Paramètres!$A$1:$I$89,3,0)*VLOOKUP('Données projet'!$B$9,Paramètres!$A$1:$I$89,5,0)</f>
        <v>124.86008000000001</v>
      </c>
      <c r="P35" s="13">
        <f t="shared" si="33"/>
        <v>32.805900674075268</v>
      </c>
      <c r="Q35" s="20">
        <f t="shared" ref="Q35:Q66" si="53">(O35+P35)*0.475*44/12</f>
        <v>274.60158300734776</v>
      </c>
      <c r="R35" s="59">
        <f t="shared" si="0"/>
        <v>567.93491634068107</v>
      </c>
      <c r="S35" s="59">
        <f ca="1">AVERAGE(OFFSET($R$3,0,0,'Données projet'!$E$9+1,1))-AVERAGE(OFFSET($H$3,0,0,'Données projet'!$E$9+1,1))</f>
        <v>384.05928630855732</v>
      </c>
      <c r="T35" s="59">
        <f t="shared" si="34"/>
        <v>279.93992813630513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7.9818376068376082</v>
      </c>
      <c r="AI35" s="13">
        <f>IF('Données projet'!$A$62&gt;35,AI34+AH35-AQ34,IF(A35&lt;'Données projet'!$A$62,$AF$205^A35,IF(A35='Données projet'!$A$62,'Données projet'!$B$62,AI34+AH35-AQ34)))</f>
        <v>113.2457264957265</v>
      </c>
      <c r="AJ35" s="13">
        <f>AI35*VLOOKUP('Données projet'!$B$10,Paramètres!$A$1:$I$89,3,0)*VLOOKUP('Données projet'!$B$10,Paramètres!$A$1:$I$89,5,0)</f>
        <v>97.164833333333348</v>
      </c>
      <c r="AK35" s="13">
        <f t="shared" si="35"/>
        <v>26.285431727378473</v>
      </c>
      <c r="AL35" s="20">
        <f t="shared" si="4"/>
        <v>215.00921164740643</v>
      </c>
      <c r="AM35" s="59">
        <f t="shared" si="5"/>
        <v>508.34254498073972</v>
      </c>
      <c r="AN35" s="59">
        <f ca="1">AVERAGE(OFFSET($AM$3,0,0,'Données projet'!$E$10+1,1))-AVERAGE(OFFSET($H$3,0,0,'Données projet'!$E$10+1,1))</f>
        <v>335.02113791949211</v>
      </c>
      <c r="AO35" s="59">
        <f t="shared" si="36"/>
        <v>222.06886429435099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5.3369963369963358</v>
      </c>
      <c r="BD35" s="12">
        <f>IF('Données projet'!$A$88&gt;35,BD34+BC35-BL34,IF(A35&lt;'Données projet'!$A$88,$BA$205^A35,IF(A35='Données projet'!$A$88,'Données projet'!$B$88,BD34+BC35-BL34)))</f>
        <v>98.379120879120876</v>
      </c>
      <c r="BE35" s="13">
        <f>BD35*VLOOKUP('Données projet'!$B$11,Paramètres!$A$1:$I$89,3,0)*VLOOKUP('Données projet'!$B$11,Paramètres!$A$1:$I$89,5,0)</f>
        <v>95.152285714285725</v>
      </c>
      <c r="BF35" s="13">
        <f t="shared" si="37"/>
        <v>25.803777728906475</v>
      </c>
      <c r="BG35" s="20">
        <f t="shared" si="7"/>
        <v>210.66514383022638</v>
      </c>
      <c r="BH35" s="59">
        <f t="shared" si="8"/>
        <v>503.9984771635597</v>
      </c>
      <c r="BI35" s="59">
        <f ca="1">AVERAGE(OFFSET($BH$3,0,0,'Données projet'!$E$11+1,1))-AVERAGE(OFFSET($H$3,0,0,'Données projet'!$E$11+1,1))</f>
        <v>366.51581861366333</v>
      </c>
      <c r="BJ35" s="59">
        <f t="shared" si="38"/>
        <v>225.01415116995503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7.2</v>
      </c>
      <c r="BY35" s="12">
        <f>IF('Données projet'!$A$114&gt;35,BY34+BX35-CG34,IF(A35&lt;'Données projet'!$A$114,$BV$205^A35,IF(A35='Données projet'!$A$114,'Données projet'!$B$114,BY34+BX35-CG34)))</f>
        <v>131.4</v>
      </c>
      <c r="BZ35" s="13">
        <f>BY35*VLOOKUP('Données projet'!$B$12,Paramètres!$A$1:$I$89,3,0)*VLOOKUP('Données projet'!$B$12,Paramètres!$A$1:$I$89,5,0)</f>
        <v>86.093280000000007</v>
      </c>
      <c r="CA35" s="13">
        <f t="shared" si="39"/>
        <v>23.620598504835936</v>
      </c>
      <c r="CB35" s="20">
        <f t="shared" si="10"/>
        <v>191.08500506258926</v>
      </c>
      <c r="CC35" s="59">
        <f t="shared" si="11"/>
        <v>484.41833839592255</v>
      </c>
      <c r="CD35" s="59">
        <f ca="1">AVERAGE(OFFSET($CC$3,0,0,'Données projet'!$E$12+1,1))-AVERAGE(OFFSET($H$3,0,0,'Données projet'!$E$12+1,1))</f>
        <v>230.58262378842818</v>
      </c>
      <c r="CE35" s="59">
        <f t="shared" si="40"/>
        <v>235.68746142880792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1.3220047511481838</v>
      </c>
      <c r="CM35" s="21">
        <f>EXP(-LN(2)/2)*CM34+(1-EXP(-LN(2)/2))/(LN(2)/2)*CG35*CJ35*VLOOKUP('Données projet'!$B$12,Paramètres!$A$1:$I$89,3,0)*0.475*44/12</f>
        <v>2.1773686142746853</v>
      </c>
      <c r="CN35" s="22">
        <f t="shared" si="12"/>
        <v>3.4993733654228691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11.333333333333334</v>
      </c>
      <c r="CT35" s="12">
        <f>IF('Données projet'!$A$140&gt;35,CT34+CS35-DB34,IF(A35&lt;'Données projet'!$A$140,$CQ$205^A35,IF(A35='Données projet'!$A$140,'Données projet'!$B$140,CT34+CS35-DB34)))</f>
        <v>131.33333333333329</v>
      </c>
      <c r="CU35" s="17">
        <f>CT35*VLOOKUP('Données projet'!$B$13,Paramètres!$A$1:$I$89,3,0)*VLOOKUP('Données projet'!$B$13,Paramètres!$A$1:$I$89,5,0)</f>
        <v>102.43999999999997</v>
      </c>
      <c r="CV35" s="13">
        <f t="shared" si="41"/>
        <v>27.542475814398081</v>
      </c>
      <c r="CW35" s="20">
        <f t="shared" si="13"/>
        <v>226.38614537674326</v>
      </c>
      <c r="CX35" s="59">
        <f t="shared" si="14"/>
        <v>519.7194787100766</v>
      </c>
      <c r="CY35" s="59">
        <f ca="1">AVERAGE(OFFSET($CX$3,0,0,'Données projet'!$E$13+1,1))-AVERAGE(OFFSET($H$3,0,0,'Données projet'!$E$13+1,1))</f>
        <v>288.80569134263209</v>
      </c>
      <c r="CZ35" s="59">
        <f t="shared" si="42"/>
        <v>283.48738729114024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3.8167930321309527</v>
      </c>
      <c r="DG35" s="21">
        <f>EXP(-LN(2)/25)*DG34+(1-EXP(-LN(2)/25))/(LN(2)/25)*Calculateur!DB35*Calculateur!DD35*VLOOKUP('Données projet'!$B$13,Paramètres!$A$1:$I$89,3,0)*0.475*44/12</f>
        <v>12.445124313333826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16.261917345464781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10.8</v>
      </c>
      <c r="DO35" s="12">
        <f>IF('Données projet'!$A$166&gt;35,DO34+DN35-DW34,IF(A35&lt;'Données projet'!$A$166,$DL$205^A35,IF(A35='Données projet'!$A$166,'Données projet'!$B$166,DO34+DN35-DW34)))</f>
        <v>139.6</v>
      </c>
      <c r="DP35" s="17">
        <f>DO35*VLOOKUP('Données projet'!$B$14,Paramètres!$A$1:$I$89,3,0)*VLOOKUP('Données projet'!$B$14,Paramètres!$A$1:$I$89,5,0)</f>
        <v>111.06576</v>
      </c>
      <c r="DQ35" s="13">
        <f t="shared" si="43"/>
        <v>29.581944857062648</v>
      </c>
      <c r="DR35" s="20">
        <f t="shared" si="16"/>
        <v>244.96141929271744</v>
      </c>
      <c r="DS35" s="59">
        <f t="shared" si="17"/>
        <v>538.29475262605069</v>
      </c>
      <c r="DT35" s="59">
        <f ca="1">AVERAGE(OFFSET($DS$3,0,0,'Données projet'!$E$14+1,1))-AVERAGE(OFFSET($H$3,0,0,'Données projet'!$E$14+1,1))</f>
        <v>299.10536994156814</v>
      </c>
      <c r="DU35" s="59">
        <f t="shared" si="44"/>
        <v>292.57799203101769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0.50180393554679847</v>
      </c>
      <c r="EB35" s="21">
        <f>EXP(-LN(2)/25)*EB34+(1-EXP(-LN(2)/25))/(LN(2)/25)*Calculateur!DW35*Calculateur!DY35*VLOOKUP('Données projet'!$B$14,Paramètres!$A$1:$I$89,3,0)*0.475*44/12</f>
        <v>4.3162947325116168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4.8180986680584148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8.0564102564102633</v>
      </c>
      <c r="N36" s="13">
        <f>IF('Données projet'!$A$36&gt;35,N35+M36-V35,IF(A36&lt;'Données projet'!$A$36,$K$205^A36,IF(A36='Données projet'!$A$36,'Données projet'!$B$36,N35+M36-V35)))</f>
        <v>146.05384615384617</v>
      </c>
      <c r="O36" s="13">
        <f>N36*VLOOKUP('Données projet'!$B$9,Paramètres!$A$1:$I$89,3,0)*VLOOKUP('Données projet'!$B$9,Paramètres!$A$1:$I$89,5,0)</f>
        <v>132.14952</v>
      </c>
      <c r="P36" s="13">
        <f t="shared" si="33"/>
        <v>34.49257523106499</v>
      </c>
      <c r="Q36" s="20">
        <f t="shared" si="53"/>
        <v>290.23498252743815</v>
      </c>
      <c r="R36" s="59">
        <f t="shared" si="0"/>
        <v>583.56831586077146</v>
      </c>
      <c r="S36" s="59">
        <f ca="1">AVERAGE(OFFSET($R$3,0,0,'Données projet'!$E$9+1,1))-AVERAGE(OFFSET($H$3,0,0,'Données projet'!$E$9+1,1))</f>
        <v>384.05928630855732</v>
      </c>
      <c r="T36" s="59">
        <f t="shared" si="34"/>
        <v>279.93992813630513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7.9818376068376082</v>
      </c>
      <c r="AI36" s="13">
        <f>IF('Données projet'!$A$62&gt;35,AI35+AH36-AQ35,IF(A36&lt;'Données projet'!$A$62,$AF$205^A36,IF(A36='Données projet'!$A$62,'Données projet'!$B$62,AI35+AH36-AQ35)))</f>
        <v>121.22756410256412</v>
      </c>
      <c r="AJ36" s="13">
        <f>AI36*VLOOKUP('Données projet'!$B$10,Paramètres!$A$1:$I$89,3,0)*VLOOKUP('Données projet'!$B$10,Paramètres!$A$1:$I$89,5,0)</f>
        <v>104.01325000000001</v>
      </c>
      <c r="AK36" s="13">
        <f t="shared" si="35"/>
        <v>27.915898503032576</v>
      </c>
      <c r="AL36" s="20">
        <f t="shared" si="4"/>
        <v>229.77660030944841</v>
      </c>
      <c r="AM36" s="59">
        <f t="shared" si="5"/>
        <v>523.1099336427817</v>
      </c>
      <c r="AN36" s="59">
        <f ca="1">AVERAGE(OFFSET($AM$3,0,0,'Données projet'!$E$10+1,1))-AVERAGE(OFFSET($H$3,0,0,'Données projet'!$E$10+1,1))</f>
        <v>335.02113791949211</v>
      </c>
      <c r="AO36" s="59">
        <f t="shared" si="36"/>
        <v>222.06886429435099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5.3369963369963358</v>
      </c>
      <c r="BD36" s="12">
        <f>IF('Données projet'!$A$88&gt;35,BD35+BC36-BL35,IF(A36&lt;'Données projet'!$A$88,$BA$205^A36,IF(A36='Données projet'!$A$88,'Données projet'!$B$88,BD35+BC36-BL35)))</f>
        <v>103.71611721611721</v>
      </c>
      <c r="BE36" s="13">
        <f>BD36*VLOOKUP('Données projet'!$B$11,Paramètres!$A$1:$I$89,3,0)*VLOOKUP('Données projet'!$B$11,Paramètres!$A$1:$I$89,5,0)</f>
        <v>100.31422857142856</v>
      </c>
      <c r="BF36" s="13">
        <f t="shared" si="37"/>
        <v>27.036844497782397</v>
      </c>
      <c r="BG36" s="20">
        <f t="shared" si="7"/>
        <v>221.80311892887573</v>
      </c>
      <c r="BH36" s="59">
        <f t="shared" si="8"/>
        <v>515.1364522622091</v>
      </c>
      <c r="BI36" s="59">
        <f ca="1">AVERAGE(OFFSET($BH$3,0,0,'Données projet'!$E$11+1,1))-AVERAGE(OFFSET($H$3,0,0,'Données projet'!$E$11+1,1))</f>
        <v>366.51581861366333</v>
      </c>
      <c r="BJ36" s="59">
        <f t="shared" si="38"/>
        <v>225.01415116995503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7.2</v>
      </c>
      <c r="BY36" s="12">
        <f>IF('Données projet'!$A$114&gt;35,BY35+BX36-CG35,IF(A36&lt;'Données projet'!$A$114,$BV$205^A36,IF(A36='Données projet'!$A$114,'Données projet'!$B$114,BY35+BX36-CG35)))</f>
        <v>138.6</v>
      </c>
      <c r="BZ36" s="13">
        <f>BY36*VLOOKUP('Données projet'!$B$12,Paramètres!$A$1:$I$89,3,0)*VLOOKUP('Données projet'!$B$12,Paramètres!$A$1:$I$89,5,0)</f>
        <v>90.810720000000003</v>
      </c>
      <c r="CA36" s="13">
        <f t="shared" si="39"/>
        <v>24.760648970178448</v>
      </c>
      <c r="CB36" s="20">
        <f t="shared" si="10"/>
        <v>201.28680095639413</v>
      </c>
      <c r="CC36" s="59">
        <f t="shared" si="11"/>
        <v>494.62013428972745</v>
      </c>
      <c r="CD36" s="59">
        <f ca="1">AVERAGE(OFFSET($CC$3,0,0,'Données projet'!$E$12+1,1))-AVERAGE(OFFSET($H$3,0,0,'Données projet'!$E$12+1,1))</f>
        <v>230.58262378842818</v>
      </c>
      <c r="CE36" s="59">
        <f t="shared" si="40"/>
        <v>235.68746142880792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1.2858544617068284</v>
      </c>
      <c r="CM36" s="21">
        <f>EXP(-LN(2)/2)*CM35+(1-EXP(-LN(2)/2))/(LN(2)/2)*CG36*CJ36*VLOOKUP('Données projet'!$B$12,Paramètres!$A$1:$I$89,3,0)*0.475*44/12</f>
        <v>1.5396321122963863</v>
      </c>
      <c r="CN36" s="22">
        <f t="shared" si="12"/>
        <v>2.8254865740032145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11.333333333333334</v>
      </c>
      <c r="CT36" s="12">
        <f>IF('Données projet'!$A$140&gt;35,CT35+CS36-DB35,IF(A36&lt;'Données projet'!$A$140,$CQ$205^A36,IF(A36='Données projet'!$A$140,'Données projet'!$B$140,CT35+CS36-DB35)))</f>
        <v>142.66666666666663</v>
      </c>
      <c r="CU36" s="17">
        <f>CT36*VLOOKUP('Données projet'!$B$13,Paramètres!$A$1:$I$89,3,0)*VLOOKUP('Données projet'!$B$13,Paramètres!$A$1:$I$89,5,0)</f>
        <v>111.27999999999997</v>
      </c>
      <c r="CV36" s="13">
        <f t="shared" si="41"/>
        <v>29.63235919562165</v>
      </c>
      <c r="CW36" s="20">
        <f t="shared" si="13"/>
        <v>245.42235893237435</v>
      </c>
      <c r="CX36" s="59">
        <f t="shared" si="14"/>
        <v>538.75569226570769</v>
      </c>
      <c r="CY36" s="59">
        <f ca="1">AVERAGE(OFFSET($CX$3,0,0,'Données projet'!$E$13+1,1))-AVERAGE(OFFSET($H$3,0,0,'Données projet'!$E$13+1,1))</f>
        <v>288.80569134263209</v>
      </c>
      <c r="CZ36" s="59">
        <f t="shared" si="42"/>
        <v>283.48738729114024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3.7419480487847419</v>
      </c>
      <c r="DG36" s="21">
        <f>EXP(-LN(2)/25)*DG35+(1-EXP(-LN(2)/25))/(LN(2)/25)*Calculateur!DB36*Calculateur!DD36*VLOOKUP('Données projet'!$B$13,Paramètres!$A$1:$I$89,3,0)*0.475*44/12</f>
        <v>12.104811734525068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15.84675978330981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10.8</v>
      </c>
      <c r="DO36" s="12">
        <f>IF('Données projet'!$A$166&gt;35,DO35+DN36-DW35,IF(A36&lt;'Données projet'!$A$166,$DL$205^A36,IF(A36='Données projet'!$A$166,'Données projet'!$B$166,DO35+DN36-DW35)))</f>
        <v>150.4</v>
      </c>
      <c r="DP36" s="17">
        <f>DO36*VLOOKUP('Données projet'!$B$14,Paramètres!$A$1:$I$89,3,0)*VLOOKUP('Données projet'!$B$14,Paramètres!$A$1:$I$89,5,0)</f>
        <v>119.65824000000002</v>
      </c>
      <c r="DQ36" s="13">
        <f t="shared" si="43"/>
        <v>31.595276160231336</v>
      </c>
      <c r="DR36" s="20">
        <f t="shared" si="16"/>
        <v>263.43320731240294</v>
      </c>
      <c r="DS36" s="59">
        <f t="shared" si="17"/>
        <v>556.76654064573631</v>
      </c>
      <c r="DT36" s="59">
        <f ca="1">AVERAGE(OFFSET($DS$3,0,0,'Données projet'!$E$14+1,1))-AVERAGE(OFFSET($H$3,0,0,'Données projet'!$E$14+1,1))</f>
        <v>299.10536994156814</v>
      </c>
      <c r="DU36" s="59">
        <f t="shared" si="44"/>
        <v>292.57799203101769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0.49196386644090451</v>
      </c>
      <c r="EB36" s="21">
        <f>EXP(-LN(2)/25)*EB35+(1-EXP(-LN(2)/25))/(LN(2)/25)*Calculateur!DW36*Calculateur!DY36*VLOOKUP('Données projet'!$B$14,Paramètres!$A$1:$I$89,3,0)*0.475*44/12</f>
        <v>4.198265426067012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4.690229292507917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8.0564102564102633</v>
      </c>
      <c r="N37" s="13">
        <f>IF('Données projet'!$A$36&gt;35,N36+M37-V36,IF(A37&lt;'Données projet'!$A$36,$K$205^A37,IF(A37='Données projet'!$A$36,'Données projet'!$B$36,N36+M37-V36)))</f>
        <v>154.11025641025643</v>
      </c>
      <c r="O37" s="13">
        <f>N37*VLOOKUP('Données projet'!$B$9,Paramètres!$A$1:$I$89,3,0)*VLOOKUP('Données projet'!$B$9,Paramètres!$A$1:$I$89,5,0)</f>
        <v>139.43896000000001</v>
      </c>
      <c r="P37" s="13">
        <f t="shared" si="33"/>
        <v>36.168449088081644</v>
      </c>
      <c r="Q37" s="20">
        <f t="shared" si="53"/>
        <v>305.8495708284089</v>
      </c>
      <c r="R37" s="59">
        <f t="shared" si="0"/>
        <v>599.18290416174227</v>
      </c>
      <c r="S37" s="59">
        <f ca="1">AVERAGE(OFFSET($R$3,0,0,'Données projet'!$E$9+1,1))-AVERAGE(OFFSET($H$3,0,0,'Données projet'!$E$9+1,1))</f>
        <v>384.05928630855732</v>
      </c>
      <c r="T37" s="59">
        <f t="shared" si="34"/>
        <v>279.93992813630513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7.9818376068376082</v>
      </c>
      <c r="AI37" s="13">
        <f>IF('Données projet'!$A$62&gt;35,AI36+AH37-AQ36,IF(A37&lt;'Données projet'!$A$62,$AF$205^A37,IF(A37='Données projet'!$A$62,'Données projet'!$B$62,AI36+AH37-AQ36)))</f>
        <v>129.20940170940173</v>
      </c>
      <c r="AJ37" s="13">
        <f>AI37*VLOOKUP('Données projet'!$B$10,Paramètres!$A$1:$I$89,3,0)*VLOOKUP('Données projet'!$B$10,Paramètres!$A$1:$I$89,5,0)</f>
        <v>110.86166666666669</v>
      </c>
      <c r="AK37" s="13">
        <f t="shared" si="35"/>
        <v>29.533907673950708</v>
      </c>
      <c r="AL37" s="20">
        <f t="shared" si="4"/>
        <v>244.5222919765753</v>
      </c>
      <c r="AM37" s="59">
        <f t="shared" si="5"/>
        <v>537.85562530990865</v>
      </c>
      <c r="AN37" s="59">
        <f ca="1">AVERAGE(OFFSET($AM$3,0,0,'Données projet'!$E$10+1,1))-AVERAGE(OFFSET($H$3,0,0,'Données projet'!$E$10+1,1))</f>
        <v>335.02113791949211</v>
      </c>
      <c r="AO37" s="59">
        <f t="shared" si="36"/>
        <v>222.06886429435099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5.3369963369963358</v>
      </c>
      <c r="BD37" s="12">
        <f>IF('Données projet'!$A$88&gt;35,BD36+BC37-BL36,IF(A37&lt;'Données projet'!$A$88,$BA$205^A37,IF(A37='Données projet'!$A$88,'Données projet'!$B$88,BD36+BC37-BL36)))</f>
        <v>109.05311355311355</v>
      </c>
      <c r="BE37" s="13">
        <f>BD37*VLOOKUP('Données projet'!$B$11,Paramètres!$A$1:$I$89,3,0)*VLOOKUP('Données projet'!$B$11,Paramètres!$A$1:$I$89,5,0)</f>
        <v>105.47617142857143</v>
      </c>
      <c r="BF37" s="13">
        <f t="shared" si="37"/>
        <v>28.262544233547384</v>
      </c>
      <c r="BG37" s="20">
        <f t="shared" si="7"/>
        <v>232.92826311152359</v>
      </c>
      <c r="BH37" s="59">
        <f t="shared" si="8"/>
        <v>526.26159644485688</v>
      </c>
      <c r="BI37" s="59">
        <f ca="1">AVERAGE(OFFSET($BH$3,0,0,'Données projet'!$E$11+1,1))-AVERAGE(OFFSET($H$3,0,0,'Données projet'!$E$11+1,1))</f>
        <v>366.51581861366333</v>
      </c>
      <c r="BJ37" s="59">
        <f t="shared" si="38"/>
        <v>225.01415116995503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7.2</v>
      </c>
      <c r="BY37" s="12">
        <f>IF('Données projet'!$A$114&gt;35,BY36+BX37-CG36,IF(A37&lt;'Données projet'!$A$114,$BV$205^A37,IF(A37='Données projet'!$A$114,'Données projet'!$B$114,BY36+BX37-CG36)))</f>
        <v>145.79999999999998</v>
      </c>
      <c r="BZ37" s="13">
        <f>BY37*VLOOKUP('Données projet'!$B$12,Paramètres!$A$1:$I$89,3,0)*VLOOKUP('Données projet'!$B$12,Paramètres!$A$1:$I$89,5,0)</f>
        <v>95.528159999999986</v>
      </c>
      <c r="CA37" s="13">
        <f t="shared" si="39"/>
        <v>25.893823366813653</v>
      </c>
      <c r="CB37" s="20">
        <f t="shared" si="10"/>
        <v>211.47662103053372</v>
      </c>
      <c r="CC37" s="59">
        <f t="shared" si="11"/>
        <v>504.80995436386706</v>
      </c>
      <c r="CD37" s="59">
        <f ca="1">AVERAGE(OFFSET($CC$3,0,0,'Données projet'!$E$12+1,1))-AVERAGE(OFFSET($H$3,0,0,'Données projet'!$E$12+1,1))</f>
        <v>230.58262378842818</v>
      </c>
      <c r="CE37" s="59">
        <f t="shared" si="40"/>
        <v>235.68746142880792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1.2506927038313078</v>
      </c>
      <c r="CM37" s="21">
        <f>EXP(-LN(2)/2)*CM36+(1-EXP(-LN(2)/2))/(LN(2)/2)*CG37*CJ37*VLOOKUP('Données projet'!$B$12,Paramètres!$A$1:$I$89,3,0)*0.475*44/12</f>
        <v>1.0886843071373429</v>
      </c>
      <c r="CN37" s="22">
        <f t="shared" si="12"/>
        <v>2.3393770109686507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11.333333333333334</v>
      </c>
      <c r="CT37" s="12">
        <f>IF('Données projet'!$A$140&gt;35,CT36+CS37-DB36,IF(A37&lt;'Données projet'!$A$140,$CQ$205^A37,IF(A37='Données projet'!$A$140,'Données projet'!$B$140,CT36+CS37-DB36)))</f>
        <v>153.99999999999997</v>
      </c>
      <c r="CU37" s="17">
        <f>CT37*VLOOKUP('Données projet'!$B$13,Paramètres!$A$1:$I$89,3,0)*VLOOKUP('Données projet'!$B$13,Paramètres!$A$1:$I$89,5,0)</f>
        <v>120.11999999999998</v>
      </c>
      <c r="CV37" s="13">
        <f t="shared" si="41"/>
        <v>31.702985695201871</v>
      </c>
      <c r="CW37" s="20">
        <f t="shared" si="13"/>
        <v>264.42503341914323</v>
      </c>
      <c r="CX37" s="59">
        <f t="shared" si="14"/>
        <v>557.7583667524766</v>
      </c>
      <c r="CY37" s="59">
        <f ca="1">AVERAGE(OFFSET($CX$3,0,0,'Données projet'!$E$13+1,1))-AVERAGE(OFFSET($H$3,0,0,'Données projet'!$E$13+1,1))</f>
        <v>288.80569134263209</v>
      </c>
      <c r="CZ37" s="59">
        <f t="shared" si="42"/>
        <v>283.48738729114024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3.6685707299110182</v>
      </c>
      <c r="DG37" s="21">
        <f>EXP(-LN(2)/25)*DG36+(1-EXP(-LN(2)/25))/(LN(2)/25)*Calculateur!DB37*Calculateur!DD37*VLOOKUP('Données projet'!$B$13,Paramètres!$A$1:$I$89,3,0)*0.475*44/12</f>
        <v>11.773805021080097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15.442375750991115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10.8</v>
      </c>
      <c r="DO37" s="12">
        <f>IF('Données projet'!$A$166&gt;35,DO36+DN37-DW36,IF(A37&lt;'Données projet'!$A$166,$DL$205^A37,IF(A37='Données projet'!$A$166,'Données projet'!$B$166,DO36+DN37-DW36)))</f>
        <v>161.20000000000002</v>
      </c>
      <c r="DP37" s="17">
        <f>DO37*VLOOKUP('Données projet'!$B$14,Paramètres!$A$1:$I$89,3,0)*VLOOKUP('Données projet'!$B$14,Paramètres!$A$1:$I$89,5,0)</f>
        <v>128.25072</v>
      </c>
      <c r="DQ37" s="13">
        <f t="shared" si="43"/>
        <v>33.591833937449593</v>
      </c>
      <c r="DR37" s="20">
        <f t="shared" si="16"/>
        <v>281.875781441058</v>
      </c>
      <c r="DS37" s="59">
        <f t="shared" si="17"/>
        <v>575.20911477439131</v>
      </c>
      <c r="DT37" s="59">
        <f ca="1">AVERAGE(OFFSET($DS$3,0,0,'Données projet'!$E$14+1,1))-AVERAGE(OFFSET($H$3,0,0,'Données projet'!$E$14+1,1))</f>
        <v>299.10536994156814</v>
      </c>
      <c r="DU37" s="59">
        <f t="shared" si="44"/>
        <v>292.57799203101769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0.48231675508832761</v>
      </c>
      <c r="EB37" s="21">
        <f>EXP(-LN(2)/25)*EB36+(1-EXP(-LN(2)/25))/(LN(2)/25)*Calculateur!DW37*Calculateur!DY37*VLOOKUP('Données projet'!$B$14,Paramètres!$A$1:$I$89,3,0)*0.475*44/12</f>
        <v>4.0834636372140265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4.5657803923023543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162.16666666666669</v>
      </c>
      <c r="L38" s="12">
        <f>VLOOKUP(A38,'Données projet'!$A$35:$I$55,9,0)</f>
        <v>8.0564102564102633</v>
      </c>
      <c r="M38" s="12">
        <f t="array" ref="M38">INDEX(L:L,MIN(IF(ISNUMBER(L38:L234),ROW(L38:L234),"")))</f>
        <v>8.0564102564102633</v>
      </c>
      <c r="N38" s="13">
        <f>IF('Données projet'!$A$36&gt;35,N37+M38-V37,IF(A38&lt;'Données projet'!$A$36,$K$205^A38,IF(A38='Données projet'!$A$36,'Données projet'!$B$36,N37+M38-V37)))</f>
        <v>162.16666666666669</v>
      </c>
      <c r="O38" s="13">
        <f>N38*VLOOKUP('Données projet'!$B$9,Paramètres!$A$1:$I$89,3,0)*VLOOKUP('Données projet'!$B$9,Paramètres!$A$1:$I$89,5,0)</f>
        <v>146.72840000000002</v>
      </c>
      <c r="P38" s="13">
        <f t="shared" si="33"/>
        <v>37.834151268675086</v>
      </c>
      <c r="Q38" s="20">
        <f t="shared" si="53"/>
        <v>321.44644345960916</v>
      </c>
      <c r="R38" s="59">
        <f t="shared" si="0"/>
        <v>614.77977679294247</v>
      </c>
      <c r="S38" s="59">
        <f ca="1">AVERAGE(OFFSET($R$3,0,0,'Données projet'!$E$9+1,1))-AVERAGE(OFFSET($H$3,0,0,'Données projet'!$E$9+1,1))</f>
        <v>384.05928630855732</v>
      </c>
      <c r="T38" s="59">
        <f t="shared" si="34"/>
        <v>279.93992813630513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60.602564102564102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7.9818376068376082</v>
      </c>
      <c r="AI38" s="13">
        <f>IF('Données projet'!$A$62&gt;35,AI37+AH38-AQ37,IF(A38&lt;'Données projet'!$A$62,$AF$205^A38,IF(A38='Données projet'!$A$62,'Données projet'!$B$62,AI37+AH38-AQ37)))</f>
        <v>137.19123931623935</v>
      </c>
      <c r="AJ38" s="13">
        <f>AI38*VLOOKUP('Données projet'!$B$10,Paramètres!$A$1:$I$89,3,0)*VLOOKUP('Données projet'!$B$10,Paramètres!$A$1:$I$89,5,0)</f>
        <v>117.71008333333337</v>
      </c>
      <c r="AK38" s="13">
        <f t="shared" si="35"/>
        <v>31.140316420652603</v>
      </c>
      <c r="AL38" s="20">
        <f t="shared" si="4"/>
        <v>259.24777957152554</v>
      </c>
      <c r="AM38" s="59">
        <f t="shared" si="5"/>
        <v>552.58111290485886</v>
      </c>
      <c r="AN38" s="59">
        <f ca="1">AVERAGE(OFFSET($AM$3,0,0,'Données projet'!$E$10+1,1))-AVERAGE(OFFSET($H$3,0,0,'Données projet'!$E$10+1,1))</f>
        <v>335.02113791949211</v>
      </c>
      <c r="AO38" s="59">
        <f t="shared" si="36"/>
        <v>222.06886429435099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5.3369963369963358</v>
      </c>
      <c r="BD38" s="12">
        <f>IF('Données projet'!$A$88&gt;35,BD37+BC38-BL37,IF(A38&lt;'Données projet'!$A$88,$BA$205^A38,IF(A38='Données projet'!$A$88,'Données projet'!$B$88,BD37+BC38-BL37)))</f>
        <v>114.39010989010988</v>
      </c>
      <c r="BE38" s="13">
        <f>BD38*VLOOKUP('Données projet'!$B$11,Paramètres!$A$1:$I$89,3,0)*VLOOKUP('Données projet'!$B$11,Paramètres!$A$1:$I$89,5,0)</f>
        <v>110.63811428571428</v>
      </c>
      <c r="BF38" s="13">
        <f t="shared" si="37"/>
        <v>29.481278625174436</v>
      </c>
      <c r="BG38" s="20">
        <f t="shared" si="7"/>
        <v>244.04127598646448</v>
      </c>
      <c r="BH38" s="59">
        <f t="shared" si="8"/>
        <v>537.37460931979786</v>
      </c>
      <c r="BI38" s="59">
        <f ca="1">AVERAGE(OFFSET($BH$3,0,0,'Données projet'!$E$11+1,1))-AVERAGE(OFFSET($H$3,0,0,'Données projet'!$E$11+1,1))</f>
        <v>366.51581861366333</v>
      </c>
      <c r="BJ38" s="59">
        <f t="shared" si="38"/>
        <v>225.01415116995503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153</v>
      </c>
      <c r="BW38" s="12">
        <f>VLOOKUP(A38,'Données projet'!$A$113:$I$133,9,0)</f>
        <v>7.2</v>
      </c>
      <c r="BX38" s="12">
        <f t="array" ref="BX38">INDEX(BW:BW,MIN(IF(ISNUMBER(BW38:BW234),ROW(BW38:BW234),"")))</f>
        <v>7.2</v>
      </c>
      <c r="BY38" s="12">
        <f>IF('Données projet'!$A$114&gt;35,BY37+BX38-CG37,IF(A38&lt;'Données projet'!$A$114,$BV$205^A38,IF(A38='Données projet'!$A$114,'Données projet'!$B$114,BY37+BX38-CG37)))</f>
        <v>152.99999999999997</v>
      </c>
      <c r="BZ38" s="13">
        <f>BY38*VLOOKUP('Données projet'!$B$12,Paramètres!$A$1:$I$89,3,0)*VLOOKUP('Données projet'!$B$12,Paramètres!$A$1:$I$89,5,0)</f>
        <v>100.2456</v>
      </c>
      <c r="CA38" s="13">
        <f t="shared" si="39"/>
        <v>27.020500005754936</v>
      </c>
      <c r="CB38" s="20">
        <f t="shared" si="10"/>
        <v>221.65512417668984</v>
      </c>
      <c r="CC38" s="59">
        <f t="shared" si="11"/>
        <v>514.98845751002318</v>
      </c>
      <c r="CD38" s="59">
        <f ca="1">AVERAGE(OFFSET($CC$3,0,0,'Données projet'!$E$12+1,1))-AVERAGE(OFFSET($H$3,0,0,'Données projet'!$E$12+1,1))</f>
        <v>230.58262378842818</v>
      </c>
      <c r="CE38" s="59">
        <f t="shared" si="40"/>
        <v>235.68746142880792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4.3000000000000003E-2</v>
      </c>
      <c r="CJ38" s="16">
        <f>IF(ISNA(VLOOKUP(A38,'Données projet'!$A$113:$I$133,7,0)),0%,VLOOKUP(A38,'Données projet'!$A$113:$I$133,7,0))</f>
        <v>0.3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1.8679639010409375</v>
      </c>
      <c r="CM38" s="21">
        <f>EXP(-LN(2)/2)*CM37+(1-EXP(-LN(2)/2))/(LN(2)/2)*CG38*CJ38*VLOOKUP('Données projet'!$B$12,Paramètres!$A$1:$I$89,3,0)*0.475*44/12</f>
        <v>4.6644687131797298</v>
      </c>
      <c r="CN38" s="22">
        <f t="shared" si="12"/>
        <v>6.5324326142206672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11.333333333333334</v>
      </c>
      <c r="CT38" s="12">
        <f>IF('Données projet'!$A$140&gt;35,CT37+CS38-DB37,IF(A38&lt;'Données projet'!$A$140,$CQ$205^A38,IF(A38='Données projet'!$A$140,'Données projet'!$B$140,CT37+CS38-DB37)))</f>
        <v>165.33333333333331</v>
      </c>
      <c r="CU38" s="17">
        <f>CT38*VLOOKUP('Données projet'!$B$13,Paramètres!$A$1:$I$89,3,0)*VLOOKUP('Données projet'!$B$13,Paramètres!$A$1:$I$89,5,0)</f>
        <v>128.95999999999998</v>
      </c>
      <c r="CV38" s="13">
        <f t="shared" si="41"/>
        <v>33.755933643031135</v>
      </c>
      <c r="CW38" s="20">
        <f t="shared" si="13"/>
        <v>283.39691776161254</v>
      </c>
      <c r="CX38" s="59">
        <f t="shared" si="14"/>
        <v>576.73025109494586</v>
      </c>
      <c r="CY38" s="59">
        <f ca="1">AVERAGE(OFFSET($CX$3,0,0,'Données projet'!$E$13+1,1))-AVERAGE(OFFSET($H$3,0,0,'Données projet'!$E$13+1,1))</f>
        <v>288.80569134263209</v>
      </c>
      <c r="CZ38" s="59">
        <f t="shared" si="42"/>
        <v>283.48738729114024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3.596632295504663</v>
      </c>
      <c r="DG38" s="21">
        <f>EXP(-LN(2)/25)*DG37+(1-EXP(-LN(2)/25))/(LN(2)/25)*Calculateur!DB38*Calculateur!DD38*VLOOKUP('Données projet'!$B$13,Paramètres!$A$1:$I$89,3,0)*0.475*44/12</f>
        <v>11.451849703621166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15.04848199912583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172</v>
      </c>
      <c r="DM38" s="12">
        <f>VLOOKUP(A38,'Données projet'!$A$165:$I$185,9,0)</f>
        <v>10.8</v>
      </c>
      <c r="DN38" s="12">
        <f t="array" ref="DN38">INDEX(DM:DM,MIN(IF(ISNUMBER(DM38:DM234),ROW(DM38:DM234),"")))</f>
        <v>10.8</v>
      </c>
      <c r="DO38" s="12">
        <f>IF('Données projet'!$A$166&gt;35,DO37+DN38-DW37,IF(A38&lt;'Données projet'!$A$166,$DL$205^A38,IF(A38='Données projet'!$A$166,'Données projet'!$B$166,DO37+DN38-DW37)))</f>
        <v>172.00000000000003</v>
      </c>
      <c r="DP38" s="17">
        <f>DO38*VLOOKUP('Données projet'!$B$14,Paramètres!$A$1:$I$89,3,0)*VLOOKUP('Données projet'!$B$14,Paramètres!$A$1:$I$89,5,0)</f>
        <v>136.84320000000002</v>
      </c>
      <c r="DQ38" s="13">
        <f t="shared" si="43"/>
        <v>35.572869837729648</v>
      </c>
      <c r="DR38" s="20">
        <f t="shared" si="16"/>
        <v>300.2913216340458</v>
      </c>
      <c r="DS38" s="59">
        <f t="shared" si="17"/>
        <v>593.62465496737912</v>
      </c>
      <c r="DT38" s="59">
        <f ca="1">AVERAGE(OFFSET($DS$3,0,0,'Données projet'!$E$14+1,1))-AVERAGE(OFFSET($H$3,0,0,'Données projet'!$E$14+1,1))</f>
        <v>299.10536994156814</v>
      </c>
      <c r="DU38" s="59">
        <f t="shared" si="44"/>
        <v>292.57799203101769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9.5399999999999999E-2</v>
      </c>
      <c r="DY38" s="16">
        <f>IF(ISNA(VLOOKUP(A38,'Données projet'!$A$165:$I$185,6,0)),0%,VLOOKUP(A38,'Données projet'!$A$165:$I$185,6,0)*VLOOKUP('Données projet'!$B$14,Paramètres!$A$1:$I$89,7,0))</f>
        <v>0.22790000000000002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2.822211897049594</v>
      </c>
      <c r="EB38" s="21">
        <f>EXP(-LN(2)/25)*EB37+(1-EXP(-LN(2)/25))/(LN(2)/25)*Calculateur!DW38*Calculateur!DY38*VLOOKUP('Données projet'!$B$14,Paramètres!$A$1:$I$89,3,0)*0.475*44/12</f>
        <v>9.5620466419357015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12.384258538985296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9.3141025641025621</v>
      </c>
      <c r="N39" s="13">
        <f>IF('Données projet'!$A$36&gt;35,N38+M39-V38,IF(A39&lt;'Données projet'!$A$36,$K$205^A39,IF(A39='Données projet'!$A$36,'Données projet'!$B$36,N38+M39-V38)))</f>
        <v>110.87820512820515</v>
      </c>
      <c r="O39" s="13">
        <f>N39*VLOOKUP('Données projet'!$B$9,Paramètres!$A$1:$I$89,3,0)*VLOOKUP('Données projet'!$B$9,Paramètres!$A$1:$I$89,5,0)</f>
        <v>100.32260000000002</v>
      </c>
      <c r="P39" s="13">
        <f t="shared" si="33"/>
        <v>27.038838137326771</v>
      </c>
      <c r="Q39" s="20">
        <f t="shared" si="53"/>
        <v>221.82117142251082</v>
      </c>
      <c r="R39" s="59">
        <f t="shared" si="0"/>
        <v>515.15450475584407</v>
      </c>
      <c r="S39" s="59">
        <f ca="1">AVERAGE(OFFSET($R$3,0,0,'Données projet'!$E$9+1,1))-AVERAGE(OFFSET($H$3,0,0,'Données projet'!$E$9+1,1))</f>
        <v>384.05928630855732</v>
      </c>
      <c r="T39" s="59">
        <f t="shared" si="34"/>
        <v>279.93992813630513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7.9818376068376082</v>
      </c>
      <c r="AI39" s="13">
        <f>IF('Données projet'!$A$62&gt;35,AI38+AH39-AQ38,IF(A39&lt;'Données projet'!$A$62,$AF$205^A39,IF(A39='Données projet'!$A$62,'Données projet'!$B$62,AI38+AH39-AQ38)))</f>
        <v>145.17307692307696</v>
      </c>
      <c r="AJ39" s="13">
        <f>AI39*VLOOKUP('Données projet'!$B$10,Paramètres!$A$1:$I$89,3,0)*VLOOKUP('Données projet'!$B$10,Paramètres!$A$1:$I$89,5,0)</f>
        <v>124.55850000000004</v>
      </c>
      <c r="AK39" s="13">
        <f t="shared" si="35"/>
        <v>32.735876547321503</v>
      </c>
      <c r="AL39" s="20">
        <f t="shared" si="4"/>
        <v>273.95437248658499</v>
      </c>
      <c r="AM39" s="59">
        <f t="shared" si="5"/>
        <v>567.2877058199183</v>
      </c>
      <c r="AN39" s="59">
        <f ca="1">AVERAGE(OFFSET($AM$3,0,0,'Données projet'!$E$10+1,1))-AVERAGE(OFFSET($H$3,0,0,'Données projet'!$E$10+1,1))</f>
        <v>335.02113791949211</v>
      </c>
      <c r="AO39" s="59">
        <f t="shared" si="36"/>
        <v>222.06886429435099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5.3369963369963358</v>
      </c>
      <c r="BD39" s="12">
        <f>IF('Données projet'!$A$88&gt;35,BD38+BC39-BL38,IF(A39&lt;'Données projet'!$A$88,$BA$205^A39,IF(A39='Données projet'!$A$88,'Données projet'!$B$88,BD38+BC39-BL38)))</f>
        <v>119.72710622710622</v>
      </c>
      <c r="BE39" s="13">
        <f>BD39*VLOOKUP('Données projet'!$B$11,Paramètres!$A$1:$I$89,3,0)*VLOOKUP('Données projet'!$B$11,Paramètres!$A$1:$I$89,5,0)</f>
        <v>115.80005714285714</v>
      </c>
      <c r="BF39" s="13">
        <f t="shared" si="37"/>
        <v>30.693409760865983</v>
      </c>
      <c r="BG39" s="20">
        <f t="shared" si="7"/>
        <v>255.14278819065109</v>
      </c>
      <c r="BH39" s="59">
        <f t="shared" si="8"/>
        <v>548.47612152398438</v>
      </c>
      <c r="BI39" s="59">
        <f ca="1">AVERAGE(OFFSET($BH$3,0,0,'Données projet'!$E$11+1,1))-AVERAGE(OFFSET($H$3,0,0,'Données projet'!$E$11+1,1))</f>
        <v>366.51581861366333</v>
      </c>
      <c r="BJ39" s="59">
        <f t="shared" si="38"/>
        <v>225.01415116995503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</v>
      </c>
      <c r="BY39" s="12">
        <f>IF('Données projet'!$A$114&gt;35,BY38+BX39-CG38,IF(A39&lt;'Données projet'!$A$114,$BV$205^A39,IF(A39='Données projet'!$A$114,'Données projet'!$B$114,BY38+BX39-CG38)))</f>
        <v>138.99999999999997</v>
      </c>
      <c r="BZ39" s="13">
        <f>BY39*VLOOKUP('Données projet'!$B$12,Paramètres!$A$1:$I$89,3,0)*VLOOKUP('Données projet'!$B$12,Paramètres!$A$1:$I$89,5,0)</f>
        <v>91.072799999999987</v>
      </c>
      <c r="CA39" s="13">
        <f t="shared" si="39"/>
        <v>24.823779817332358</v>
      </c>
      <c r="CB39" s="20">
        <f t="shared" si="10"/>
        <v>201.85320984852046</v>
      </c>
      <c r="CC39" s="59">
        <f t="shared" si="11"/>
        <v>495.18654318185378</v>
      </c>
      <c r="CD39" s="59">
        <f ca="1">AVERAGE(OFFSET($CC$3,0,0,'Données projet'!$E$12+1,1))-AVERAGE(OFFSET($H$3,0,0,'Données projet'!$E$12+1,1))</f>
        <v>230.58262378842818</v>
      </c>
      <c r="CE39" s="59">
        <f t="shared" si="40"/>
        <v>235.68746142880792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1.8168843299350208</v>
      </c>
      <c r="CM39" s="21">
        <f>EXP(-LN(2)/2)*CM38+(1-EXP(-LN(2)/2))/(LN(2)/2)*CG39*CJ39*VLOOKUP('Données projet'!$B$12,Paramètres!$A$1:$I$89,3,0)*0.475*44/12</f>
        <v>3.2982774577218765</v>
      </c>
      <c r="CN39" s="22">
        <f t="shared" si="12"/>
        <v>5.1151617876568976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11.333333333333334</v>
      </c>
      <c r="CT39" s="12">
        <f>IF('Données projet'!$A$140&gt;35,CT38+CS39-DB38,IF(A39&lt;'Données projet'!$A$140,$CQ$205^A39,IF(A39='Données projet'!$A$140,'Données projet'!$B$140,CT38+CS39-DB38)))</f>
        <v>176.66666666666666</v>
      </c>
      <c r="CU39" s="17">
        <f>CT39*VLOOKUP('Données projet'!$B$13,Paramètres!$A$1:$I$89,3,0)*VLOOKUP('Données projet'!$B$13,Paramètres!$A$1:$I$89,5,0)</f>
        <v>137.80000000000001</v>
      </c>
      <c r="CV39" s="13">
        <f t="shared" si="41"/>
        <v>35.792552736298617</v>
      </c>
      <c r="CW39" s="20">
        <f t="shared" si="13"/>
        <v>302.34036268238674</v>
      </c>
      <c r="CX39" s="59">
        <f t="shared" si="14"/>
        <v>595.67369601572</v>
      </c>
      <c r="CY39" s="59">
        <f ca="1">AVERAGE(OFFSET($CX$3,0,0,'Données projet'!$E$13+1,1))-AVERAGE(OFFSET($H$3,0,0,'Données projet'!$E$13+1,1))</f>
        <v>288.80569134263209</v>
      </c>
      <c r="CZ39" s="59">
        <f t="shared" si="42"/>
        <v>283.48738729114024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3.526104529918904</v>
      </c>
      <c r="DG39" s="21">
        <f>EXP(-LN(2)/25)*DG38+(1-EXP(-LN(2)/25))/(LN(2)/25)*Calculateur!DB39*Calculateur!DD39*VLOOKUP('Données projet'!$B$13,Paramètres!$A$1:$I$89,3,0)*0.475*44/12</f>
        <v>11.138698271249043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14.664802801167946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9.6</v>
      </c>
      <c r="DO39" s="12">
        <f>IF('Données projet'!$A$166&gt;35,DO38+DN39-DW38,IF(A39&lt;'Données projet'!$A$166,$DL$205^A39,IF(A39='Données projet'!$A$166,'Données projet'!$B$166,DO38+DN39-DW38)))</f>
        <v>153.60000000000002</v>
      </c>
      <c r="DP39" s="17">
        <f>DO39*VLOOKUP('Données projet'!$B$14,Paramètres!$A$1:$I$89,3,0)*VLOOKUP('Données projet'!$B$14,Paramètres!$A$1:$I$89,5,0)</f>
        <v>122.20416000000003</v>
      </c>
      <c r="DQ39" s="13">
        <f t="shared" si="43"/>
        <v>32.188537573102472</v>
      </c>
      <c r="DR39" s="20">
        <f t="shared" si="16"/>
        <v>268.90061493982017</v>
      </c>
      <c r="DS39" s="59">
        <f t="shared" si="17"/>
        <v>562.23394827315349</v>
      </c>
      <c r="DT39" s="59">
        <f ca="1">AVERAGE(OFFSET($DS$3,0,0,'Données projet'!$E$14+1,1))-AVERAGE(OFFSET($H$3,0,0,'Données projet'!$E$14+1,1))</f>
        <v>299.10536994156814</v>
      </c>
      <c r="DU39" s="59">
        <f t="shared" si="44"/>
        <v>292.57799203101769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2.7668700431277364</v>
      </c>
      <c r="EB39" s="21">
        <f>EXP(-LN(2)/25)*EB38+(1-EXP(-LN(2)/25))/(LN(2)/25)*Calculateur!DW39*Calculateur!DY39*VLOOKUP('Données projet'!$B$14,Paramètres!$A$1:$I$89,3,0)*0.475*44/12</f>
        <v>9.3005719736657912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12.067442016793528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9.3141025641025621</v>
      </c>
      <c r="N40" s="13">
        <f>IF('Données projet'!$A$36&gt;35,N39+M40-V39,IF(A40&lt;'Données projet'!$A$36,$K$205^A40,IF(A40='Données projet'!$A$36,'Données projet'!$B$36,N39+M40-V39)))</f>
        <v>120.19230769230771</v>
      </c>
      <c r="O40" s="13">
        <f>N40*VLOOKUP('Données projet'!$B$9,Paramètres!$A$1:$I$89,3,0)*VLOOKUP('Données projet'!$B$9,Paramètres!$A$1:$I$89,5,0)</f>
        <v>108.75000000000001</v>
      </c>
      <c r="P40" s="13">
        <f t="shared" si="33"/>
        <v>29.036279216217448</v>
      </c>
      <c r="Q40" s="20">
        <f t="shared" si="53"/>
        <v>239.97776963491205</v>
      </c>
      <c r="R40" s="59">
        <f t="shared" si="0"/>
        <v>533.31110296824534</v>
      </c>
      <c r="S40" s="59">
        <f ca="1">AVERAGE(OFFSET($R$3,0,0,'Données projet'!$E$9+1,1))-AVERAGE(OFFSET($H$3,0,0,'Données projet'!$E$9+1,1))</f>
        <v>384.05928630855732</v>
      </c>
      <c r="T40" s="59">
        <f t="shared" si="34"/>
        <v>279.93992813630513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7.9818376068376082</v>
      </c>
      <c r="AI40" s="13">
        <f>IF('Données projet'!$A$62&gt;35,AI39+AH40-AQ39,IF(A40&lt;'Données projet'!$A$62,$AF$205^A40,IF(A40='Données projet'!$A$62,'Données projet'!$B$62,AI39+AH40-AQ39)))</f>
        <v>153.15491452991458</v>
      </c>
      <c r="AJ40" s="13">
        <f>AI40*VLOOKUP('Données projet'!$B$10,Paramètres!$A$1:$I$89,3,0)*VLOOKUP('Données projet'!$B$10,Paramètres!$A$1:$I$89,5,0)</f>
        <v>131.40691666666672</v>
      </c>
      <c r="AK40" s="13">
        <f t="shared" si="35"/>
        <v>34.321252518358378</v>
      </c>
      <c r="AL40" s="20">
        <f t="shared" si="4"/>
        <v>288.64322799725204</v>
      </c>
      <c r="AM40" s="59">
        <f t="shared" si="5"/>
        <v>581.97656133058535</v>
      </c>
      <c r="AN40" s="59">
        <f ca="1">AVERAGE(OFFSET($AM$3,0,0,'Données projet'!$E$10+1,1))-AVERAGE(OFFSET($H$3,0,0,'Données projet'!$E$10+1,1))</f>
        <v>335.02113791949211</v>
      </c>
      <c r="AO40" s="59">
        <f t="shared" si="36"/>
        <v>222.06886429435099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5.3369963369963358</v>
      </c>
      <c r="BD40" s="12">
        <f>IF('Données projet'!$A$88&gt;35,BD39+BC40-BL39,IF(A40&lt;'Données projet'!$A$88,$BA$205^A40,IF(A40='Données projet'!$A$88,'Données projet'!$B$88,BD39+BC40-BL39)))</f>
        <v>125.06410256410255</v>
      </c>
      <c r="BE40" s="13">
        <f>BD40*VLOOKUP('Données projet'!$B$11,Paramètres!$A$1:$I$89,3,0)*VLOOKUP('Données projet'!$B$11,Paramètres!$A$1:$I$89,5,0)</f>
        <v>120.96199999999999</v>
      </c>
      <c r="BF40" s="13">
        <f t="shared" si="37"/>
        <v>31.899265622635451</v>
      </c>
      <c r="BG40" s="20">
        <f t="shared" si="7"/>
        <v>266.23337095942338</v>
      </c>
      <c r="BH40" s="59">
        <f t="shared" si="8"/>
        <v>559.56670429275664</v>
      </c>
      <c r="BI40" s="59">
        <f ca="1">AVERAGE(OFFSET($BH$3,0,0,'Données projet'!$E$11+1,1))-AVERAGE(OFFSET($H$3,0,0,'Données projet'!$E$11+1,1))</f>
        <v>366.51581861366333</v>
      </c>
      <c r="BJ40" s="59">
        <f t="shared" si="38"/>
        <v>225.01415116995503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</v>
      </c>
      <c r="BY40" s="12">
        <f>IF('Données projet'!$A$114&gt;35,BY39+BX40-CG39,IF(A40&lt;'Données projet'!$A$114,$BV$205^A40,IF(A40='Données projet'!$A$114,'Données projet'!$B$114,BY39+BX40-CG39)))</f>
        <v>145.99999999999997</v>
      </c>
      <c r="BZ40" s="13">
        <f>BY40*VLOOKUP('Données projet'!$B$12,Paramètres!$A$1:$I$89,3,0)*VLOOKUP('Données projet'!$B$12,Paramètres!$A$1:$I$89,5,0)</f>
        <v>95.659199999999984</v>
      </c>
      <c r="CA40" s="13">
        <f t="shared" si="39"/>
        <v>25.92520602338745</v>
      </c>
      <c r="CB40" s="20">
        <f t="shared" si="10"/>
        <v>211.75950715739978</v>
      </c>
      <c r="CC40" s="59">
        <f t="shared" si="11"/>
        <v>505.09284049073312</v>
      </c>
      <c r="CD40" s="59">
        <f ca="1">AVERAGE(OFFSET($CC$3,0,0,'Données projet'!$E$12+1,1))-AVERAGE(OFFSET($H$3,0,0,'Données projet'!$E$12+1,1))</f>
        <v>230.58262378842818</v>
      </c>
      <c r="CE40" s="59">
        <f t="shared" si="40"/>
        <v>235.68746142880792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1.7672015323871533</v>
      </c>
      <c r="CM40" s="21">
        <f>EXP(-LN(2)/2)*CM39+(1-EXP(-LN(2)/2))/(LN(2)/2)*CG40*CJ40*VLOOKUP('Données projet'!$B$12,Paramètres!$A$1:$I$89,3,0)*0.475*44/12</f>
        <v>2.3322343565898653</v>
      </c>
      <c r="CN40" s="22">
        <f t="shared" si="12"/>
        <v>4.0994358889770188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>
        <f>VLOOKUP(A40,'Données projet'!$A$139:$I$159,2,0)</f>
        <v>188</v>
      </c>
      <c r="CR40" s="12">
        <f>VLOOKUP(A40,'Données projet'!$A$139:$I$159,9,0)</f>
        <v>11.333333333333334</v>
      </c>
      <c r="CS40" s="12">
        <f t="array" ref="CS40">INDEX(CR:CR,MIN(IF(ISNUMBER(CR40:CR236),ROW(CR40:CR236),"")))</f>
        <v>11.333333333333334</v>
      </c>
      <c r="CT40" s="12">
        <f>IF('Données projet'!$A$140&gt;35,CT39+CS40-DB39,IF(A40&lt;'Données projet'!$A$140,$CQ$205^A40,IF(A40='Données projet'!$A$140,'Données projet'!$B$140,CT39+CS40-DB39)))</f>
        <v>188</v>
      </c>
      <c r="CU40" s="17">
        <f>CT40*VLOOKUP('Données projet'!$B$13,Paramètres!$A$1:$I$89,3,0)*VLOOKUP('Données projet'!$B$13,Paramètres!$A$1:$I$89,5,0)</f>
        <v>146.64000000000001</v>
      </c>
      <c r="CV40" s="13">
        <f t="shared" si="41"/>
        <v>37.814009712703054</v>
      </c>
      <c r="CW40" s="20">
        <f t="shared" si="13"/>
        <v>321.25740024962448</v>
      </c>
      <c r="CX40" s="59">
        <f t="shared" si="14"/>
        <v>614.5907335829578</v>
      </c>
      <c r="CY40" s="59">
        <f ca="1">AVERAGE(OFFSET($CX$3,0,0,'Données projet'!$E$13+1,1))-AVERAGE(OFFSET($H$3,0,0,'Données projet'!$E$13+1,1))</f>
        <v>288.80569134263209</v>
      </c>
      <c r="CZ40" s="59">
        <f t="shared" si="42"/>
        <v>283.48738729114024</v>
      </c>
      <c r="DA40" s="15">
        <f>IF(ISNA(VLOOKUP(A40,'Données projet'!$A$139:$I$159,3,0)),0,VLOOKUP(A40,'Données projet'!$A$139:$I$159,3,0))</f>
        <v>5</v>
      </c>
      <c r="DB40" s="15">
        <f>IF(ISNA(VLOOKUP(A40,'Données projet'!$A$139:$I$159,4,0)),0,VLOOKUP(A40,'Données projet'!$A$139:$I$159,4,0))</f>
        <v>36</v>
      </c>
      <c r="DC40" s="16">
        <f>IF(ISNA(VLOOKUP(A40,'Données projet'!$A$139:$I$159,5,0)),0%,VLOOKUP(A40,'Données projet'!$A$139:$I$159,5,0)*VLOOKUP('Données projet'!$B$13,Paramètres!$A$1:$I$89,7,0))</f>
        <v>0.129</v>
      </c>
      <c r="DD40" s="16">
        <f>IF(ISNA(VLOOKUP(A40,'Données projet'!$A$139:$I$159,6,0)),0%,VLOOKUP(A40,'Données projet'!$A$139:$I$159,6,0)*VLOOKUP('Données projet'!$B$13,Paramètres!$A$1:$I$89,7,0))</f>
        <v>0.17200000000000001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7.4613272359883887</v>
      </c>
      <c r="DG40" s="21">
        <f>EXP(-LN(2)/25)*DG39+(1-EXP(-LN(2)/25))/(LN(2)/25)*Calculateur!DB40*Calculateur!DD40*VLOOKUP('Données projet'!$B$13,Paramètres!$A$1:$I$89,3,0)*0.475*44/12</f>
        <v>16.152244307524015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23.613571543512403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9.6</v>
      </c>
      <c r="DO40" s="12">
        <f>IF('Données projet'!$A$166&gt;35,DO39+DN40-DW39,IF(A40&lt;'Données projet'!$A$166,$DL$205^A40,IF(A40='Données projet'!$A$166,'Données projet'!$B$166,DO39+DN40-DW39)))</f>
        <v>163.20000000000002</v>
      </c>
      <c r="DP40" s="17">
        <f>DO40*VLOOKUP('Données projet'!$B$14,Paramètres!$A$1:$I$89,3,0)*VLOOKUP('Données projet'!$B$14,Paramètres!$A$1:$I$89,5,0)</f>
        <v>129.84192000000002</v>
      </c>
      <c r="DQ40" s="13">
        <f t="shared" si="43"/>
        <v>33.959829099416851</v>
      </c>
      <c r="DR40" s="20">
        <f t="shared" si="16"/>
        <v>285.288046348151</v>
      </c>
      <c r="DS40" s="59">
        <f t="shared" si="17"/>
        <v>578.62137968148431</v>
      </c>
      <c r="DT40" s="59">
        <f ca="1">AVERAGE(OFFSET($DS$3,0,0,'Données projet'!$E$14+1,1))-AVERAGE(OFFSET($H$3,0,0,'Données projet'!$E$14+1,1))</f>
        <v>299.10536994156814</v>
      </c>
      <c r="DU40" s="59">
        <f t="shared" si="44"/>
        <v>292.57799203101769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2.7126134092060887</v>
      </c>
      <c r="EB40" s="21">
        <f>EXP(-LN(2)/25)*EB39+(1-EXP(-LN(2)/25))/(LN(2)/25)*Calculateur!DW40*Calculateur!DY40*VLOOKUP('Données projet'!$B$14,Paramètres!$A$1:$I$89,3,0)*0.475*44/12</f>
        <v>9.0462473439500766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11.758860753156165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9.3141025641025621</v>
      </c>
      <c r="N41" s="13">
        <f>IF('Données projet'!$A$36&gt;35,N40+M41-V40,IF(A41&lt;'Données projet'!$A$36,$K$205^A41,IF(A41='Données projet'!$A$36,'Données projet'!$B$36,N40+M41-V40)))</f>
        <v>129.50641025641028</v>
      </c>
      <c r="O41" s="13">
        <f>N41*VLOOKUP('Données projet'!$B$9,Paramètres!$A$1:$I$89,3,0)*VLOOKUP('Données projet'!$B$9,Paramètres!$A$1:$I$89,5,0)</f>
        <v>117.17740000000002</v>
      </c>
      <c r="P41" s="13">
        <f t="shared" si="33"/>
        <v>31.015764986886897</v>
      </c>
      <c r="Q41" s="20">
        <f t="shared" si="53"/>
        <v>258.10309568549474</v>
      </c>
      <c r="R41" s="59">
        <f t="shared" si="0"/>
        <v>551.43642901882799</v>
      </c>
      <c r="S41" s="59">
        <f ca="1">AVERAGE(OFFSET($R$3,0,0,'Données projet'!$E$9+1,1))-AVERAGE(OFFSET($H$3,0,0,'Données projet'!$E$9+1,1))</f>
        <v>384.05928630855732</v>
      </c>
      <c r="T41" s="59">
        <f t="shared" si="34"/>
        <v>279.93992813630513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7.9818376068376082</v>
      </c>
      <c r="AI41" s="13">
        <f>IF('Données projet'!$A$62&gt;35,AI40+AH41-AQ40,IF(A41&lt;'Données projet'!$A$62,$AF$205^A41,IF(A41='Données projet'!$A$62,'Données projet'!$B$62,AI40+AH41-AQ40)))</f>
        <v>161.13675213675219</v>
      </c>
      <c r="AJ41" s="13">
        <f>AI41*VLOOKUP('Données projet'!$B$10,Paramètres!$A$1:$I$89,3,0)*VLOOKUP('Données projet'!$B$10,Paramètres!$A$1:$I$89,5,0)</f>
        <v>138.2553333333334</v>
      </c>
      <c r="AK41" s="13">
        <f t="shared" si="35"/>
        <v>35.897035627778394</v>
      </c>
      <c r="AL41" s="20">
        <f t="shared" si="4"/>
        <v>303.31537594060302</v>
      </c>
      <c r="AM41" s="59">
        <f t="shared" si="5"/>
        <v>596.64870927393633</v>
      </c>
      <c r="AN41" s="59">
        <f ca="1">AVERAGE(OFFSET($AM$3,0,0,'Données projet'!$E$10+1,1))-AVERAGE(OFFSET($H$3,0,0,'Données projet'!$E$10+1,1))</f>
        <v>335.02113791949211</v>
      </c>
      <c r="AO41" s="59">
        <f t="shared" si="36"/>
        <v>222.06886429435099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5.3369963369963358</v>
      </c>
      <c r="BD41" s="12">
        <f>IF('Données projet'!$A$88&gt;35,BD40+BC41-BL40,IF(A41&lt;'Données projet'!$A$88,$BA$205^A41,IF(A41='Données projet'!$A$88,'Données projet'!$B$88,BD40+BC41-BL40)))</f>
        <v>130.40109890109889</v>
      </c>
      <c r="BE41" s="13">
        <f>BD41*VLOOKUP('Données projet'!$B$11,Paramètres!$A$1:$I$89,3,0)*VLOOKUP('Données projet'!$B$11,Paramètres!$A$1:$I$89,5,0)</f>
        <v>126.12394285714285</v>
      </c>
      <c r="BF41" s="13">
        <f t="shared" si="37"/>
        <v>33.099144616535966</v>
      </c>
      <c r="BG41" s="20">
        <f t="shared" si="7"/>
        <v>277.31354401665726</v>
      </c>
      <c r="BH41" s="59">
        <f t="shared" si="8"/>
        <v>570.64687734999052</v>
      </c>
      <c r="BI41" s="59">
        <f ca="1">AVERAGE(OFFSET($BH$3,0,0,'Données projet'!$E$11+1,1))-AVERAGE(OFFSET($H$3,0,0,'Données projet'!$E$11+1,1))</f>
        <v>366.51581861366333</v>
      </c>
      <c r="BJ41" s="59">
        <f t="shared" si="38"/>
        <v>225.01415116995503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</v>
      </c>
      <c r="BY41" s="12">
        <f>IF('Données projet'!$A$114&gt;35,BY40+BX41-CG40,IF(A41&lt;'Données projet'!$A$114,$BV$205^A41,IF(A41='Données projet'!$A$114,'Données projet'!$B$114,BY40+BX41-CG40)))</f>
        <v>152.99999999999997</v>
      </c>
      <c r="BZ41" s="13">
        <f>BY41*VLOOKUP('Données projet'!$B$12,Paramètres!$A$1:$I$89,3,0)*VLOOKUP('Données projet'!$B$12,Paramètres!$A$1:$I$89,5,0)</f>
        <v>100.2456</v>
      </c>
      <c r="CA41" s="13">
        <f t="shared" si="39"/>
        <v>27.020500005754936</v>
      </c>
      <c r="CB41" s="20">
        <f t="shared" si="10"/>
        <v>221.65512417668984</v>
      </c>
      <c r="CC41" s="59">
        <f t="shared" si="11"/>
        <v>514.98845751002318</v>
      </c>
      <c r="CD41" s="59">
        <f ca="1">AVERAGE(OFFSET($CC$3,0,0,'Données projet'!$E$12+1,1))-AVERAGE(OFFSET($H$3,0,0,'Données projet'!$E$12+1,1))</f>
        <v>230.58262378842818</v>
      </c>
      <c r="CE41" s="59">
        <f t="shared" si="40"/>
        <v>235.68746142880792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1.718877313550937</v>
      </c>
      <c r="CM41" s="21">
        <f>EXP(-LN(2)/2)*CM40+(1-EXP(-LN(2)/2))/(LN(2)/2)*CG41*CJ41*VLOOKUP('Données projet'!$B$12,Paramètres!$A$1:$I$89,3,0)*0.475*44/12</f>
        <v>1.6491387288609385</v>
      </c>
      <c r="CN41" s="22">
        <f t="shared" si="12"/>
        <v>3.3680160424118757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11.142857142857142</v>
      </c>
      <c r="CT41" s="12">
        <f>IF('Données projet'!$A$140&gt;35,CT40+CS41-DB40,IF(A41&lt;'Données projet'!$A$140,$CQ$205^A41,IF(A41='Données projet'!$A$140,'Données projet'!$B$140,CT40+CS41-DB40)))</f>
        <v>163.14285714285714</v>
      </c>
      <c r="CU41" s="17">
        <f>CT41*VLOOKUP('Données projet'!$B$13,Paramètres!$A$1:$I$89,3,0)*VLOOKUP('Données projet'!$B$13,Paramètres!$A$1:$I$89,5,0)</f>
        <v>127.25142857142858</v>
      </c>
      <c r="CV41" s="13">
        <f t="shared" si="41"/>
        <v>33.360457439554281</v>
      </c>
      <c r="CW41" s="20">
        <f t="shared" si="13"/>
        <v>279.73236813579513</v>
      </c>
      <c r="CX41" s="59">
        <f t="shared" si="14"/>
        <v>573.0657014691285</v>
      </c>
      <c r="CY41" s="59">
        <f ca="1">AVERAGE(OFFSET($CX$3,0,0,'Données projet'!$E$13+1,1))-AVERAGE(OFFSET($H$3,0,0,'Données projet'!$E$13+1,1))</f>
        <v>288.80569134263209</v>
      </c>
      <c r="CZ41" s="59">
        <f t="shared" si="42"/>
        <v>283.48738729114024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7.3150151598509003</v>
      </c>
      <c r="DG41" s="21">
        <f>EXP(-LN(2)/25)*DG40+(1-EXP(-LN(2)/25))/(LN(2)/25)*Calculateur!DB41*Calculateur!DD41*VLOOKUP('Données projet'!$B$13,Paramètres!$A$1:$I$89,3,0)*0.475*44/12</f>
        <v>15.710560337525159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23.02557549737606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9.6</v>
      </c>
      <c r="DO41" s="12">
        <f>IF('Données projet'!$A$166&gt;35,DO40+DN41-DW40,IF(A41&lt;'Données projet'!$A$166,$DL$205^A41,IF(A41='Données projet'!$A$166,'Données projet'!$B$166,DO40+DN41-DW40)))</f>
        <v>172.8</v>
      </c>
      <c r="DP41" s="17">
        <f>DO41*VLOOKUP('Données projet'!$B$14,Paramètres!$A$1:$I$89,3,0)*VLOOKUP('Données projet'!$B$14,Paramètres!$A$1:$I$89,5,0)</f>
        <v>137.47968000000003</v>
      </c>
      <c r="DQ41" s="13">
        <f t="shared" si="43"/>
        <v>35.719026553355249</v>
      </c>
      <c r="DR41" s="20">
        <f t="shared" si="16"/>
        <v>301.65441391376049</v>
      </c>
      <c r="DS41" s="59">
        <f t="shared" si="17"/>
        <v>594.98774724709381</v>
      </c>
      <c r="DT41" s="59">
        <f ca="1">AVERAGE(OFFSET($DS$3,0,0,'Données projet'!$E$14+1,1))-AVERAGE(OFFSET($H$3,0,0,'Données projet'!$E$14+1,1))</f>
        <v>299.10536994156814</v>
      </c>
      <c r="DU41" s="59">
        <f t="shared" si="44"/>
        <v>292.57799203101769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2.6594207147823656</v>
      </c>
      <c r="EB41" s="21">
        <f>EXP(-LN(2)/25)*EB40+(1-EXP(-LN(2)/25))/(LN(2)/25)*Calculateur!DW41*Calculateur!DY41*VLOOKUP('Données projet'!$B$14,Paramètres!$A$1:$I$89,3,0)*0.475*44/12</f>
        <v>8.7988772346082893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11.458297949390655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9.3141025641025621</v>
      </c>
      <c r="N42" s="13">
        <f>IF('Données projet'!$A$36&gt;35,N41+M42-V41,IF(A42&lt;'Données projet'!$A$36,$K$205^A42,IF(A42='Données projet'!$A$36,'Données projet'!$B$36,N41+M42-V41)))</f>
        <v>138.82051282051285</v>
      </c>
      <c r="O42" s="13">
        <f>N42*VLOOKUP('Données projet'!$B$9,Paramètres!$A$1:$I$89,3,0)*VLOOKUP('Données projet'!$B$9,Paramètres!$A$1:$I$89,5,0)</f>
        <v>125.60480000000001</v>
      </c>
      <c r="P42" s="13">
        <f t="shared" si="33"/>
        <v>32.978733659615138</v>
      </c>
      <c r="Q42" s="20">
        <f t="shared" si="53"/>
        <v>276.19965445716304</v>
      </c>
      <c r="R42" s="59">
        <f t="shared" si="0"/>
        <v>569.53298779049635</v>
      </c>
      <c r="S42" s="59">
        <f ca="1">AVERAGE(OFFSET($R$3,0,0,'Données projet'!$E$9+1,1))-AVERAGE(OFFSET($H$3,0,0,'Données projet'!$E$9+1,1))</f>
        <v>384.05928630855732</v>
      </c>
      <c r="T42" s="59">
        <f t="shared" si="34"/>
        <v>279.93992813630513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7.9818376068376082</v>
      </c>
      <c r="AI42" s="13">
        <f>IF('Données projet'!$A$62&gt;35,AI41+AH42-AQ41,IF(A42&lt;'Données projet'!$A$62,$AF$205^A42,IF(A42='Données projet'!$A$62,'Données projet'!$B$62,AI41+AH42-AQ41)))</f>
        <v>169.11858974358981</v>
      </c>
      <c r="AJ42" s="13">
        <f>AI42*VLOOKUP('Données projet'!$B$10,Paramètres!$A$1:$I$89,3,0)*VLOOKUP('Données projet'!$B$10,Paramètres!$A$1:$I$89,5,0)</f>
        <v>145.10375000000008</v>
      </c>
      <c r="AK42" s="13">
        <f t="shared" si="35"/>
        <v>37.46375528137299</v>
      </c>
      <c r="AL42" s="20">
        <f t="shared" si="4"/>
        <v>317.97173836505806</v>
      </c>
      <c r="AM42" s="59">
        <f t="shared" si="5"/>
        <v>611.30507169839143</v>
      </c>
      <c r="AN42" s="59">
        <f ca="1">AVERAGE(OFFSET($AM$3,0,0,'Données projet'!$E$10+1,1))-AVERAGE(OFFSET($H$3,0,0,'Données projet'!$E$10+1,1))</f>
        <v>335.02113791949211</v>
      </c>
      <c r="AO42" s="59">
        <f t="shared" si="36"/>
        <v>222.06886429435099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5.3369963369963358</v>
      </c>
      <c r="BD42" s="12">
        <f>IF('Données projet'!$A$88&gt;35,BD41+BC42-BL41,IF(A42&lt;'Données projet'!$A$88,$BA$205^A42,IF(A42='Données projet'!$A$88,'Données projet'!$B$88,BD41+BC42-BL41)))</f>
        <v>135.73809523809524</v>
      </c>
      <c r="BE42" s="13">
        <f>BD42*VLOOKUP('Données projet'!$B$11,Paramètres!$A$1:$I$89,3,0)*VLOOKUP('Données projet'!$B$11,Paramètres!$A$1:$I$89,5,0)</f>
        <v>131.28588571428571</v>
      </c>
      <c r="BF42" s="13">
        <f t="shared" si="37"/>
        <v>34.293319340356497</v>
      </c>
      <c r="BG42" s="20">
        <f t="shared" si="7"/>
        <v>288.38378213683524</v>
      </c>
      <c r="BH42" s="59">
        <f t="shared" si="8"/>
        <v>581.71711547016855</v>
      </c>
      <c r="BI42" s="59">
        <f ca="1">AVERAGE(OFFSET($BH$3,0,0,'Données projet'!$E$11+1,1))-AVERAGE(OFFSET($H$3,0,0,'Données projet'!$E$11+1,1))</f>
        <v>366.51581861366333</v>
      </c>
      <c r="BJ42" s="59">
        <f t="shared" si="38"/>
        <v>225.01415116995503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</v>
      </c>
      <c r="BY42" s="12">
        <f>IF('Données projet'!$A$114&gt;35,BY41+BX42-CG41,IF(A42&lt;'Données projet'!$A$114,$BV$205^A42,IF(A42='Données projet'!$A$114,'Données projet'!$B$114,BY41+BX42-CG41)))</f>
        <v>159.99999999999997</v>
      </c>
      <c r="BZ42" s="13">
        <f>BY42*VLOOKUP('Données projet'!$B$12,Paramètres!$A$1:$I$89,3,0)*VLOOKUP('Données projet'!$B$12,Paramètres!$A$1:$I$89,5,0)</f>
        <v>104.83199999999998</v>
      </c>
      <c r="CA42" s="13">
        <f t="shared" si="39"/>
        <v>28.109974371137692</v>
      </c>
      <c r="CB42" s="20">
        <f t="shared" si="10"/>
        <v>231.54060536306474</v>
      </c>
      <c r="CC42" s="59">
        <f t="shared" si="11"/>
        <v>524.873938696398</v>
      </c>
      <c r="CD42" s="59">
        <f ca="1">AVERAGE(OFFSET($CC$3,0,0,'Données projet'!$E$12+1,1))-AVERAGE(OFFSET($H$3,0,0,'Données projet'!$E$12+1,1))</f>
        <v>230.58262378842818</v>
      </c>
      <c r="CE42" s="59">
        <f t="shared" si="40"/>
        <v>235.68746142880792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1.6718745230200573</v>
      </c>
      <c r="CM42" s="21">
        <f>EXP(-LN(2)/2)*CM41+(1-EXP(-LN(2)/2))/(LN(2)/2)*CG42*CJ42*VLOOKUP('Données projet'!$B$12,Paramètres!$A$1:$I$89,3,0)*0.475*44/12</f>
        <v>1.1661171782949329</v>
      </c>
      <c r="CN42" s="22">
        <f t="shared" si="12"/>
        <v>2.8379917013149902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11.142857142857142</v>
      </c>
      <c r="CT42" s="12">
        <f>IF('Données projet'!$A$140&gt;35,CT41+CS42-DB41,IF(A42&lt;'Données projet'!$A$140,$CQ$205^A42,IF(A42='Données projet'!$A$140,'Données projet'!$B$140,CT41+CS42-DB41)))</f>
        <v>174.28571428571428</v>
      </c>
      <c r="CU42" s="17">
        <f>CT42*VLOOKUP('Données projet'!$B$13,Paramètres!$A$1:$I$89,3,0)*VLOOKUP('Données projet'!$B$13,Paramètres!$A$1:$I$89,5,0)</f>
        <v>135.94285714285715</v>
      </c>
      <c r="CV42" s="13">
        <f t="shared" si="41"/>
        <v>35.365986273808367</v>
      </c>
      <c r="CW42" s="20">
        <f t="shared" si="13"/>
        <v>298.36290228402578</v>
      </c>
      <c r="CX42" s="59">
        <f t="shared" si="14"/>
        <v>591.69623561735909</v>
      </c>
      <c r="CY42" s="59">
        <f ca="1">AVERAGE(OFFSET($CX$3,0,0,'Données projet'!$E$13+1,1))-AVERAGE(OFFSET($H$3,0,0,'Données projet'!$E$13+1,1))</f>
        <v>288.80569134263209</v>
      </c>
      <c r="CZ42" s="59">
        <f t="shared" si="42"/>
        <v>283.48738729114024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7.1715721742849139</v>
      </c>
      <c r="DG42" s="21">
        <f>EXP(-LN(2)/25)*DG41+(1-EXP(-LN(2)/25))/(LN(2)/25)*Calculateur!DB42*Calculateur!DD42*VLOOKUP('Données projet'!$B$13,Paramètres!$A$1:$I$89,3,0)*0.475*44/12</f>
        <v>15.280954238913072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22.452526413197987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9.6</v>
      </c>
      <c r="DO42" s="12">
        <f>IF('Données projet'!$A$166&gt;35,DO41+DN42-DW41,IF(A42&lt;'Données projet'!$A$166,$DL$205^A42,IF(A42='Données projet'!$A$166,'Données projet'!$B$166,DO41+DN42-DW41)))</f>
        <v>182.4</v>
      </c>
      <c r="DP42" s="17">
        <f>DO42*VLOOKUP('Données projet'!$B$14,Paramètres!$A$1:$I$89,3,0)*VLOOKUP('Données projet'!$B$14,Paramètres!$A$1:$I$89,5,0)</f>
        <v>145.11744000000002</v>
      </c>
      <c r="DQ42" s="13">
        <f t="shared" si="43"/>
        <v>37.466878406916173</v>
      </c>
      <c r="DR42" s="20">
        <f t="shared" si="16"/>
        <v>318.00102122537902</v>
      </c>
      <c r="DS42" s="59">
        <f t="shared" si="17"/>
        <v>611.33435455871233</v>
      </c>
      <c r="DT42" s="59">
        <f ca="1">AVERAGE(OFFSET($DS$3,0,0,'Données projet'!$E$14+1,1))-AVERAGE(OFFSET($H$3,0,0,'Données projet'!$E$14+1,1))</f>
        <v>299.10536994156814</v>
      </c>
      <c r="DU42" s="59">
        <f t="shared" si="44"/>
        <v>292.57799203101769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2.6072710966519517</v>
      </c>
      <c r="EB42" s="21">
        <f>EXP(-LN(2)/25)*EB41+(1-EXP(-LN(2)/25))/(LN(2)/25)*Calculateur!DW42*Calculateur!DY42*VLOOKUP('Données projet'!$B$14,Paramètres!$A$1:$I$89,3,0)*0.475*44/12</f>
        <v>8.5582714739150827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11.165542570567034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9.3141025641025621</v>
      </c>
      <c r="N43" s="13">
        <f>IF('Données projet'!$A$36&gt;35,N42+M43-V42,IF(A43&lt;'Données projet'!$A$36,$K$205^A43,IF(A43='Données projet'!$A$36,'Données projet'!$B$36,N42+M43-V42)))</f>
        <v>148.13461538461542</v>
      </c>
      <c r="O43" s="13">
        <f>N43*VLOOKUP('Données projet'!$B$9,Paramètres!$A$1:$I$89,3,0)*VLOOKUP('Données projet'!$B$9,Paramètres!$A$1:$I$89,5,0)</f>
        <v>134.03220000000002</v>
      </c>
      <c r="P43" s="13">
        <f t="shared" si="33"/>
        <v>34.926419532696755</v>
      </c>
      <c r="Q43" s="20">
        <f t="shared" si="53"/>
        <v>294.26959568611358</v>
      </c>
      <c r="R43" s="59">
        <f t="shared" si="0"/>
        <v>587.60292901944695</v>
      </c>
      <c r="S43" s="59">
        <f ca="1">AVERAGE(OFFSET($R$3,0,0,'Données projet'!$E$9+1,1))-AVERAGE(OFFSET($H$3,0,0,'Données projet'!$E$9+1,1))</f>
        <v>384.05928630855732</v>
      </c>
      <c r="T43" s="59">
        <f t="shared" si="34"/>
        <v>279.93992813630513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7.9818376068376082</v>
      </c>
      <c r="AI43" s="13">
        <f>IF('Données projet'!$A$62&gt;35,AI42+AH43-AQ42,IF(A43&lt;'Données projet'!$A$62,$AF$205^A43,IF(A43='Données projet'!$A$62,'Données projet'!$B$62,AI42+AH43-AQ42)))</f>
        <v>177.10042735042742</v>
      </c>
      <c r="AJ43" s="13">
        <f>AI43*VLOOKUP('Données projet'!$B$10,Paramètres!$A$1:$I$89,3,0)*VLOOKUP('Données projet'!$B$10,Paramètres!$A$1:$I$89,5,0)</f>
        <v>151.95216666666673</v>
      </c>
      <c r="AK43" s="13">
        <f t="shared" si="35"/>
        <v>39.021888088630725</v>
      </c>
      <c r="AL43" s="20">
        <f t="shared" si="4"/>
        <v>332.61314536547644</v>
      </c>
      <c r="AM43" s="59">
        <f t="shared" si="5"/>
        <v>625.94647869880976</v>
      </c>
      <c r="AN43" s="59">
        <f ca="1">AVERAGE(OFFSET($AM$3,0,0,'Données projet'!$E$10+1,1))-AVERAGE(OFFSET($H$3,0,0,'Données projet'!$E$10+1,1))</f>
        <v>335.02113791949211</v>
      </c>
      <c r="AO43" s="59">
        <f t="shared" si="36"/>
        <v>222.06886429435099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5.3369963369963358</v>
      </c>
      <c r="BD43" s="12">
        <f>IF('Données projet'!$A$88&gt;35,BD42+BC43-BL42,IF(A43&lt;'Données projet'!$A$88,$BA$205^A43,IF(A43='Données projet'!$A$88,'Données projet'!$B$88,BD42+BC43-BL42)))</f>
        <v>141.07509157509156</v>
      </c>
      <c r="BE43" s="13">
        <f>BD43*VLOOKUP('Données projet'!$B$11,Paramètres!$A$1:$I$89,3,0)*VLOOKUP('Données projet'!$B$11,Paramètres!$A$1:$I$89,5,0)</f>
        <v>136.44782857142857</v>
      </c>
      <c r="BF43" s="13">
        <f t="shared" si="37"/>
        <v>35.482039742086272</v>
      </c>
      <c r="BG43" s="20">
        <f t="shared" si="7"/>
        <v>299.44452064603837</v>
      </c>
      <c r="BH43" s="59">
        <f t="shared" si="8"/>
        <v>592.77785397937168</v>
      </c>
      <c r="BI43" s="59">
        <f ca="1">AVERAGE(OFFSET($BH$3,0,0,'Données projet'!$E$11+1,1))-AVERAGE(OFFSET($H$3,0,0,'Données projet'!$E$11+1,1))</f>
        <v>366.51581861366333</v>
      </c>
      <c r="BJ43" s="59">
        <f t="shared" si="38"/>
        <v>225.01415116995503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167</v>
      </c>
      <c r="BW43" s="12">
        <f>VLOOKUP(A43,'Données projet'!$A$113:$I$133,9,0)</f>
        <v>7</v>
      </c>
      <c r="BX43" s="12">
        <f t="array" ref="BX43">INDEX(BW:BW,MIN(IF(ISNUMBER(BW43:BW239),ROW(BW43:BW239),"")))</f>
        <v>7</v>
      </c>
      <c r="BY43" s="12">
        <f>IF('Données projet'!$A$114&gt;35,BY42+BX43-CG42,IF(A43&lt;'Données projet'!$A$114,$BV$205^A43,IF(A43='Données projet'!$A$114,'Données projet'!$B$114,BY42+BX43-CG42)))</f>
        <v>166.99999999999997</v>
      </c>
      <c r="BZ43" s="13">
        <f>BY43*VLOOKUP('Données projet'!$B$12,Paramètres!$A$1:$I$89,3,0)*VLOOKUP('Données projet'!$B$12,Paramètres!$A$1:$I$89,5,0)</f>
        <v>109.41839999999998</v>
      </c>
      <c r="CA43" s="13">
        <f t="shared" si="39"/>
        <v>29.193912826430967</v>
      </c>
      <c r="CB43" s="20">
        <f t="shared" si="10"/>
        <v>241.41644483936719</v>
      </c>
      <c r="CC43" s="59">
        <f t="shared" si="11"/>
        <v>534.74977817270053</v>
      </c>
      <c r="CD43" s="59">
        <f ca="1">AVERAGE(OFFSET($CC$3,0,0,'Données projet'!$E$12+1,1))-AVERAGE(OFFSET($H$3,0,0,'Données projet'!$E$12+1,1))</f>
        <v>230.58262378842818</v>
      </c>
      <c r="CE43" s="59">
        <f t="shared" si="40"/>
        <v>235.68746142880792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22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4.3000000000000003E-2</v>
      </c>
      <c r="CJ43" s="16">
        <f>IF(ISNA(VLOOKUP(A43,'Données projet'!$A$113:$I$133,7,0)),0%,VLOOKUP(A43,'Données projet'!$A$113:$I$133,7,0))</f>
        <v>0.3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2.3086509314715036</v>
      </c>
      <c r="CM43" s="21">
        <f>EXP(-LN(2)/2)*CM42+(1-EXP(-LN(2)/2))/(LN(2)/2)*CG43*CJ43*VLOOKUP('Données projet'!$B$12,Paramètres!$A$1:$I$89,3,0)*0.475*44/12</f>
        <v>4.9046816717968413</v>
      </c>
      <c r="CN43" s="22">
        <f t="shared" si="12"/>
        <v>7.2133326032683449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11.142857142857142</v>
      </c>
      <c r="CT43" s="12">
        <f>IF('Données projet'!$A$140&gt;35,CT42+CS43-DB42,IF(A43&lt;'Données projet'!$A$140,$CQ$205^A43,IF(A43='Données projet'!$A$140,'Données projet'!$B$140,CT42+CS43-DB42)))</f>
        <v>185.42857142857142</v>
      </c>
      <c r="CU43" s="17">
        <f>CT43*VLOOKUP('Données projet'!$B$13,Paramètres!$A$1:$I$89,3,0)*VLOOKUP('Données projet'!$B$13,Paramètres!$A$1:$I$89,5,0)</f>
        <v>144.63428571428571</v>
      </c>
      <c r="CV43" s="13">
        <f t="shared" si="41"/>
        <v>37.356634728420524</v>
      </c>
      <c r="CW43" s="20">
        <f t="shared" si="13"/>
        <v>316.96751977104668</v>
      </c>
      <c r="CX43" s="59">
        <f t="shared" si="14"/>
        <v>610.30085310437994</v>
      </c>
      <c r="CY43" s="59">
        <f ca="1">AVERAGE(OFFSET($CX$3,0,0,'Données projet'!$E$13+1,1))-AVERAGE(OFFSET($H$3,0,0,'Données projet'!$E$13+1,1))</f>
        <v>288.80569134263209</v>
      </c>
      <c r="CZ43" s="59">
        <f t="shared" si="42"/>
        <v>283.48738729114024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7.0309420181742937</v>
      </c>
      <c r="DG43" s="21">
        <f>EXP(-LN(2)/25)*DG42+(1-EXP(-LN(2)/25))/(LN(2)/25)*Calculateur!DB43*Calculateur!DD43*VLOOKUP('Données projet'!$B$13,Paramètres!$A$1:$I$89,3,0)*0.475*44/12</f>
        <v>14.863095741659535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21.894037759833829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192</v>
      </c>
      <c r="DM43" s="12">
        <f>VLOOKUP(A43,'Données projet'!$A$165:$I$185,9,0)</f>
        <v>9.6</v>
      </c>
      <c r="DN43" s="12">
        <f t="array" ref="DN43">INDEX(DM:DM,MIN(IF(ISNUMBER(DM43:DM239),ROW(DM43:DM239),"")))</f>
        <v>9.6</v>
      </c>
      <c r="DO43" s="12">
        <f>IF('Données projet'!$A$166&gt;35,DO42+DN43-DW42,IF(A43&lt;'Données projet'!$A$166,$DL$205^A43,IF(A43='Données projet'!$A$166,'Données projet'!$B$166,DO42+DN43-DW42)))</f>
        <v>192</v>
      </c>
      <c r="DP43" s="17">
        <f>DO43*VLOOKUP('Données projet'!$B$14,Paramètres!$A$1:$I$89,3,0)*VLOOKUP('Données projet'!$B$14,Paramètres!$A$1:$I$89,5,0)</f>
        <v>152.7552</v>
      </c>
      <c r="DQ43" s="13">
        <f t="shared" si="43"/>
        <v>39.204049895729561</v>
      </c>
      <c r="DR43" s="20">
        <f t="shared" si="16"/>
        <v>334.32902690172892</v>
      </c>
      <c r="DS43" s="59">
        <f t="shared" si="17"/>
        <v>627.66236023506224</v>
      </c>
      <c r="DT43" s="59">
        <f ca="1">AVERAGE(OFFSET($DS$3,0,0,'Données projet'!$E$14+1,1))-AVERAGE(OFFSET($H$3,0,0,'Données projet'!$E$14+1,1))</f>
        <v>299.10536994156814</v>
      </c>
      <c r="DU43" s="59">
        <f t="shared" si="44"/>
        <v>292.57799203101769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0.20670000000000002</v>
      </c>
      <c r="DY43" s="16">
        <f>IF(ISNA(VLOOKUP(A43,'Données projet'!$A$165:$I$185,6,0)),0%,VLOOKUP(A43,'Données projet'!$A$165:$I$185,6,0)*VLOOKUP('Données projet'!$B$14,Paramètres!$A$1:$I$89,7,0))</f>
        <v>0.20670000000000002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7.6464091059710979</v>
      </c>
      <c r="EB43" s="21">
        <f>EXP(-LN(2)/25)*EB42+(1-EXP(-LN(2)/25))/(LN(2)/25)*Calculateur!DW43*Calculateur!DY43*VLOOKUP('Données projet'!$B$14,Paramètres!$A$1:$I$89,3,0)*0.475*44/12</f>
        <v>13.39446778277841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21.040876888749509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157.44871794871796</v>
      </c>
      <c r="L44" s="12">
        <f>VLOOKUP(A44,'Données projet'!$A$35:$I$55,9,0)</f>
        <v>9.3141025641025621</v>
      </c>
      <c r="M44" s="12">
        <f t="array" ref="M44">INDEX(L:L,MIN(IF(ISNUMBER(L44:L240),ROW(L44:L240),"")))</f>
        <v>9.3141025641025621</v>
      </c>
      <c r="N44" s="13">
        <f>IF('Données projet'!$A$36&gt;35,N43+M44-V43,IF(A44&lt;'Données projet'!$A$36,$K$205^A44,IF(A44='Données projet'!$A$36,'Données projet'!$B$36,N43+M44-V43)))</f>
        <v>157.44871794871798</v>
      </c>
      <c r="O44" s="13">
        <f>N44*VLOOKUP('Données projet'!$B$9,Paramètres!$A$1:$I$89,3,0)*VLOOKUP('Données projet'!$B$9,Paramètres!$A$1:$I$89,5,0)</f>
        <v>142.45960000000002</v>
      </c>
      <c r="P44" s="13">
        <f t="shared" si="33"/>
        <v>36.859892915688405</v>
      </c>
      <c r="Q44" s="20">
        <f t="shared" si="53"/>
        <v>312.31478349482404</v>
      </c>
      <c r="R44" s="59">
        <f t="shared" si="0"/>
        <v>605.6481168281573</v>
      </c>
      <c r="S44" s="59">
        <f ca="1">AVERAGE(OFFSET($R$3,0,0,'Données projet'!$E$9+1,1))-AVERAGE(OFFSET($H$3,0,0,'Données projet'!$E$9+1,1))</f>
        <v>384.05928630855732</v>
      </c>
      <c r="T44" s="59">
        <f t="shared" si="34"/>
        <v>279.93992813630513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38.512820512820511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7.9818376068376082</v>
      </c>
      <c r="AI44" s="13">
        <f>IF('Données projet'!$A$62&gt;35,AI43+AH44-AQ43,IF(A44&lt;'Données projet'!$A$62,$AF$205^A44,IF(A44='Données projet'!$A$62,'Données projet'!$B$62,AI43+AH44-AQ43)))</f>
        <v>185.08226495726504</v>
      </c>
      <c r="AJ44" s="13">
        <f>AI44*VLOOKUP('Données projet'!$B$10,Paramètres!$A$1:$I$89,3,0)*VLOOKUP('Données projet'!$B$10,Paramètres!$A$1:$I$89,5,0)</f>
        <v>158.80058333333341</v>
      </c>
      <c r="AK44" s="13">
        <f t="shared" si="35"/>
        <v>40.571865269267143</v>
      </c>
      <c r="AL44" s="20">
        <f t="shared" si="4"/>
        <v>347.2403479828626</v>
      </c>
      <c r="AM44" s="59">
        <f t="shared" si="5"/>
        <v>640.57368131619592</v>
      </c>
      <c r="AN44" s="59">
        <f ca="1">AVERAGE(OFFSET($AM$3,0,0,'Données projet'!$E$10+1,1))-AVERAGE(OFFSET($H$3,0,0,'Données projet'!$E$10+1,1))</f>
        <v>335.02113791949211</v>
      </c>
      <c r="AO44" s="59">
        <f t="shared" si="36"/>
        <v>222.06886429435099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5.3369963369963358</v>
      </c>
      <c r="BD44" s="12">
        <f>IF('Données projet'!$A$88&gt;35,BD43+BC44-BL43,IF(A44&lt;'Données projet'!$A$88,$BA$205^A44,IF(A44='Données projet'!$A$88,'Données projet'!$B$88,BD43+BC44-BL43)))</f>
        <v>146.41208791208788</v>
      </c>
      <c r="BE44" s="13">
        <f>BD44*VLOOKUP('Données projet'!$B$11,Paramètres!$A$1:$I$89,3,0)*VLOOKUP('Données projet'!$B$11,Paramètres!$A$1:$I$89,5,0)</f>
        <v>141.60977142857141</v>
      </c>
      <c r="BF44" s="13">
        <f t="shared" si="37"/>
        <v>36.665535786988855</v>
      </c>
      <c r="BG44" s="20">
        <f t="shared" si="7"/>
        <v>310.49616006710073</v>
      </c>
      <c r="BH44" s="59">
        <f t="shared" si="8"/>
        <v>603.8294934004341</v>
      </c>
      <c r="BI44" s="59">
        <f ca="1">AVERAGE(OFFSET($BH$3,0,0,'Données projet'!$E$11+1,1))-AVERAGE(OFFSET($H$3,0,0,'Données projet'!$E$11+1,1))</f>
        <v>366.51581861366333</v>
      </c>
      <c r="BJ44" s="59">
        <f t="shared" si="38"/>
        <v>225.01415116995503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6.4</v>
      </c>
      <c r="BY44" s="12">
        <f>IF('Données projet'!$A$114&gt;35,BY43+BX44-CG43,IF(A44&lt;'Données projet'!$A$114,$BV$205^A44,IF(A44='Données projet'!$A$114,'Données projet'!$B$114,BY43+BX44-CG43)))</f>
        <v>151.39999999999998</v>
      </c>
      <c r="BZ44" s="13">
        <f>BY44*VLOOKUP('Données projet'!$B$12,Paramètres!$A$1:$I$89,3,0)*VLOOKUP('Données projet'!$B$12,Paramètres!$A$1:$I$89,5,0)</f>
        <v>99.197279999999978</v>
      </c>
      <c r="CA44" s="13">
        <f t="shared" si="39"/>
        <v>26.770670966897111</v>
      </c>
      <c r="CB44" s="20">
        <f t="shared" si="10"/>
        <v>219.39418126734574</v>
      </c>
      <c r="CC44" s="59">
        <f t="shared" si="11"/>
        <v>512.72751460067911</v>
      </c>
      <c r="CD44" s="59">
        <f ca="1">AVERAGE(OFFSET($CC$3,0,0,'Données projet'!$E$12+1,1))-AVERAGE(OFFSET($H$3,0,0,'Données projet'!$E$12+1,1))</f>
        <v>230.58262378842818</v>
      </c>
      <c r="CE44" s="59">
        <f t="shared" si="40"/>
        <v>235.68746142880792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2.2455207503437391</v>
      </c>
      <c r="CM44" s="21">
        <f>EXP(-LN(2)/2)*CM43+(1-EXP(-LN(2)/2))/(LN(2)/2)*CG44*CJ44*VLOOKUP('Données projet'!$B$12,Paramètres!$A$1:$I$89,3,0)*0.475*44/12</f>
        <v>3.4681336696889193</v>
      </c>
      <c r="CN44" s="22">
        <f t="shared" si="12"/>
        <v>5.7136544200326584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11.142857142857142</v>
      </c>
      <c r="CT44" s="12">
        <f>IF('Données projet'!$A$140&gt;35,CT43+CS44-DB43,IF(A44&lt;'Données projet'!$A$140,$CQ$205^A44,IF(A44='Données projet'!$A$140,'Données projet'!$B$140,CT43+CS44-DB43)))</f>
        <v>196.57142857142856</v>
      </c>
      <c r="CU44" s="17">
        <f>CT44*VLOOKUP('Données projet'!$B$13,Paramètres!$A$1:$I$89,3,0)*VLOOKUP('Données projet'!$B$13,Paramètres!$A$1:$I$89,5,0)</f>
        <v>153.32571428571427</v>
      </c>
      <c r="CV44" s="13">
        <f t="shared" si="41"/>
        <v>39.33339883761419</v>
      </c>
      <c r="CW44" s="20">
        <f t="shared" si="13"/>
        <v>335.54795535646372</v>
      </c>
      <c r="CX44" s="59">
        <f t="shared" si="14"/>
        <v>628.88128868979697</v>
      </c>
      <c r="CY44" s="59">
        <f ca="1">AVERAGE(OFFSET($CX$3,0,0,'Données projet'!$E$13+1,1))-AVERAGE(OFFSET($H$3,0,0,'Données projet'!$E$13+1,1))</f>
        <v>288.80569134263209</v>
      </c>
      <c r="CZ44" s="59">
        <f t="shared" si="42"/>
        <v>283.48738729114024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6.8930695336490775</v>
      </c>
      <c r="DG44" s="21">
        <f>EXP(-LN(2)/25)*DG43+(1-EXP(-LN(2)/25))/(LN(2)/25)*Calculateur!DB44*Calculateur!DD44*VLOOKUP('Données projet'!$B$13,Paramètres!$A$1:$I$89,3,0)*0.475*44/12</f>
        <v>14.45666360698762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21.349733140636697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8.1999999999999993</v>
      </c>
      <c r="DO44" s="12">
        <f>IF('Données projet'!$A$166&gt;35,DO43+DN44-DW43,IF(A44&lt;'Données projet'!$A$166,$DL$205^A44,IF(A44='Données projet'!$A$166,'Données projet'!$B$166,DO43+DN44-DW43)))</f>
        <v>172.2</v>
      </c>
      <c r="DP44" s="17">
        <f>DO44*VLOOKUP('Données projet'!$B$14,Paramètres!$A$1:$I$89,3,0)*VLOOKUP('Données projet'!$B$14,Paramètres!$A$1:$I$89,5,0)</f>
        <v>137.00232</v>
      </c>
      <c r="DQ44" s="13">
        <f t="shared" si="43"/>
        <v>35.609416420931346</v>
      </c>
      <c r="DR44" s="20">
        <f t="shared" si="16"/>
        <v>300.63210759978875</v>
      </c>
      <c r="DS44" s="59">
        <f t="shared" si="17"/>
        <v>593.96544093312207</v>
      </c>
      <c r="DT44" s="59">
        <f ca="1">AVERAGE(OFFSET($DS$3,0,0,'Données projet'!$E$14+1,1))-AVERAGE(OFFSET($H$3,0,0,'Données projet'!$E$14+1,1))</f>
        <v>299.10536994156814</v>
      </c>
      <c r="DU44" s="59">
        <f t="shared" si="44"/>
        <v>292.57799203101769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7.4964676872520428</v>
      </c>
      <c r="EB44" s="21">
        <f>EXP(-LN(2)/25)*EB43+(1-EXP(-LN(2)/25))/(LN(2)/25)*Calculateur!DW44*Calculateur!DY44*VLOOKUP('Données projet'!$B$14,Paramètres!$A$1:$I$89,3,0)*0.475*44/12</f>
        <v>13.028195356873887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20.52466304412593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9.3452380952380913</v>
      </c>
      <c r="N45" s="13">
        <f>IF('Données projet'!$A$36&gt;35,N44+M45-V44,IF(A45&lt;'Données projet'!$A$36,$K$205^A45,IF(A45='Données projet'!$A$36,'Données projet'!$B$36,N44+M45-V44)))</f>
        <v>128.28113553113559</v>
      </c>
      <c r="O45" s="13">
        <f>N45*VLOOKUP('Données projet'!$B$9,Paramètres!$A$1:$I$89,3,0)*VLOOKUP('Données projet'!$B$9,Paramètres!$A$1:$I$89,5,0)</f>
        <v>116.06877142857148</v>
      </c>
      <c r="P45" s="13">
        <f t="shared" si="33"/>
        <v>30.75633490516044</v>
      </c>
      <c r="Q45" s="20">
        <f t="shared" si="53"/>
        <v>255.72039353124975</v>
      </c>
      <c r="R45" s="59">
        <f t="shared" si="0"/>
        <v>549.05372686458304</v>
      </c>
      <c r="S45" s="59">
        <f ca="1">AVERAGE(OFFSET($R$3,0,0,'Données projet'!$E$9+1,1))-AVERAGE(OFFSET($H$3,0,0,'Données projet'!$E$9+1,1))</f>
        <v>384.05928630855732</v>
      </c>
      <c r="T45" s="59">
        <f t="shared" si="34"/>
        <v>279.93992813630513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193.06410256410257</v>
      </c>
      <c r="AG45" s="12">
        <f>VLOOKUP(A45,'Données projet'!$A$61:$I$81,9,0)</f>
        <v>7.9818376068376082</v>
      </c>
      <c r="AH45" s="12">
        <f t="array" ref="AH45">INDEX(AG:AG,MIN(IF(ISNUMBER(AG45:AG241),ROW(AG45:AG241),"")))</f>
        <v>7.9818376068376082</v>
      </c>
      <c r="AI45" s="13">
        <f>IF('Données projet'!$A$62&gt;35,AI44+AH45-AQ44,IF(A45&lt;'Données projet'!$A$62,$AF$205^A45,IF(A45='Données projet'!$A$62,'Données projet'!$B$62,AI44+AH45-AQ44)))</f>
        <v>193.06410256410265</v>
      </c>
      <c r="AJ45" s="13">
        <f>AI45*VLOOKUP('Données projet'!$B$10,Paramètres!$A$1:$I$89,3,0)*VLOOKUP('Données projet'!$B$10,Paramètres!$A$1:$I$89,5,0)</f>
        <v>165.64900000000011</v>
      </c>
      <c r="AK45" s="13">
        <f t="shared" si="35"/>
        <v>42.114078746060493</v>
      </c>
      <c r="AL45" s="20">
        <f t="shared" si="4"/>
        <v>361.85402881605552</v>
      </c>
      <c r="AM45" s="59">
        <f t="shared" si="5"/>
        <v>655.18736214938883</v>
      </c>
      <c r="AN45" s="59">
        <f ca="1">AVERAGE(OFFSET($AM$3,0,0,'Données projet'!$E$10+1,1))-AVERAGE(OFFSET($H$3,0,0,'Données projet'!$E$10+1,1))</f>
        <v>335.02113791949211</v>
      </c>
      <c r="AO45" s="59">
        <f t="shared" si="36"/>
        <v>222.06886429435099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69.141025641025635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0.5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27.98642357756772</v>
      </c>
      <c r="AX45" s="21">
        <f t="shared" si="6"/>
        <v>27.98642357756772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5.3369963369963358</v>
      </c>
      <c r="BD45" s="12">
        <f>IF('Données projet'!$A$88&gt;35,BD44+BC45-BL44,IF(A45&lt;'Données projet'!$A$88,$BA$205^A45,IF(A45='Données projet'!$A$88,'Données projet'!$B$88,BD44+BC45-BL44)))</f>
        <v>151.74908424908421</v>
      </c>
      <c r="BE45" s="13">
        <f>BD45*VLOOKUP('Données projet'!$B$11,Paramètres!$A$1:$I$89,3,0)*VLOOKUP('Données projet'!$B$11,Paramètres!$A$1:$I$89,5,0)</f>
        <v>146.77171428571427</v>
      </c>
      <c r="BF45" s="13">
        <f t="shared" si="37"/>
        <v>37.844019724867131</v>
      </c>
      <c r="BG45" s="20">
        <f t="shared" si="7"/>
        <v>321.53907006842928</v>
      </c>
      <c r="BH45" s="59">
        <f t="shared" si="8"/>
        <v>614.87240340176254</v>
      </c>
      <c r="BI45" s="59">
        <f ca="1">AVERAGE(OFFSET($BH$3,0,0,'Données projet'!$E$11+1,1))-AVERAGE(OFFSET($H$3,0,0,'Données projet'!$E$11+1,1))</f>
        <v>366.51581861366333</v>
      </c>
      <c r="BJ45" s="59">
        <f t="shared" si="38"/>
        <v>225.01415116995503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6.4</v>
      </c>
      <c r="BY45" s="12">
        <f>IF('Données projet'!$A$114&gt;35,BY44+BX45-CG44,IF(A45&lt;'Données projet'!$A$114,$BV$205^A45,IF(A45='Données projet'!$A$114,'Données projet'!$B$114,BY44+BX45-CG44)))</f>
        <v>157.79999999999998</v>
      </c>
      <c r="BZ45" s="13">
        <f>BY45*VLOOKUP('Données projet'!$B$12,Paramètres!$A$1:$I$89,3,0)*VLOOKUP('Données projet'!$B$12,Paramètres!$A$1:$I$89,5,0)</f>
        <v>103.39055999999999</v>
      </c>
      <c r="CA45" s="13">
        <f t="shared" si="39"/>
        <v>27.768177525719913</v>
      </c>
      <c r="CB45" s="20">
        <f t="shared" si="10"/>
        <v>228.43480119062883</v>
      </c>
      <c r="CC45" s="59">
        <f t="shared" si="11"/>
        <v>521.76813452396209</v>
      </c>
      <c r="CD45" s="59">
        <f ca="1">AVERAGE(OFFSET($CC$3,0,0,'Données projet'!$E$12+1,1))-AVERAGE(OFFSET($H$3,0,0,'Données projet'!$E$12+1,1))</f>
        <v>230.58262378842818</v>
      </c>
      <c r="CE45" s="59">
        <f t="shared" si="40"/>
        <v>235.68746142880792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2.1841168673387856</v>
      </c>
      <c r="CM45" s="21">
        <f>EXP(-LN(2)/2)*CM44+(1-EXP(-LN(2)/2))/(LN(2)/2)*CG45*CJ45*VLOOKUP('Données projet'!$B$12,Paramètres!$A$1:$I$89,3,0)*0.475*44/12</f>
        <v>2.4523408358984211</v>
      </c>
      <c r="CN45" s="22">
        <f t="shared" si="12"/>
        <v>4.6364577032372072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11.142857142857142</v>
      </c>
      <c r="CT45" s="12">
        <f>IF('Données projet'!$A$140&gt;35,CT44+CS45-DB44,IF(A45&lt;'Données projet'!$A$140,$CQ$205^A45,IF(A45='Données projet'!$A$140,'Données projet'!$B$140,CT44+CS45-DB44)))</f>
        <v>207.71428571428569</v>
      </c>
      <c r="CU45" s="17">
        <f>CT45*VLOOKUP('Données projet'!$B$13,Paramètres!$A$1:$I$89,3,0)*VLOOKUP('Données projet'!$B$13,Paramètres!$A$1:$I$89,5,0)</f>
        <v>162.01714285714286</v>
      </c>
      <c r="CV45" s="13">
        <f t="shared" si="41"/>
        <v>41.297155335096676</v>
      </c>
      <c r="CW45" s="20">
        <f t="shared" si="13"/>
        <v>354.10573601815054</v>
      </c>
      <c r="CX45" s="59">
        <f t="shared" si="14"/>
        <v>647.43906935148379</v>
      </c>
      <c r="CY45" s="59">
        <f ca="1">AVERAGE(OFFSET($CX$3,0,0,'Données projet'!$E$13+1,1))-AVERAGE(OFFSET($H$3,0,0,'Données projet'!$E$13+1,1))</f>
        <v>288.80569134263209</v>
      </c>
      <c r="CZ45" s="59">
        <f t="shared" si="42"/>
        <v>283.48738729114024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6.7579006444514889</v>
      </c>
      <c r="DG45" s="21">
        <f>EXP(-LN(2)/25)*DG44+(1-EXP(-LN(2)/25))/(LN(2)/25)*Calculateur!DB45*Calculateur!DD45*VLOOKUP('Données projet'!$B$13,Paramètres!$A$1:$I$89,3,0)*0.475*44/12</f>
        <v>14.061345380411646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20.819246024863133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8.1999999999999993</v>
      </c>
      <c r="DO45" s="12">
        <f>IF('Données projet'!$A$166&gt;35,DO44+DN45-DW44,IF(A45&lt;'Données projet'!$A$166,$DL$205^A45,IF(A45='Données projet'!$A$166,'Données projet'!$B$166,DO44+DN45-DW44)))</f>
        <v>180.39999999999998</v>
      </c>
      <c r="DP45" s="17">
        <f>DO45*VLOOKUP('Données projet'!$B$14,Paramètres!$A$1:$I$89,3,0)*VLOOKUP('Données projet'!$B$14,Paramètres!$A$1:$I$89,5,0)</f>
        <v>143.52624</v>
      </c>
      <c r="DQ45" s="13">
        <f t="shared" si="43"/>
        <v>37.103644337236275</v>
      </c>
      <c r="DR45" s="20">
        <f t="shared" si="16"/>
        <v>314.59704855401981</v>
      </c>
      <c r="DS45" s="59">
        <f t="shared" si="17"/>
        <v>607.93038188735318</v>
      </c>
      <c r="DT45" s="59">
        <f ca="1">AVERAGE(OFFSET($DS$3,0,0,'Données projet'!$E$14+1,1))-AVERAGE(OFFSET($H$3,0,0,'Données projet'!$E$14+1,1))</f>
        <v>299.10536994156814</v>
      </c>
      <c r="DU45" s="59">
        <f t="shared" si="44"/>
        <v>292.57799203101769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7.3494665282988327</v>
      </c>
      <c r="EB45" s="21">
        <f>EXP(-LN(2)/25)*EB44+(1-EXP(-LN(2)/25))/(LN(2)/25)*Calculateur!DW45*Calculateur!DY45*VLOOKUP('Données projet'!$B$14,Paramètres!$A$1:$I$89,3,0)*0.475*44/12</f>
        <v>12.671938669717154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20.021405198015987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9.3452380952380913</v>
      </c>
      <c r="N46" s="13">
        <f>IF('Données projet'!$A$36&gt;35,N45+M46-V45,IF(A46&lt;'Données projet'!$A$36,$K$205^A46,IF(A46='Données projet'!$A$36,'Données projet'!$B$36,N45+M46-V45)))</f>
        <v>137.62637362637369</v>
      </c>
      <c r="O46" s="13">
        <f>N46*VLOOKUP('Données projet'!$B$9,Paramètres!$A$1:$I$89,3,0)*VLOOKUP('Données projet'!$B$9,Paramètres!$A$1:$I$89,5,0)</f>
        <v>124.52434285714291</v>
      </c>
      <c r="P46" s="13">
        <f t="shared" si="33"/>
        <v>32.727944326790649</v>
      </c>
      <c r="Q46" s="20">
        <f t="shared" si="53"/>
        <v>273.88106684535092</v>
      </c>
      <c r="R46" s="59">
        <f t="shared" si="0"/>
        <v>567.21440017868417</v>
      </c>
      <c r="S46" s="59">
        <f ca="1">AVERAGE(OFFSET($R$3,0,0,'Données projet'!$E$9+1,1))-AVERAGE(OFFSET($H$3,0,0,'Données projet'!$E$9+1,1))</f>
        <v>384.05928630855732</v>
      </c>
      <c r="T46" s="59">
        <f t="shared" si="34"/>
        <v>279.93992813630513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10.449786324786322</v>
      </c>
      <c r="AI46" s="13">
        <f>IF('Données projet'!$A$62&gt;35,AI45+AH46-AQ45,IF(A46&lt;'Données projet'!$A$62,$AF$205^A46,IF(A46='Données projet'!$A$62,'Données projet'!$B$62,AI45+AH46-AQ45)))</f>
        <v>134.37286324786334</v>
      </c>
      <c r="AJ46" s="13">
        <f>AI46*VLOOKUP('Données projet'!$B$10,Paramètres!$A$1:$I$89,3,0)*VLOOKUP('Données projet'!$B$10,Paramètres!$A$1:$I$89,5,0)</f>
        <v>115.29191666666676</v>
      </c>
      <c r="AK46" s="13">
        <f t="shared" si="35"/>
        <v>30.574371399110063</v>
      </c>
      <c r="AL46" s="20">
        <f t="shared" si="4"/>
        <v>254.05045171456126</v>
      </c>
      <c r="AM46" s="59">
        <f t="shared" si="5"/>
        <v>547.38378504789455</v>
      </c>
      <c r="AN46" s="59">
        <f ca="1">AVERAGE(OFFSET($AM$3,0,0,'Données projet'!$E$10+1,1))-AVERAGE(OFFSET($H$3,0,0,'Données projet'!$E$10+1,1))</f>
        <v>335.02113791949211</v>
      </c>
      <c r="AO46" s="59">
        <f t="shared" si="36"/>
        <v>222.06886429435099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19.789389892857212</v>
      </c>
      <c r="AX46" s="21">
        <f t="shared" si="6"/>
        <v>19.789389892857212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5.3369963369963358</v>
      </c>
      <c r="BD46" s="12">
        <f>IF('Données projet'!$A$88&gt;35,BD45+BC46-BL45,IF(A46&lt;'Données projet'!$A$88,$BA$205^A46,IF(A46='Données projet'!$A$88,'Données projet'!$B$88,BD45+BC46-BL45)))</f>
        <v>157.08608058608053</v>
      </c>
      <c r="BE46" s="13">
        <f>BD46*VLOOKUP('Données projet'!$B$11,Paramètres!$A$1:$I$89,3,0)*VLOOKUP('Données projet'!$B$11,Paramètres!$A$1:$I$89,5,0)</f>
        <v>151.93365714285707</v>
      </c>
      <c r="BF46" s="13">
        <f t="shared" si="37"/>
        <v>39.017688029408021</v>
      </c>
      <c r="BG46" s="20">
        <f t="shared" si="7"/>
        <v>332.57359284169502</v>
      </c>
      <c r="BH46" s="59">
        <f t="shared" si="8"/>
        <v>625.90692617502827</v>
      </c>
      <c r="BI46" s="59">
        <f ca="1">AVERAGE(OFFSET($BH$3,0,0,'Données projet'!$E$11+1,1))-AVERAGE(OFFSET($H$3,0,0,'Données projet'!$E$11+1,1))</f>
        <v>366.51581861366333</v>
      </c>
      <c r="BJ46" s="59">
        <f t="shared" si="38"/>
        <v>225.01415116995503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6.4</v>
      </c>
      <c r="BY46" s="12">
        <f>IF('Données projet'!$A$114&gt;35,BY45+BX46-CG45,IF(A46&lt;'Données projet'!$A$114,$BV$205^A46,IF(A46='Données projet'!$A$114,'Données projet'!$B$114,BY45+BX46-CG45)))</f>
        <v>164.2</v>
      </c>
      <c r="BZ46" s="13">
        <f>BY46*VLOOKUP('Données projet'!$B$12,Paramètres!$A$1:$I$89,3,0)*VLOOKUP('Données projet'!$B$12,Paramètres!$A$1:$I$89,5,0)</f>
        <v>107.58384</v>
      </c>
      <c r="CA46" s="13">
        <f t="shared" si="39"/>
        <v>28.760984680893039</v>
      </c>
      <c r="CB46" s="20">
        <f t="shared" si="10"/>
        <v>237.46723631922202</v>
      </c>
      <c r="CC46" s="59">
        <f t="shared" si="11"/>
        <v>530.8005696525554</v>
      </c>
      <c r="CD46" s="59">
        <f ca="1">AVERAGE(OFFSET($CC$3,0,0,'Données projet'!$E$12+1,1))-AVERAGE(OFFSET($H$3,0,0,'Données projet'!$E$12+1,1))</f>
        <v>230.58262378842818</v>
      </c>
      <c r="CE46" s="59">
        <f t="shared" si="40"/>
        <v>235.68746142880792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2.1243920767436926</v>
      </c>
      <c r="CM46" s="21">
        <f>EXP(-LN(2)/2)*CM45+(1-EXP(-LN(2)/2))/(LN(2)/2)*CG46*CJ46*VLOOKUP('Données projet'!$B$12,Paramètres!$A$1:$I$89,3,0)*0.475*44/12</f>
        <v>1.7340668348444601</v>
      </c>
      <c r="CN46" s="22">
        <f t="shared" si="12"/>
        <v>3.8584589115881527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11.142857142857142</v>
      </c>
      <c r="CT46" s="12">
        <f>IF('Données projet'!$A$140&gt;35,CT45+CS46-DB45,IF(A46&lt;'Données projet'!$A$140,$CQ$205^A46,IF(A46='Données projet'!$A$140,'Données projet'!$B$140,CT45+CS46-DB45)))</f>
        <v>218.85714285714283</v>
      </c>
      <c r="CU46" s="17">
        <f>CT46*VLOOKUP('Données projet'!$B$13,Paramètres!$A$1:$I$89,3,0)*VLOOKUP('Données projet'!$B$13,Paramètres!$A$1:$I$89,5,0)</f>
        <v>170.70857142857142</v>
      </c>
      <c r="CV46" s="13">
        <f t="shared" si="41"/>
        <v>43.248681576985412</v>
      </c>
      <c r="CW46" s="20">
        <f t="shared" si="13"/>
        <v>372.64221565134477</v>
      </c>
      <c r="CX46" s="59">
        <f t="shared" si="14"/>
        <v>665.97554898467808</v>
      </c>
      <c r="CY46" s="59">
        <f ca="1">AVERAGE(OFFSET($CX$3,0,0,'Données projet'!$E$13+1,1))-AVERAGE(OFFSET($H$3,0,0,'Données projet'!$E$13+1,1))</f>
        <v>288.80569134263209</v>
      </c>
      <c r="CZ46" s="59">
        <f t="shared" si="42"/>
        <v>283.48738729114024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6.6253823347261829</v>
      </c>
      <c r="DG46" s="21">
        <f>EXP(-LN(2)/25)*DG45+(1-EXP(-LN(2)/25))/(LN(2)/25)*Calculateur!DB46*Calculateur!DD46*VLOOKUP('Données projet'!$B$13,Paramètres!$A$1:$I$89,3,0)*0.475*44/12</f>
        <v>13.676837151530274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20.302219486256455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8.1999999999999993</v>
      </c>
      <c r="DO46" s="12">
        <f>IF('Données projet'!$A$166&gt;35,DO45+DN46-DW45,IF(A46&lt;'Données projet'!$A$166,$DL$205^A46,IF(A46='Données projet'!$A$166,'Données projet'!$B$166,DO45+DN46-DW45)))</f>
        <v>188.59999999999997</v>
      </c>
      <c r="DP46" s="17">
        <f>DO46*VLOOKUP('Données projet'!$B$14,Paramètres!$A$1:$I$89,3,0)*VLOOKUP('Données projet'!$B$14,Paramètres!$A$1:$I$89,5,0)</f>
        <v>150.05015999999998</v>
      </c>
      <c r="DQ46" s="13">
        <f t="shared" si="43"/>
        <v>38.589984439024569</v>
      </c>
      <c r="DR46" s="20">
        <f t="shared" si="16"/>
        <v>328.54825156463437</v>
      </c>
      <c r="DS46" s="59">
        <f t="shared" si="17"/>
        <v>621.88158489796774</v>
      </c>
      <c r="DT46" s="59">
        <f ca="1">AVERAGE(OFFSET($DS$3,0,0,'Données projet'!$E$14+1,1))-AVERAGE(OFFSET($H$3,0,0,'Données projet'!$E$14+1,1))</f>
        <v>299.10536994156814</v>
      </c>
      <c r="DU46" s="59">
        <f t="shared" si="44"/>
        <v>292.57799203101769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7.2053479724108422</v>
      </c>
      <c r="EB46" s="21">
        <f>EXP(-LN(2)/25)*EB45+(1-EXP(-LN(2)/25))/(LN(2)/25)*Calculateur!DW46*Calculateur!DY46*VLOOKUP('Données projet'!$B$14,Paramètres!$A$1:$I$89,3,0)*0.475*44/12</f>
        <v>12.325423840405445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19.530771812816287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9.3452380952380913</v>
      </c>
      <c r="N47" s="13">
        <f>IF('Données projet'!$A$36&gt;35,N46+M47-V46,IF(A47&lt;'Données projet'!$A$36,$K$205^A47,IF(A47='Données projet'!$A$36,'Données projet'!$B$36,N46+M47-V46)))</f>
        <v>146.97161172161179</v>
      </c>
      <c r="O47" s="13">
        <f>N47*VLOOKUP('Données projet'!$B$9,Paramètres!$A$1:$I$89,3,0)*VLOOKUP('Données projet'!$B$9,Paramètres!$A$1:$I$89,5,0)</f>
        <v>132.97991428571436</v>
      </c>
      <c r="P47" s="13">
        <f t="shared" si="33"/>
        <v>34.684019161942608</v>
      </c>
      <c r="Q47" s="20">
        <f t="shared" si="53"/>
        <v>292.01468408800253</v>
      </c>
      <c r="R47" s="59">
        <f t="shared" si="0"/>
        <v>585.34801742133584</v>
      </c>
      <c r="S47" s="59">
        <f ca="1">AVERAGE(OFFSET($R$3,0,0,'Données projet'!$E$9+1,1))-AVERAGE(OFFSET($H$3,0,0,'Données projet'!$E$9+1,1))</f>
        <v>384.05928630855732</v>
      </c>
      <c r="T47" s="59">
        <f t="shared" si="34"/>
        <v>279.93992813630513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10.449786324786322</v>
      </c>
      <c r="AI47" s="13">
        <f>IF('Données projet'!$A$62&gt;35,AI46+AH47-AQ46,IF(A47&lt;'Données projet'!$A$62,$AF$205^A47,IF(A47='Données projet'!$A$62,'Données projet'!$B$62,AI46+AH47-AQ46)))</f>
        <v>144.82264957264965</v>
      </c>
      <c r="AJ47" s="13">
        <f>AI47*VLOOKUP('Données projet'!$B$10,Paramètres!$A$1:$I$89,3,0)*VLOOKUP('Données projet'!$B$10,Paramètres!$A$1:$I$89,5,0)</f>
        <v>124.25783333333342</v>
      </c>
      <c r="AK47" s="13">
        <f t="shared" si="35"/>
        <v>32.66604484039636</v>
      </c>
      <c r="AL47" s="20">
        <f t="shared" si="4"/>
        <v>273.30908781924603</v>
      </c>
      <c r="AM47" s="59">
        <f t="shared" si="5"/>
        <v>566.64242115257935</v>
      </c>
      <c r="AN47" s="59">
        <f ca="1">AVERAGE(OFFSET($AM$3,0,0,'Données projet'!$E$10+1,1))-AVERAGE(OFFSET($H$3,0,0,'Données projet'!$E$10+1,1))</f>
        <v>335.02113791949211</v>
      </c>
      <c r="AO47" s="59">
        <f t="shared" si="36"/>
        <v>222.06886429435099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13.99321178878386</v>
      </c>
      <c r="AX47" s="21">
        <f t="shared" si="6"/>
        <v>13.99321178878386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162.42307692307691</v>
      </c>
      <c r="BB47" s="12">
        <f>VLOOKUP(A47,'Données projet'!$A$87:$I$107,9,0)</f>
        <v>5.3369963369963358</v>
      </c>
      <c r="BC47" s="12">
        <f t="array" ref="BC47">INDEX(BB:BB,MIN(IF(ISNUMBER(BB47:BB243),ROW(BB47:BB243),"")))</f>
        <v>5.3369963369963358</v>
      </c>
      <c r="BD47" s="12">
        <f>IF('Données projet'!$A$88&gt;35,BD46+BC47-BL46,IF(A47&lt;'Données projet'!$A$88,$BA$205^A47,IF(A47='Données projet'!$A$88,'Données projet'!$B$88,BD46+BC47-BL46)))</f>
        <v>162.42307692307685</v>
      </c>
      <c r="BE47" s="13">
        <f>BD47*VLOOKUP('Données projet'!$B$11,Paramètres!$A$1:$I$89,3,0)*VLOOKUP('Données projet'!$B$11,Paramètres!$A$1:$I$89,5,0)</f>
        <v>157.09559999999993</v>
      </c>
      <c r="BF47" s="13">
        <f t="shared" si="37"/>
        <v>40.186723066567019</v>
      </c>
      <c r="BG47" s="20">
        <f t="shared" si="7"/>
        <v>343.60004600760408</v>
      </c>
      <c r="BH47" s="59">
        <f t="shared" si="8"/>
        <v>636.93337934093734</v>
      </c>
      <c r="BI47" s="59">
        <f ca="1">AVERAGE(OFFSET($BH$3,0,0,'Données projet'!$E$11+1,1))-AVERAGE(OFFSET($H$3,0,0,'Données projet'!$E$11+1,1))</f>
        <v>366.51581861366333</v>
      </c>
      <c r="BJ47" s="59">
        <f t="shared" si="38"/>
        <v>225.01415116995503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64.416666666666657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6.4</v>
      </c>
      <c r="BY47" s="12">
        <f>IF('Données projet'!$A$114&gt;35,BY46+BX47-CG46,IF(A47&lt;'Données projet'!$A$114,$BV$205^A47,IF(A47='Données projet'!$A$114,'Données projet'!$B$114,BY46+BX47-CG46)))</f>
        <v>170.6</v>
      </c>
      <c r="BZ47" s="13">
        <f>BY47*VLOOKUP('Données projet'!$B$12,Paramètres!$A$1:$I$89,3,0)*VLOOKUP('Données projet'!$B$12,Paramètres!$A$1:$I$89,5,0)</f>
        <v>111.77712000000001</v>
      </c>
      <c r="CA47" s="13">
        <f t="shared" si="39"/>
        <v>29.749296563258223</v>
      </c>
      <c r="CB47" s="20">
        <f t="shared" si="10"/>
        <v>246.49184218100808</v>
      </c>
      <c r="CC47" s="59">
        <f t="shared" si="11"/>
        <v>539.82517551434137</v>
      </c>
      <c r="CD47" s="59">
        <f ca="1">AVERAGE(OFFSET($CC$3,0,0,'Données projet'!$E$12+1,1))-AVERAGE(OFFSET($H$3,0,0,'Données projet'!$E$12+1,1))</f>
        <v>230.58262378842818</v>
      </c>
      <c r="CE47" s="59">
        <f t="shared" si="40"/>
        <v>235.68746142880792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2.0663004636882123</v>
      </c>
      <c r="CM47" s="21">
        <f>EXP(-LN(2)/2)*CM46+(1-EXP(-LN(2)/2))/(LN(2)/2)*CG47*CJ47*VLOOKUP('Données projet'!$B$12,Paramètres!$A$1:$I$89,3,0)*0.475*44/12</f>
        <v>1.2261704179492108</v>
      </c>
      <c r="CN47" s="22">
        <f t="shared" si="12"/>
        <v>3.2924708816374233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230</v>
      </c>
      <c r="CR47" s="12">
        <f>VLOOKUP(A47,'Données projet'!$A$139:$I$159,9,0)</f>
        <v>11.142857142857142</v>
      </c>
      <c r="CS47" s="12">
        <f t="array" ref="CS47">INDEX(CR:CR,MIN(IF(ISNUMBER(CR47:CR243),ROW(CR47:CR243),"")))</f>
        <v>11.142857142857142</v>
      </c>
      <c r="CT47" s="12">
        <f>IF('Données projet'!$A$140&gt;35,CT46+CS47-DB46,IF(A47&lt;'Données projet'!$A$140,$CQ$205^A47,IF(A47='Données projet'!$A$140,'Données projet'!$B$140,CT46+CS47-DB46)))</f>
        <v>229.99999999999997</v>
      </c>
      <c r="CU47" s="17">
        <f>CT47*VLOOKUP('Données projet'!$B$13,Paramètres!$A$1:$I$89,3,0)*VLOOKUP('Données projet'!$B$13,Paramètres!$A$1:$I$89,5,0)</f>
        <v>179.39999999999998</v>
      </c>
      <c r="CV47" s="13">
        <f t="shared" si="41"/>
        <v>45.188671291872232</v>
      </c>
      <c r="CW47" s="20">
        <f t="shared" si="13"/>
        <v>391.15860250001077</v>
      </c>
      <c r="CX47" s="59">
        <f t="shared" si="14"/>
        <v>684.49193583334409</v>
      </c>
      <c r="CY47" s="59">
        <f ca="1">AVERAGE(OFFSET($CX$3,0,0,'Données projet'!$E$13+1,1))-AVERAGE(OFFSET($H$3,0,0,'Données projet'!$E$13+1,1))</f>
        <v>288.80569134263209</v>
      </c>
      <c r="CZ47" s="59">
        <f t="shared" si="42"/>
        <v>283.48738729114024</v>
      </c>
      <c r="DA47" s="15">
        <f>IF(ISNA(VLOOKUP(A47,'Données projet'!$A$139:$I$159,3,0)),0,VLOOKUP(A47,'Données projet'!$A$139:$I$159,3,0))</f>
        <v>6</v>
      </c>
      <c r="DB47" s="15">
        <f>IF(ISNA(VLOOKUP(A47,'Données projet'!$A$139:$I$159,4,0)),0,VLOOKUP(A47,'Données projet'!$A$139:$I$159,4,0))</f>
        <v>43</v>
      </c>
      <c r="DC47" s="16">
        <f>IF(ISNA(VLOOKUP(A47,'Données projet'!$A$139:$I$159,5,0)),0%,VLOOKUP(A47,'Données projet'!$A$139:$I$159,5,0)*VLOOKUP('Données projet'!$B$13,Paramètres!$A$1:$I$89,7,0))</f>
        <v>0.17200000000000001</v>
      </c>
      <c r="DD47" s="16">
        <f>IF(ISNA(VLOOKUP(A47,'Données projet'!$A$139:$I$159,6,0)),0%,VLOOKUP(A47,'Données projet'!$A$139:$I$159,6,0)*VLOOKUP('Données projet'!$B$13,Paramètres!$A$1:$I$89,7,0))</f>
        <v>0.17200000000000001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12.872788591306449</v>
      </c>
      <c r="DG47" s="21">
        <f>EXP(-LN(2)/25)*DG46+(1-EXP(-LN(2)/25))/(LN(2)/25)*Calculateur!DB47*Calculateur!DD47*VLOOKUP('Données projet'!$B$13,Paramètres!$A$1:$I$89,3,0)*0.475*44/12</f>
        <v>19.655059321199772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32.527847912506218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8.1999999999999993</v>
      </c>
      <c r="DO47" s="12">
        <f>IF('Données projet'!$A$166&gt;35,DO46+DN47-DW46,IF(A47&lt;'Données projet'!$A$166,$DL$205^A47,IF(A47='Données projet'!$A$166,'Données projet'!$B$166,DO46+DN47-DW46)))</f>
        <v>196.79999999999995</v>
      </c>
      <c r="DP47" s="17">
        <f>DO47*VLOOKUP('Données projet'!$B$14,Paramètres!$A$1:$I$89,3,0)*VLOOKUP('Données projet'!$B$14,Paramètres!$A$1:$I$89,5,0)</f>
        <v>156.57407999999998</v>
      </c>
      <c r="DQ47" s="13">
        <f t="shared" si="43"/>
        <v>40.068818872547467</v>
      </c>
      <c r="DR47" s="20">
        <f t="shared" si="16"/>
        <v>342.48638220302013</v>
      </c>
      <c r="DS47" s="59">
        <f t="shared" si="17"/>
        <v>635.81971553635344</v>
      </c>
      <c r="DT47" s="59">
        <f ca="1">AVERAGE(OFFSET($DS$3,0,0,'Données projet'!$E$14+1,1))-AVERAGE(OFFSET($H$3,0,0,'Données projet'!$E$14+1,1))</f>
        <v>299.10536994156814</v>
      </c>
      <c r="DU47" s="59">
        <f t="shared" si="44"/>
        <v>292.57799203101769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7.0640554935001756</v>
      </c>
      <c r="EB47" s="21">
        <f>EXP(-LN(2)/25)*EB46+(1-EXP(-LN(2)/25))/(LN(2)/25)*Calculateur!DW47*Calculateur!DY47*VLOOKUP('Données projet'!$B$14,Paramètres!$A$1:$I$89,3,0)*0.475*44/12</f>
        <v>11.988384477323688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19.052439970823862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9.3452380952380913</v>
      </c>
      <c r="N48" s="13">
        <f>IF('Données projet'!$A$36&gt;35,N47+M48-V47,IF(A48&lt;'Données projet'!$A$36,$K$205^A48,IF(A48='Données projet'!$A$36,'Données projet'!$B$36,N47+M48-V47)))</f>
        <v>156.3168498168499</v>
      </c>
      <c r="O48" s="13">
        <f>N48*VLOOKUP('Données projet'!$B$9,Paramètres!$A$1:$I$89,3,0)*VLOOKUP('Données projet'!$B$9,Paramètres!$A$1:$I$89,5,0)</f>
        <v>141.43548571428576</v>
      </c>
      <c r="P48" s="13">
        <f t="shared" si="33"/>
        <v>36.625659617511197</v>
      </c>
      <c r="Q48" s="20">
        <f t="shared" si="53"/>
        <v>310.12316145287969</v>
      </c>
      <c r="R48" s="59">
        <f t="shared" si="0"/>
        <v>603.45649478621294</v>
      </c>
      <c r="S48" s="59">
        <f ca="1">AVERAGE(OFFSET($R$3,0,0,'Données projet'!$E$9+1,1))-AVERAGE(OFFSET($H$3,0,0,'Données projet'!$E$9+1,1))</f>
        <v>384.05928630855732</v>
      </c>
      <c r="T48" s="59">
        <f t="shared" si="34"/>
        <v>279.93992813630513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10.449786324786322</v>
      </c>
      <c r="AI48" s="13">
        <f>IF('Données projet'!$A$62&gt;35,AI47+AH48-AQ47,IF(A48&lt;'Données projet'!$A$62,$AF$205^A48,IF(A48='Données projet'!$A$62,'Données projet'!$B$62,AI47+AH48-AQ47)))</f>
        <v>155.27243589743597</v>
      </c>
      <c r="AJ48" s="13">
        <f>AI48*VLOOKUP('Données projet'!$B$10,Paramètres!$A$1:$I$89,3,0)*VLOOKUP('Données projet'!$B$10,Paramètres!$A$1:$I$89,5,0)</f>
        <v>133.22375000000008</v>
      </c>
      <c r="AK48" s="13">
        <f t="shared" si="35"/>
        <v>34.74020800305474</v>
      </c>
      <c r="AL48" s="20">
        <f t="shared" si="4"/>
        <v>292.53722685532045</v>
      </c>
      <c r="AM48" s="59">
        <f t="shared" si="5"/>
        <v>585.87056018865383</v>
      </c>
      <c r="AN48" s="59">
        <f ca="1">AVERAGE(OFFSET($AM$3,0,0,'Données projet'!$E$10+1,1))-AVERAGE(OFFSET($H$3,0,0,'Données projet'!$E$10+1,1))</f>
        <v>335.02113791949211</v>
      </c>
      <c r="AO48" s="59">
        <f t="shared" si="36"/>
        <v>222.06886429435099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9.894694946428606</v>
      </c>
      <c r="AX48" s="21">
        <f t="shared" si="6"/>
        <v>9.894694946428606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6.826007326007324</v>
      </c>
      <c r="BD48" s="12">
        <f>IF('Données projet'!$A$88&gt;35,BD47+BC48-BL47,IF(A48&lt;'Données projet'!$A$88,$BA$205^A48,IF(A48='Données projet'!$A$88,'Données projet'!$B$88,BD47+BC48-BL47)))</f>
        <v>104.83241758241752</v>
      </c>
      <c r="BE48" s="13">
        <f>BD48*VLOOKUP('Données projet'!$B$11,Paramètres!$A$1:$I$89,3,0)*VLOOKUP('Données projet'!$B$11,Paramètres!$A$1:$I$89,5,0)</f>
        <v>101.39391428571423</v>
      </c>
      <c r="BF48" s="13">
        <f t="shared" si="37"/>
        <v>27.293810389260898</v>
      </c>
      <c r="BG48" s="20">
        <f t="shared" si="7"/>
        <v>224.13112047558164</v>
      </c>
      <c r="BH48" s="59">
        <f t="shared" si="8"/>
        <v>517.46445380891498</v>
      </c>
      <c r="BI48" s="59">
        <f ca="1">AVERAGE(OFFSET($BH$3,0,0,'Données projet'!$E$11+1,1))-AVERAGE(OFFSET($H$3,0,0,'Données projet'!$E$11+1,1))</f>
        <v>366.51581861366333</v>
      </c>
      <c r="BJ48" s="59">
        <f t="shared" si="38"/>
        <v>225.01415116995503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177</v>
      </c>
      <c r="BW48" s="12">
        <f>VLOOKUP(A48,'Données projet'!$A$113:$I$133,9,0)</f>
        <v>6.4</v>
      </c>
      <c r="BX48" s="12">
        <f t="array" ref="BX48">INDEX(BW:BW,MIN(IF(ISNUMBER(BW48:BW244),ROW(BW48:BW244),"")))</f>
        <v>6.4</v>
      </c>
      <c r="BY48" s="12">
        <f>IF('Données projet'!$A$114&gt;35,BY47+BX48-CG47,IF(A48&lt;'Données projet'!$A$114,$BV$205^A48,IF(A48='Données projet'!$A$114,'Données projet'!$B$114,BY47+BX48-CG47)))</f>
        <v>177</v>
      </c>
      <c r="BZ48" s="13">
        <f>BY48*VLOOKUP('Données projet'!$B$12,Paramètres!$A$1:$I$89,3,0)*VLOOKUP('Données projet'!$B$12,Paramètres!$A$1:$I$89,5,0)</f>
        <v>115.97040000000001</v>
      </c>
      <c r="CA48" s="13">
        <f t="shared" si="39"/>
        <v>30.733301120222794</v>
      </c>
      <c r="CB48" s="20">
        <f t="shared" si="10"/>
        <v>255.50894611772139</v>
      </c>
      <c r="CC48" s="59">
        <f t="shared" si="11"/>
        <v>548.84227945105476</v>
      </c>
      <c r="CD48" s="59">
        <f ca="1">AVERAGE(OFFSET($CC$3,0,0,'Données projet'!$E$12+1,1))-AVERAGE(OFFSET($H$3,0,0,'Données projet'!$E$12+1,1))</f>
        <v>230.58262378842818</v>
      </c>
      <c r="CE48" s="59">
        <f t="shared" si="40"/>
        <v>235.68746142880792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4.3000000000000003E-2</v>
      </c>
      <c r="CJ48" s="16">
        <f>IF(ISNA(VLOOKUP(A48,'Données projet'!$A$113:$I$133,7,0)),0%,VLOOKUP(A48,'Données projet'!$A$113:$I$133,7,0))</f>
        <v>0.3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2.6922912740501292</v>
      </c>
      <c r="CM48" s="21">
        <f>EXP(-LN(2)/2)*CM47+(1-EXP(-LN(2)/2))/(LN(2)/2)*CG48*CJ48*VLOOKUP('Données projet'!$B$12,Paramètres!$A$1:$I$89,3,0)*0.475*44/12</f>
        <v>4.9471457247886024</v>
      </c>
      <c r="CN48" s="22">
        <f t="shared" si="12"/>
        <v>7.6394369988387316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10.375</v>
      </c>
      <c r="CT48" s="12">
        <f>IF('Données projet'!$A$140&gt;35,CT47+CS48-DB47,IF(A48&lt;'Données projet'!$A$140,$CQ$205^A48,IF(A48='Données projet'!$A$140,'Données projet'!$B$140,CT47+CS48-DB47)))</f>
        <v>197.37499999999997</v>
      </c>
      <c r="CU48" s="17">
        <f>CT48*VLOOKUP('Données projet'!$B$13,Paramètres!$A$1:$I$89,3,0)*VLOOKUP('Données projet'!$B$13,Paramètres!$A$1:$I$89,5,0)</f>
        <v>153.95249999999999</v>
      </c>
      <c r="CV48" s="13">
        <f t="shared" si="41"/>
        <v>39.475441267837397</v>
      </c>
      <c r="CW48" s="20">
        <f t="shared" si="13"/>
        <v>336.88699770815009</v>
      </c>
      <c r="CX48" s="59">
        <f t="shared" si="14"/>
        <v>630.2203310414834</v>
      </c>
      <c r="CY48" s="59">
        <f ca="1">AVERAGE(OFFSET($CX$3,0,0,'Données projet'!$E$13+1,1))-AVERAGE(OFFSET($H$3,0,0,'Données projet'!$E$13+1,1))</f>
        <v>288.80569134263209</v>
      </c>
      <c r="CZ48" s="59">
        <f t="shared" si="42"/>
        <v>283.48738729114024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12.620361058656687</v>
      </c>
      <c r="DG48" s="21">
        <f>EXP(-LN(2)/25)*DG47+(1-EXP(-LN(2)/25))/(LN(2)/25)*Calculateur!DB48*Calculateur!DD48*VLOOKUP('Données projet'!$B$13,Paramètres!$A$1:$I$89,3,0)*0.475*44/12</f>
        <v>19.117590690446917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31.737951749103605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205</v>
      </c>
      <c r="DM48" s="12">
        <f>VLOOKUP(A48,'Données projet'!$A$165:$I$185,9,0)</f>
        <v>8.1999999999999993</v>
      </c>
      <c r="DN48" s="12">
        <f t="array" ref="DN48">INDEX(DM:DM,MIN(IF(ISNUMBER(DM48:DM244),ROW(DM48:DM244),"")))</f>
        <v>8.1999999999999993</v>
      </c>
      <c r="DO48" s="12">
        <f>IF('Données projet'!$A$166&gt;35,DO47+DN48-DW47,IF(A48&lt;'Données projet'!$A$166,$DL$205^A48,IF(A48='Données projet'!$A$166,'Données projet'!$B$166,DO47+DN48-DW47)))</f>
        <v>204.99999999999994</v>
      </c>
      <c r="DP48" s="17">
        <f>DO48*VLOOKUP('Données projet'!$B$14,Paramètres!$A$1:$I$89,3,0)*VLOOKUP('Données projet'!$B$14,Paramètres!$A$1:$I$89,5,0)</f>
        <v>163.09799999999996</v>
      </c>
      <c r="DQ48" s="13">
        <f t="shared" si="43"/>
        <v>41.540496136845142</v>
      </c>
      <c r="DR48" s="20">
        <f t="shared" si="16"/>
        <v>356.4120474383385</v>
      </c>
      <c r="DS48" s="59">
        <f t="shared" si="17"/>
        <v>649.74538077167176</v>
      </c>
      <c r="DT48" s="59">
        <f ca="1">AVERAGE(OFFSET($DS$3,0,0,'Données projet'!$E$14+1,1))-AVERAGE(OFFSET($H$3,0,0,'Données projet'!$E$14+1,1))</f>
        <v>299.10536994156814</v>
      </c>
      <c r="DU48" s="59">
        <f t="shared" si="44"/>
        <v>292.57799203101769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22</v>
      </c>
      <c r="DX48" s="16">
        <f>IF(ISNA(VLOOKUP(A48,'Données projet'!$A$165:$I$185,5,0)),0%,VLOOKUP(A48,'Données projet'!$A$165:$I$185,5,0)*VLOOKUP('Données projet'!$B$14,Paramètres!$A$1:$I$89,7,0))</f>
        <v>0.31269999999999998</v>
      </c>
      <c r="DY48" s="16">
        <f>IF(ISNA(VLOOKUP(A48,'Données projet'!$A$165:$I$185,6,0)),0%,VLOOKUP(A48,'Données projet'!$A$165:$I$185,6,0)*VLOOKUP('Données projet'!$B$14,Paramètres!$A$1:$I$89,7,0))</f>
        <v>0.1431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12.976050136200808</v>
      </c>
      <c r="EB48" s="21">
        <f>EXP(-LN(2)/25)*EB47+(1-EXP(-LN(2)/25))/(LN(2)/25)*Calculateur!DW48*Calculateur!DY48*VLOOKUP('Données projet'!$B$14,Paramètres!$A$1:$I$89,3,0)*0.475*44/12</f>
        <v>14.418539751071341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27.394589887272147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9.3452380952380913</v>
      </c>
      <c r="N49" s="13">
        <f>IF('Données projet'!$A$36&gt;35,N48+M49-V48,IF(A49&lt;'Données projet'!$A$36,$K$205^A49,IF(A49='Données projet'!$A$36,'Données projet'!$B$36,N48+M49-V48)))</f>
        <v>165.662087912088</v>
      </c>
      <c r="O49" s="13">
        <f>N49*VLOOKUP('Données projet'!$B$9,Paramètres!$A$1:$I$89,3,0)*VLOOKUP('Données projet'!$B$9,Paramètres!$A$1:$I$89,5,0)</f>
        <v>149.89105714285722</v>
      </c>
      <c r="P49" s="13">
        <f t="shared" si="33"/>
        <v>38.553826918856579</v>
      </c>
      <c r="Q49" s="20">
        <f t="shared" si="53"/>
        <v>328.20817307415149</v>
      </c>
      <c r="R49" s="59">
        <f t="shared" si="0"/>
        <v>621.5415064074848</v>
      </c>
      <c r="S49" s="59">
        <f ca="1">AVERAGE(OFFSET($R$3,0,0,'Données projet'!$E$9+1,1))-AVERAGE(OFFSET($H$3,0,0,'Données projet'!$E$9+1,1))</f>
        <v>384.05928630855732</v>
      </c>
      <c r="T49" s="59">
        <f t="shared" si="34"/>
        <v>279.93992813630513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10.449786324786322</v>
      </c>
      <c r="AI49" s="13">
        <f>IF('Données projet'!$A$62&gt;35,AI48+AH49-AQ48,IF(A49&lt;'Données projet'!$A$62,$AF$205^A49,IF(A49='Données projet'!$A$62,'Données projet'!$B$62,AI48+AH49-AQ48)))</f>
        <v>165.72222222222229</v>
      </c>
      <c r="AJ49" s="13">
        <f>AI49*VLOOKUP('Données projet'!$B$10,Paramètres!$A$1:$I$89,3,0)*VLOOKUP('Données projet'!$B$10,Paramètres!$A$1:$I$89,5,0)</f>
        <v>142.18966666666674</v>
      </c>
      <c r="AK49" s="13">
        <f t="shared" si="35"/>
        <v>36.798173401682028</v>
      </c>
      <c r="AL49" s="20">
        <f t="shared" si="4"/>
        <v>311.73715478570745</v>
      </c>
      <c r="AM49" s="59">
        <f t="shared" si="5"/>
        <v>605.07048811904076</v>
      </c>
      <c r="AN49" s="59">
        <f ca="1">AVERAGE(OFFSET($AM$3,0,0,'Données projet'!$E$10+1,1))-AVERAGE(OFFSET($H$3,0,0,'Données projet'!$E$10+1,1))</f>
        <v>335.02113791949211</v>
      </c>
      <c r="AO49" s="59">
        <f t="shared" si="36"/>
        <v>222.06886429435099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6.99660589439193</v>
      </c>
      <c r="AX49" s="21">
        <f t="shared" si="6"/>
        <v>6.99660589439193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6.826007326007324</v>
      </c>
      <c r="BD49" s="12">
        <f>IF('Données projet'!$A$88&gt;35,BD48+BC49-BL48,IF(A49&lt;'Données projet'!$A$88,$BA$205^A49,IF(A49='Données projet'!$A$88,'Données projet'!$B$88,BD48+BC49-BL48)))</f>
        <v>111.65842490842485</v>
      </c>
      <c r="BE49" s="13">
        <f>BD49*VLOOKUP('Données projet'!$B$11,Paramètres!$A$1:$I$89,3,0)*VLOOKUP('Données projet'!$B$11,Paramètres!$A$1:$I$89,5,0)</f>
        <v>107.99602857142851</v>
      </c>
      <c r="BF49" s="13">
        <f t="shared" si="37"/>
        <v>28.858329232560074</v>
      </c>
      <c r="BG49" s="20">
        <f t="shared" si="7"/>
        <v>238.35467317528014</v>
      </c>
      <c r="BH49" s="59">
        <f t="shared" si="8"/>
        <v>531.6880065086134</v>
      </c>
      <c r="BI49" s="59">
        <f ca="1">AVERAGE(OFFSET($BH$3,0,0,'Données projet'!$E$11+1,1))-AVERAGE(OFFSET($H$3,0,0,'Données projet'!$E$11+1,1))</f>
        <v>366.51581861366333</v>
      </c>
      <c r="BJ49" s="59">
        <f t="shared" si="38"/>
        <v>225.01415116995503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5.8</v>
      </c>
      <c r="BY49" s="12">
        <f>IF('Données projet'!$A$114&gt;35,BY48+BX49-CG48,IF(A49&lt;'Données projet'!$A$114,$BV$205^A49,IF(A49='Données projet'!$A$114,'Données projet'!$B$114,BY48+BX49-CG48)))</f>
        <v>160.80000000000001</v>
      </c>
      <c r="BZ49" s="13">
        <f>BY49*VLOOKUP('Données projet'!$B$12,Paramètres!$A$1:$I$89,3,0)*VLOOKUP('Données projet'!$B$12,Paramètres!$A$1:$I$89,5,0)</f>
        <v>105.35616</v>
      </c>
      <c r="CA49" s="13">
        <f t="shared" si="39"/>
        <v>28.234128165723941</v>
      </c>
      <c r="CB49" s="20">
        <f t="shared" si="10"/>
        <v>232.66975188863583</v>
      </c>
      <c r="CC49" s="59">
        <f t="shared" si="11"/>
        <v>526.00308522196917</v>
      </c>
      <c r="CD49" s="59">
        <f ca="1">AVERAGE(OFFSET($CC$3,0,0,'Données projet'!$E$12+1,1))-AVERAGE(OFFSET($H$3,0,0,'Données projet'!$E$12+1,1))</f>
        <v>230.58262378842818</v>
      </c>
      <c r="CE49" s="59">
        <f t="shared" si="40"/>
        <v>235.68746142880792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2.6186704275797839</v>
      </c>
      <c r="CM49" s="21">
        <f>EXP(-LN(2)/2)*CM48+(1-EXP(-LN(2)/2))/(LN(2)/2)*CG49*CJ49*VLOOKUP('Données projet'!$B$12,Paramètres!$A$1:$I$89,3,0)*0.475*44/12</f>
        <v>3.4981602895160586</v>
      </c>
      <c r="CN49" s="22">
        <f t="shared" si="12"/>
        <v>6.1168307170958425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10.375</v>
      </c>
      <c r="CT49" s="12">
        <f>IF('Données projet'!$A$140&gt;35,CT48+CS49-DB48,IF(A49&lt;'Données projet'!$A$140,$CQ$205^A49,IF(A49='Données projet'!$A$140,'Données projet'!$B$140,CT48+CS49-DB48)))</f>
        <v>207.74999999999997</v>
      </c>
      <c r="CU49" s="17">
        <f>CT49*VLOOKUP('Données projet'!$B$13,Paramètres!$A$1:$I$89,3,0)*VLOOKUP('Données projet'!$B$13,Paramètres!$A$1:$I$89,5,0)</f>
        <v>162.04499999999999</v>
      </c>
      <c r="CV49" s="13">
        <f t="shared" si="41"/>
        <v>41.303429372463391</v>
      </c>
      <c r="CW49" s="20">
        <f t="shared" si="13"/>
        <v>354.16518115704031</v>
      </c>
      <c r="CX49" s="59">
        <f t="shared" si="14"/>
        <v>647.49851449037362</v>
      </c>
      <c r="CY49" s="59">
        <f ca="1">AVERAGE(OFFSET($CX$3,0,0,'Données projet'!$E$13+1,1))-AVERAGE(OFFSET($H$3,0,0,'Données projet'!$E$13+1,1))</f>
        <v>288.80569134263209</v>
      </c>
      <c r="CZ49" s="59">
        <f t="shared" si="42"/>
        <v>283.48738729114024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12.372883475956595</v>
      </c>
      <c r="DG49" s="21">
        <f>EXP(-LN(2)/25)*DG48+(1-EXP(-LN(2)/25))/(LN(2)/25)*Calculateur!DB49*Calculateur!DD49*VLOOKUP('Données projet'!$B$13,Paramètres!$A$1:$I$89,3,0)*0.475*44/12</f>
        <v>18.594819167666245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30.96770264362284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7.2</v>
      </c>
      <c r="DO49" s="12">
        <f>IF('Données projet'!$A$166&gt;35,DO48+DN49-DW48,IF(A49&lt;'Données projet'!$A$166,$DL$205^A49,IF(A49='Données projet'!$A$166,'Données projet'!$B$166,DO48+DN49-DW48)))</f>
        <v>190.19999999999993</v>
      </c>
      <c r="DP49" s="17">
        <f>DO49*VLOOKUP('Données projet'!$B$14,Paramètres!$A$1:$I$89,3,0)*VLOOKUP('Données projet'!$B$14,Paramètres!$A$1:$I$89,5,0)</f>
        <v>151.32311999999996</v>
      </c>
      <c r="DQ49" s="13">
        <f t="shared" si="43"/>
        <v>38.879115530839606</v>
      </c>
      <c r="DR49" s="20">
        <f t="shared" si="16"/>
        <v>331.26889354954557</v>
      </c>
      <c r="DS49" s="59">
        <f t="shared" si="17"/>
        <v>624.60222688287888</v>
      </c>
      <c r="DT49" s="59">
        <f ca="1">AVERAGE(OFFSET($DS$3,0,0,'Données projet'!$E$14+1,1))-AVERAGE(OFFSET($H$3,0,0,'Données projet'!$E$14+1,1))</f>
        <v>299.10536994156814</v>
      </c>
      <c r="DU49" s="59">
        <f t="shared" si="44"/>
        <v>292.57799203101769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12.72159770763899</v>
      </c>
      <c r="EB49" s="21">
        <f>EXP(-LN(2)/25)*EB48+(1-EXP(-LN(2)/25))/(LN(2)/25)*Calculateur!DW49*Calculateur!DY49*VLOOKUP('Données projet'!$B$14,Paramètres!$A$1:$I$89,3,0)*0.475*44/12</f>
        <v>14.024264023340244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26.745861730979236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9.3452380952380913</v>
      </c>
      <c r="N50" s="13">
        <f>IF('Données projet'!$A$36&gt;35,N49+M50-V49,IF(A50&lt;'Données projet'!$A$36,$K$205^A50,IF(A50='Données projet'!$A$36,'Données projet'!$B$36,N49+M50-V49)))</f>
        <v>175.0073260073261</v>
      </c>
      <c r="O50" s="13">
        <f>N50*VLOOKUP('Données projet'!$B$9,Paramètres!$A$1:$I$89,3,0)*VLOOKUP('Données projet'!$B$9,Paramètres!$A$1:$I$89,5,0)</f>
        <v>158.34662857142865</v>
      </c>
      <c r="P50" s="13">
        <f t="shared" si="33"/>
        <v>40.469367717876509</v>
      </c>
      <c r="Q50" s="20">
        <f t="shared" si="53"/>
        <v>346.2711935372065</v>
      </c>
      <c r="R50" s="59">
        <f t="shared" si="0"/>
        <v>639.60452687053976</v>
      </c>
      <c r="S50" s="59">
        <f ca="1">AVERAGE(OFFSET($R$3,0,0,'Données projet'!$E$9+1,1))-AVERAGE(OFFSET($H$3,0,0,'Données projet'!$E$9+1,1))</f>
        <v>384.05928630855732</v>
      </c>
      <c r="T50" s="59">
        <f t="shared" si="34"/>
        <v>279.93992813630513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10.449786324786322</v>
      </c>
      <c r="AI50" s="13">
        <f>IF('Données projet'!$A$62&gt;35,AI49+AH50-AQ49,IF(A50&lt;'Données projet'!$A$62,$AF$205^A50,IF(A50='Données projet'!$A$62,'Données projet'!$B$62,AI49+AH50-AQ49)))</f>
        <v>176.1720085470086</v>
      </c>
      <c r="AJ50" s="13">
        <f>AI50*VLOOKUP('Données projet'!$B$10,Paramètres!$A$1:$I$89,3,0)*VLOOKUP('Données projet'!$B$10,Paramètres!$A$1:$I$89,5,0)</f>
        <v>151.1555833333334</v>
      </c>
      <c r="AK50" s="13">
        <f t="shared" si="35"/>
        <v>38.841078670511202</v>
      </c>
      <c r="AL50" s="20">
        <f t="shared" si="4"/>
        <v>330.91085299002935</v>
      </c>
      <c r="AM50" s="59">
        <f t="shared" si="5"/>
        <v>624.24418632336267</v>
      </c>
      <c r="AN50" s="59">
        <f ca="1">AVERAGE(OFFSET($AM$3,0,0,'Données projet'!$E$10+1,1))-AVERAGE(OFFSET($H$3,0,0,'Données projet'!$E$10+1,1))</f>
        <v>335.02113791949211</v>
      </c>
      <c r="AO50" s="59">
        <f t="shared" si="36"/>
        <v>222.06886429435099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4.947347473214303</v>
      </c>
      <c r="AX50" s="21">
        <f t="shared" si="6"/>
        <v>4.947347473214303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6.826007326007324</v>
      </c>
      <c r="BD50" s="12">
        <f>IF('Données projet'!$A$88&gt;35,BD49+BC50-BL49,IF(A50&lt;'Données projet'!$A$88,$BA$205^A50,IF(A50='Données projet'!$A$88,'Données projet'!$B$88,BD49+BC50-BL49)))</f>
        <v>118.48443223443218</v>
      </c>
      <c r="BE50" s="13">
        <f>BD50*VLOOKUP('Données projet'!$B$11,Paramètres!$A$1:$I$89,3,0)*VLOOKUP('Données projet'!$B$11,Paramètres!$A$1:$I$89,5,0)</f>
        <v>114.5981428571428</v>
      </c>
      <c r="BF50" s="13">
        <f t="shared" si="37"/>
        <v>30.411747376403749</v>
      </c>
      <c r="BG50" s="20">
        <f t="shared" si="7"/>
        <v>252.55889215676018</v>
      </c>
      <c r="BH50" s="59">
        <f t="shared" si="8"/>
        <v>545.89222549009355</v>
      </c>
      <c r="BI50" s="59">
        <f ca="1">AVERAGE(OFFSET($BH$3,0,0,'Données projet'!$E$11+1,1))-AVERAGE(OFFSET($H$3,0,0,'Données projet'!$E$11+1,1))</f>
        <v>366.51581861366333</v>
      </c>
      <c r="BJ50" s="59">
        <f t="shared" si="38"/>
        <v>225.01415116995503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5.8</v>
      </c>
      <c r="BY50" s="12">
        <f>IF('Données projet'!$A$114&gt;35,BY49+BX50-CG49,IF(A50&lt;'Données projet'!$A$114,$BV$205^A50,IF(A50='Données projet'!$A$114,'Données projet'!$B$114,BY49+BX50-CG49)))</f>
        <v>166.60000000000002</v>
      </c>
      <c r="BZ50" s="13">
        <f>BY50*VLOOKUP('Données projet'!$B$12,Paramètres!$A$1:$I$89,3,0)*VLOOKUP('Données projet'!$B$12,Paramètres!$A$1:$I$89,5,0)</f>
        <v>109.15632000000002</v>
      </c>
      <c r="CA50" s="13">
        <f t="shared" si="39"/>
        <v>29.13211799879036</v>
      </c>
      <c r="CB50" s="20">
        <f t="shared" si="10"/>
        <v>240.85236284789323</v>
      </c>
      <c r="CC50" s="59">
        <f t="shared" si="11"/>
        <v>534.1856961812266</v>
      </c>
      <c r="CD50" s="59">
        <f ca="1">AVERAGE(OFFSET($CC$3,0,0,'Données projet'!$E$12+1,1))-AVERAGE(OFFSET($H$3,0,0,'Données projet'!$E$12+1,1))</f>
        <v>230.58262378842818</v>
      </c>
      <c r="CE50" s="59">
        <f t="shared" si="40"/>
        <v>235.68746142880792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2.5470627470277218</v>
      </c>
      <c r="CM50" s="21">
        <f>EXP(-LN(2)/2)*CM49+(1-EXP(-LN(2)/2))/(LN(2)/2)*CG50*CJ50*VLOOKUP('Données projet'!$B$12,Paramètres!$A$1:$I$89,3,0)*0.475*44/12</f>
        <v>2.4735728623943016</v>
      </c>
      <c r="CN50" s="22">
        <f t="shared" si="12"/>
        <v>5.0206356094220235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10.375</v>
      </c>
      <c r="CT50" s="12">
        <f>IF('Données projet'!$A$140&gt;35,CT49+CS50-DB49,IF(A50&lt;'Données projet'!$A$140,$CQ$205^A50,IF(A50='Données projet'!$A$140,'Données projet'!$B$140,CT49+CS50-DB49)))</f>
        <v>218.12499999999997</v>
      </c>
      <c r="CU50" s="17">
        <f>CT50*VLOOKUP('Données projet'!$B$13,Paramètres!$A$1:$I$89,3,0)*VLOOKUP('Données projet'!$B$13,Paramètres!$A$1:$I$89,5,0)</f>
        <v>170.13749999999999</v>
      </c>
      <c r="CV50" s="13">
        <f t="shared" si="41"/>
        <v>43.120817562072411</v>
      </c>
      <c r="CW50" s="20">
        <f t="shared" si="13"/>
        <v>371.42490308727605</v>
      </c>
      <c r="CX50" s="59">
        <f t="shared" si="14"/>
        <v>664.75823642060936</v>
      </c>
      <c r="CY50" s="59">
        <f ca="1">AVERAGE(OFFSET($CX$3,0,0,'Données projet'!$E$13+1,1))-AVERAGE(OFFSET($H$3,0,0,'Données projet'!$E$13+1,1))</f>
        <v>288.80569134263209</v>
      </c>
      <c r="CZ50" s="59">
        <f t="shared" si="42"/>
        <v>283.48738729114024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12.13025877770683</v>
      </c>
      <c r="DG50" s="21">
        <f>EXP(-LN(2)/25)*DG49+(1-EXP(-LN(2)/25))/(LN(2)/25)*Calculateur!DB50*Calculateur!DD50*VLOOKUP('Données projet'!$B$13,Paramètres!$A$1:$I$89,3,0)*0.475*44/12</f>
        <v>18.086342859667369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30.216601637374197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7.2</v>
      </c>
      <c r="DO50" s="12">
        <f>IF('Données projet'!$A$166&gt;35,DO49+DN50-DW49,IF(A50&lt;'Données projet'!$A$166,$DL$205^A50,IF(A50='Données projet'!$A$166,'Données projet'!$B$166,DO49+DN50-DW49)))</f>
        <v>197.39999999999992</v>
      </c>
      <c r="DP50" s="17">
        <f>DO50*VLOOKUP('Données projet'!$B$14,Paramètres!$A$1:$I$89,3,0)*VLOOKUP('Données projet'!$B$14,Paramètres!$A$1:$I$89,5,0)</f>
        <v>157.05143999999996</v>
      </c>
      <c r="DQ50" s="13">
        <f t="shared" si="43"/>
        <v>40.176741230099708</v>
      </c>
      <c r="DR50" s="20">
        <f t="shared" si="16"/>
        <v>343.50574897575689</v>
      </c>
      <c r="DS50" s="59">
        <f t="shared" si="17"/>
        <v>636.83908230909014</v>
      </c>
      <c r="DT50" s="59">
        <f ca="1">AVERAGE(OFFSET($DS$3,0,0,'Données projet'!$E$14+1,1))-AVERAGE(OFFSET($H$3,0,0,'Données projet'!$E$14+1,1))</f>
        <v>299.10536994156814</v>
      </c>
      <c r="DU50" s="59">
        <f t="shared" si="44"/>
        <v>292.57799203101769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12.472134936000613</v>
      </c>
      <c r="EB50" s="21">
        <f>EXP(-LN(2)/25)*EB49+(1-EXP(-LN(2)/25))/(LN(2)/25)*Calculateur!DW50*Calculateur!DY50*VLOOKUP('Données projet'!$B$14,Paramètres!$A$1:$I$89,3,0)*0.475*44/12</f>
        <v>13.640769786118012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26.112904722118625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184.35256410256409</v>
      </c>
      <c r="L51" s="12">
        <f>VLOOKUP(A51,'Données projet'!$A$35:$I$55,9,0)</f>
        <v>9.3452380952380913</v>
      </c>
      <c r="M51" s="12">
        <f t="array" ref="M51">INDEX(L:L,MIN(IF(ISNUMBER(L51:L247),ROW(L51:L247),"")))</f>
        <v>9.3452380952380913</v>
      </c>
      <c r="N51" s="13">
        <f>IF('Données projet'!$A$36&gt;35,N50+M51-V50,IF(A51&lt;'Données projet'!$A$36,$K$205^A51,IF(A51='Données projet'!$A$36,'Données projet'!$B$36,N50+M51-V50)))</f>
        <v>184.3525641025642</v>
      </c>
      <c r="O51" s="13">
        <f>N51*VLOOKUP('Données projet'!$B$9,Paramètres!$A$1:$I$89,3,0)*VLOOKUP('Données projet'!$B$9,Paramètres!$A$1:$I$89,5,0)</f>
        <v>166.80220000000008</v>
      </c>
      <c r="P51" s="13">
        <f t="shared" si="33"/>
        <v>42.373033138688463</v>
      </c>
      <c r="Q51" s="20">
        <f t="shared" si="53"/>
        <v>364.31353104988256</v>
      </c>
      <c r="R51" s="59">
        <f t="shared" si="0"/>
        <v>657.64686438321587</v>
      </c>
      <c r="S51" s="59">
        <f ca="1">AVERAGE(OFFSET($R$3,0,0,'Données projet'!$E$9+1,1))-AVERAGE(OFFSET($H$3,0,0,'Données projet'!$E$9+1,1))</f>
        <v>384.05928630855732</v>
      </c>
      <c r="T51" s="59">
        <f t="shared" si="34"/>
        <v>279.93992813630513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48.025641025641022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186.62179487179486</v>
      </c>
      <c r="AG51" s="12">
        <f>VLOOKUP(A51,'Données projet'!$A$61:$I$81,9,0)</f>
        <v>10.449786324786322</v>
      </c>
      <c r="AH51" s="12">
        <f t="array" ref="AH51">INDEX(AG:AG,MIN(IF(ISNUMBER(AG51:AG247),ROW(AG51:AG247),"")))</f>
        <v>10.449786324786322</v>
      </c>
      <c r="AI51" s="13">
        <f>IF('Données projet'!$A$62&gt;35,AI50+AH51-AQ50,IF(A51&lt;'Données projet'!$A$62,$AF$205^A51,IF(A51='Données projet'!$A$62,'Données projet'!$B$62,AI50+AH51-AQ50)))</f>
        <v>186.62179487179492</v>
      </c>
      <c r="AJ51" s="13">
        <f>AI51*VLOOKUP('Données projet'!$B$10,Paramètres!$A$1:$I$89,3,0)*VLOOKUP('Données projet'!$B$10,Paramètres!$A$1:$I$89,5,0)</f>
        <v>160.12150000000005</v>
      </c>
      <c r="AK51" s="13">
        <f t="shared" si="35"/>
        <v>40.869918860018721</v>
      </c>
      <c r="AL51" s="20">
        <f t="shared" si="4"/>
        <v>350.06005451453262</v>
      </c>
      <c r="AM51" s="59">
        <f t="shared" si="5"/>
        <v>643.39338784786594</v>
      </c>
      <c r="AN51" s="59">
        <f ca="1">AVERAGE(OFFSET($AM$3,0,0,'Données projet'!$E$10+1,1))-AVERAGE(OFFSET($H$3,0,0,'Données projet'!$E$10+1,1))</f>
        <v>335.02113791949211</v>
      </c>
      <c r="AO51" s="59">
        <f t="shared" si="36"/>
        <v>222.06886429435099</v>
      </c>
      <c r="AP51" s="15">
        <f>IF(ISNA(VLOOKUP(A51,'Données projet'!$A$61:$I$81,3,0)),0,VLOOKUP(A51,'Données projet'!$A$61:$I$81,3,0))</f>
        <v>2</v>
      </c>
      <c r="AQ51" s="15">
        <f>IF(ISNA(VLOOKUP(A51,'Données projet'!$A$61:$I$81,4,0)),0,VLOOKUP(A51,'Données projet'!$A$61:$I$81,4,0))</f>
        <v>44.737179487179489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0.5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21.606707374031224</v>
      </c>
      <c r="AX51" s="21">
        <f t="shared" si="6"/>
        <v>21.606707374031224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6.826007326007324</v>
      </c>
      <c r="BD51" s="12">
        <f>IF('Données projet'!$A$88&gt;35,BD50+BC51-BL50,IF(A51&lt;'Données projet'!$A$88,$BA$205^A51,IF(A51='Données projet'!$A$88,'Données projet'!$B$88,BD50+BC51-BL50)))</f>
        <v>125.31043956043951</v>
      </c>
      <c r="BE51" s="13">
        <f>BD51*VLOOKUP('Données projet'!$B$11,Paramètres!$A$1:$I$89,3,0)*VLOOKUP('Données projet'!$B$11,Paramètres!$A$1:$I$89,5,0)</f>
        <v>121.20025714285708</v>
      </c>
      <c r="BF51" s="13">
        <f t="shared" si="37"/>
        <v>31.954777205454842</v>
      </c>
      <c r="BG51" s="20">
        <f t="shared" si="7"/>
        <v>266.7450181566432</v>
      </c>
      <c r="BH51" s="59">
        <f t="shared" si="8"/>
        <v>560.07835148997651</v>
      </c>
      <c r="BI51" s="59">
        <f ca="1">AVERAGE(OFFSET($BH$3,0,0,'Données projet'!$E$11+1,1))-AVERAGE(OFFSET($H$3,0,0,'Données projet'!$E$11+1,1))</f>
        <v>366.51581861366333</v>
      </c>
      <c r="BJ51" s="59">
        <f t="shared" si="38"/>
        <v>225.01415116995503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5.8</v>
      </c>
      <c r="BY51" s="12">
        <f>IF('Données projet'!$A$114&gt;35,BY50+BX51-CG50,IF(A51&lt;'Données projet'!$A$114,$BV$205^A51,IF(A51='Données projet'!$A$114,'Données projet'!$B$114,BY50+BX51-CG50)))</f>
        <v>172.40000000000003</v>
      </c>
      <c r="BZ51" s="13">
        <f>BY51*VLOOKUP('Données projet'!$B$12,Paramètres!$A$1:$I$89,3,0)*VLOOKUP('Données projet'!$B$12,Paramètres!$A$1:$I$89,5,0)</f>
        <v>112.95648000000003</v>
      </c>
      <c r="CA51" s="13">
        <f t="shared" si="39"/>
        <v>30.026475458997034</v>
      </c>
      <c r="CB51" s="20">
        <f t="shared" si="10"/>
        <v>249.02864742441989</v>
      </c>
      <c r="CC51" s="59">
        <f t="shared" si="11"/>
        <v>542.36198075775314</v>
      </c>
      <c r="CD51" s="59">
        <f ca="1">AVERAGE(OFFSET($CC$3,0,0,'Données projet'!$E$12+1,1))-AVERAGE(OFFSET($H$3,0,0,'Données projet'!$E$12+1,1))</f>
        <v>230.58262378842818</v>
      </c>
      <c r="CE51" s="59">
        <f t="shared" si="40"/>
        <v>235.68746142880792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2.4774131822660403</v>
      </c>
      <c r="CM51" s="21">
        <f>EXP(-LN(2)/2)*CM50+(1-EXP(-LN(2)/2))/(LN(2)/2)*CG51*CJ51*VLOOKUP('Données projet'!$B$12,Paramètres!$A$1:$I$89,3,0)*0.475*44/12</f>
        <v>1.7490801447580295</v>
      </c>
      <c r="CN51" s="22">
        <f t="shared" si="12"/>
        <v>4.2264933270240697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10.375</v>
      </c>
      <c r="CT51" s="12">
        <f>IF('Données projet'!$A$140&gt;35,CT50+CS51-DB50,IF(A51&lt;'Données projet'!$A$140,$CQ$205^A51,IF(A51='Données projet'!$A$140,'Données projet'!$B$140,CT50+CS51-DB50)))</f>
        <v>228.49999999999997</v>
      </c>
      <c r="CU51" s="17">
        <f>CT51*VLOOKUP('Données projet'!$B$13,Paramètres!$A$1:$I$89,3,0)*VLOOKUP('Données projet'!$B$13,Paramètres!$A$1:$I$89,5,0)</f>
        <v>178.23</v>
      </c>
      <c r="CV51" s="13">
        <f t="shared" si="41"/>
        <v>44.928167580487852</v>
      </c>
      <c r="CW51" s="20">
        <f t="shared" si="13"/>
        <v>388.66714186934956</v>
      </c>
      <c r="CX51" s="59">
        <f t="shared" si="14"/>
        <v>682.00047520268288</v>
      </c>
      <c r="CY51" s="59">
        <f ca="1">AVERAGE(OFFSET($CX$3,0,0,'Données projet'!$E$13+1,1))-AVERAGE(OFFSET($H$3,0,0,'Données projet'!$E$13+1,1))</f>
        <v>288.80569134263209</v>
      </c>
      <c r="CZ51" s="59">
        <f t="shared" si="42"/>
        <v>283.48738729114024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11.89239180180329</v>
      </c>
      <c r="DG51" s="21">
        <f>EXP(-LN(2)/25)*DG50+(1-EXP(-LN(2)/25))/(LN(2)/25)*Calculateur!DB51*Calculateur!DD51*VLOOKUP('Données projet'!$B$13,Paramètres!$A$1:$I$89,3,0)*0.475*44/12</f>
        <v>17.591770863050332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29.484162664853621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7.2</v>
      </c>
      <c r="DO51" s="12">
        <f>IF('Données projet'!$A$166&gt;35,DO50+DN51-DW50,IF(A51&lt;'Données projet'!$A$166,$DL$205^A51,IF(A51='Données projet'!$A$166,'Données projet'!$B$166,DO50+DN51-DW50)))</f>
        <v>204.59999999999991</v>
      </c>
      <c r="DP51" s="17">
        <f>DO51*VLOOKUP('Données projet'!$B$14,Paramètres!$A$1:$I$89,3,0)*VLOOKUP('Données projet'!$B$14,Paramètres!$A$1:$I$89,5,0)</f>
        <v>162.77975999999995</v>
      </c>
      <c r="DQ51" s="13">
        <f t="shared" si="43"/>
        <v>41.468868129640057</v>
      </c>
      <c r="DR51" s="20">
        <f t="shared" si="16"/>
        <v>355.73302732578964</v>
      </c>
      <c r="DS51" s="59">
        <f t="shared" si="17"/>
        <v>649.06636065912289</v>
      </c>
      <c r="DT51" s="59">
        <f ca="1">AVERAGE(OFFSET($DS$3,0,0,'Données projet'!$E$14+1,1))-AVERAGE(OFFSET($H$3,0,0,'Données projet'!$E$14+1,1))</f>
        <v>299.10536994156814</v>
      </c>
      <c r="DU51" s="59">
        <f t="shared" si="44"/>
        <v>292.57799203101769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12.227563977156798</v>
      </c>
      <c r="EB51" s="21">
        <f>EXP(-LN(2)/25)*EB50+(1-EXP(-LN(2)/25))/(LN(2)/25)*Calculateur!DW51*Calculateur!DY51*VLOOKUP('Données projet'!$B$14,Paramètres!$A$1:$I$89,3,0)*0.475*44/12</f>
        <v>13.267762218979708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25.495326196136507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8.8736263736263741</v>
      </c>
      <c r="N52" s="13">
        <f>IF('Données projet'!$A$36&gt;35,N51+M52-V51,IF(A52&lt;'Données projet'!$A$36,$K$205^A52,IF(A52='Données projet'!$A$36,'Données projet'!$B$36,N51+M52-V51)))</f>
        <v>145.20054945054954</v>
      </c>
      <c r="O52" s="13">
        <f>N52*VLOOKUP('Données projet'!$B$9,Paramètres!$A$1:$I$89,3,0)*VLOOKUP('Données projet'!$B$9,Paramètres!$A$1:$I$89,5,0)</f>
        <v>131.37745714285722</v>
      </c>
      <c r="P52" s="13">
        <f t="shared" si="33"/>
        <v>34.314453722516539</v>
      </c>
      <c r="Q52" s="20">
        <f t="shared" si="53"/>
        <v>288.58007809052594</v>
      </c>
      <c r="R52" s="59">
        <f t="shared" si="0"/>
        <v>581.91341142385932</v>
      </c>
      <c r="S52" s="59">
        <f ca="1">AVERAGE(OFFSET($R$3,0,0,'Données projet'!$E$9+1,1))-AVERAGE(OFFSET($H$3,0,0,'Données projet'!$E$9+1,1))</f>
        <v>384.05928630855732</v>
      </c>
      <c r="T52" s="59">
        <f t="shared" si="34"/>
        <v>279.93992813630513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10.317307692307699</v>
      </c>
      <c r="AI52" s="13">
        <f>IF('Données projet'!$A$62&gt;35,AI51+AH52-AQ51,IF(A52&lt;'Données projet'!$A$62,$AF$205^A52,IF(A52='Données projet'!$A$62,'Données projet'!$B$62,AI51+AH52-AQ51)))</f>
        <v>152.20192307692315</v>
      </c>
      <c r="AJ52" s="13">
        <f>AI52*VLOOKUP('Données projet'!$B$10,Paramètres!$A$1:$I$89,3,0)*VLOOKUP('Données projet'!$B$10,Paramètres!$A$1:$I$89,5,0)</f>
        <v>130.58925000000008</v>
      </c>
      <c r="AK52" s="13">
        <f t="shared" si="35"/>
        <v>34.132481848040264</v>
      </c>
      <c r="AL52" s="20">
        <f t="shared" si="4"/>
        <v>286.89034963533692</v>
      </c>
      <c r="AM52" s="59">
        <f t="shared" si="5"/>
        <v>580.22368296867023</v>
      </c>
      <c r="AN52" s="59">
        <f ca="1">AVERAGE(OFFSET($AM$3,0,0,'Données projet'!$E$10+1,1))-AVERAGE(OFFSET($H$3,0,0,'Données projet'!$E$10+1,1))</f>
        <v>335.02113791949211</v>
      </c>
      <c r="AO52" s="59">
        <f t="shared" si="36"/>
        <v>222.06886429435099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15.27824930329086</v>
      </c>
      <c r="AX52" s="21">
        <f t="shared" si="6"/>
        <v>15.27824930329086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6.826007326007324</v>
      </c>
      <c r="BD52" s="12">
        <f>IF('Données projet'!$A$88&gt;35,BD51+BC52-BL51,IF(A52&lt;'Données projet'!$A$88,$BA$205^A52,IF(A52='Données projet'!$A$88,'Données projet'!$B$88,BD51+BC52-BL51)))</f>
        <v>132.13644688644683</v>
      </c>
      <c r="BE52" s="13">
        <f>BD52*VLOOKUP('Données projet'!$B$11,Paramètres!$A$1:$I$89,3,0)*VLOOKUP('Données projet'!$B$11,Paramètres!$A$1:$I$89,5,0)</f>
        <v>127.80237142857139</v>
      </c>
      <c r="BF52" s="13">
        <f t="shared" si="37"/>
        <v>33.488049109916332</v>
      </c>
      <c r="BG52" s="20">
        <f t="shared" si="7"/>
        <v>280.91414910453278</v>
      </c>
      <c r="BH52" s="59">
        <f t="shared" si="8"/>
        <v>574.2474824378661</v>
      </c>
      <c r="BI52" s="59">
        <f ca="1">AVERAGE(OFFSET($BH$3,0,0,'Données projet'!$E$11+1,1))-AVERAGE(OFFSET($H$3,0,0,'Données projet'!$E$11+1,1))</f>
        <v>366.51581861366333</v>
      </c>
      <c r="BJ52" s="59">
        <f t="shared" si="38"/>
        <v>225.01415116995503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5.8</v>
      </c>
      <c r="BY52" s="12">
        <f>IF('Données projet'!$A$114&gt;35,BY51+BX52-CG51,IF(A52&lt;'Données projet'!$A$114,$BV$205^A52,IF(A52='Données projet'!$A$114,'Données projet'!$B$114,BY51+BX52-CG51)))</f>
        <v>178.20000000000005</v>
      </c>
      <c r="BZ52" s="13">
        <f>BY52*VLOOKUP('Données projet'!$B$12,Paramètres!$A$1:$I$89,3,0)*VLOOKUP('Données projet'!$B$12,Paramètres!$A$1:$I$89,5,0)</f>
        <v>116.75664000000003</v>
      </c>
      <c r="CA52" s="13">
        <f t="shared" si="39"/>
        <v>30.91733675897062</v>
      </c>
      <c r="CB52" s="20">
        <f t="shared" si="10"/>
        <v>257.19884285520715</v>
      </c>
      <c r="CC52" s="59">
        <f t="shared" si="11"/>
        <v>550.53217618854046</v>
      </c>
      <c r="CD52" s="59">
        <f ca="1">AVERAGE(OFFSET($CC$3,0,0,'Données projet'!$E$12+1,1))-AVERAGE(OFFSET($H$3,0,0,'Données projet'!$E$12+1,1))</f>
        <v>230.58262378842818</v>
      </c>
      <c r="CE52" s="59">
        <f t="shared" si="40"/>
        <v>235.68746142880792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2.4096681885154783</v>
      </c>
      <c r="CM52" s="21">
        <f>EXP(-LN(2)/2)*CM51+(1-EXP(-LN(2)/2))/(LN(2)/2)*CG52*CJ52*VLOOKUP('Données projet'!$B$12,Paramètres!$A$1:$I$89,3,0)*0.475*44/12</f>
        <v>1.236786431197151</v>
      </c>
      <c r="CN52" s="22">
        <f t="shared" si="12"/>
        <v>3.6464546197126291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10.375</v>
      </c>
      <c r="CT52" s="12">
        <f>IF('Données projet'!$A$140&gt;35,CT51+CS52-DB51,IF(A52&lt;'Données projet'!$A$140,$CQ$205^A52,IF(A52='Données projet'!$A$140,'Données projet'!$B$140,CT51+CS52-DB51)))</f>
        <v>238.87499999999997</v>
      </c>
      <c r="CU52" s="17">
        <f>CT52*VLOOKUP('Données projet'!$B$13,Paramètres!$A$1:$I$89,3,0)*VLOOKUP('Données projet'!$B$13,Paramètres!$A$1:$I$89,5,0)</f>
        <v>186.32249999999999</v>
      </c>
      <c r="CV52" s="13">
        <f t="shared" si="41"/>
        <v>46.725987276254116</v>
      </c>
      <c r="CW52" s="20">
        <f t="shared" si="13"/>
        <v>405.89278200614257</v>
      </c>
      <c r="CX52" s="59">
        <f t="shared" si="14"/>
        <v>699.22611533947588</v>
      </c>
      <c r="CY52" s="59">
        <f ca="1">AVERAGE(OFFSET($CX$3,0,0,'Données projet'!$E$13+1,1))-AVERAGE(OFFSET($H$3,0,0,'Données projet'!$E$13+1,1))</f>
        <v>288.80569134263209</v>
      </c>
      <c r="CZ52" s="59">
        <f t="shared" si="42"/>
        <v>283.48738729114024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11.659189252212689</v>
      </c>
      <c r="DG52" s="21">
        <f>EXP(-LN(2)/25)*DG51+(1-EXP(-LN(2)/25))/(LN(2)/25)*Calculateur!DB52*Calculateur!DD52*VLOOKUP('Données projet'!$B$13,Paramètres!$A$1:$I$89,3,0)*0.475*44/12</f>
        <v>17.110722963689199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28.76991221590189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7.2</v>
      </c>
      <c r="DO52" s="12">
        <f>IF('Données projet'!$A$166&gt;35,DO51+DN52-DW51,IF(A52&lt;'Données projet'!$A$166,$DL$205^A52,IF(A52='Données projet'!$A$166,'Données projet'!$B$166,DO51+DN52-DW51)))</f>
        <v>211.7999999999999</v>
      </c>
      <c r="DP52" s="17">
        <f>DO52*VLOOKUP('Données projet'!$B$14,Paramètres!$A$1:$I$89,3,0)*VLOOKUP('Données projet'!$B$14,Paramètres!$A$1:$I$89,5,0)</f>
        <v>168.50807999999992</v>
      </c>
      <c r="DQ52" s="13">
        <f t="shared" si="43"/>
        <v>42.755711908378117</v>
      </c>
      <c r="DR52" s="20">
        <f t="shared" si="16"/>
        <v>367.95110424042508</v>
      </c>
      <c r="DS52" s="59">
        <f t="shared" si="17"/>
        <v>661.2844375737584</v>
      </c>
      <c r="DT52" s="59">
        <f ca="1">AVERAGE(OFFSET($DS$3,0,0,'Données projet'!$E$14+1,1))-AVERAGE(OFFSET($H$3,0,0,'Données projet'!$E$14+1,1))</f>
        <v>299.10536994156814</v>
      </c>
      <c r="DU52" s="59">
        <f t="shared" si="44"/>
        <v>292.57799203101769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11.987788905642356</v>
      </c>
      <c r="EB52" s="21">
        <f>EXP(-LN(2)/25)*EB51+(1-EXP(-LN(2)/25))/(LN(2)/25)*Calculateur!DW52*Calculateur!DY52*VLOOKUP('Données projet'!$B$14,Paramètres!$A$1:$I$89,3,0)*0.475*44/12</f>
        <v>12.904954563380418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24.892743469022776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8.8736263736263741</v>
      </c>
      <c r="N53" s="13">
        <f>IF('Données projet'!$A$36&gt;35,N52+M53-V52,IF(A53&lt;'Données projet'!$A$36,$K$205^A53,IF(A53='Données projet'!$A$36,'Données projet'!$B$36,N52+M53-V52)))</f>
        <v>154.07417582417591</v>
      </c>
      <c r="O53" s="13">
        <f>N53*VLOOKUP('Données projet'!$B$9,Paramètres!$A$1:$I$89,3,0)*VLOOKUP('Données projet'!$B$9,Paramètres!$A$1:$I$89,5,0)</f>
        <v>139.40631428571436</v>
      </c>
      <c r="P53" s="13">
        <f t="shared" si="33"/>
        <v>36.160966815041384</v>
      </c>
      <c r="Q53" s="20">
        <f t="shared" si="53"/>
        <v>305.77968125048289</v>
      </c>
      <c r="R53" s="59">
        <f t="shared" si="0"/>
        <v>599.11301458381627</v>
      </c>
      <c r="S53" s="59">
        <f ca="1">AVERAGE(OFFSET($R$3,0,0,'Données projet'!$E$9+1,1))-AVERAGE(OFFSET($H$3,0,0,'Données projet'!$E$9+1,1))</f>
        <v>384.05928630855732</v>
      </c>
      <c r="T53" s="59">
        <f t="shared" si="34"/>
        <v>279.93992813630513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10.317307692307699</v>
      </c>
      <c r="AI53" s="13">
        <f>IF('Données projet'!$A$62&gt;35,AI52+AH53-AQ52,IF(A53&lt;'Données projet'!$A$62,$AF$205^A53,IF(A53='Données projet'!$A$62,'Données projet'!$B$62,AI52+AH53-AQ52)))</f>
        <v>162.51923076923086</v>
      </c>
      <c r="AJ53" s="13">
        <f>AI53*VLOOKUP('Données projet'!$B$10,Paramètres!$A$1:$I$89,3,0)*VLOOKUP('Données projet'!$B$10,Paramètres!$A$1:$I$89,5,0)</f>
        <v>139.4415000000001</v>
      </c>
      <c r="AK53" s="13">
        <f t="shared" si="35"/>
        <v>36.169031237831206</v>
      </c>
      <c r="AL53" s="20">
        <f t="shared" si="4"/>
        <v>305.85500857255619</v>
      </c>
      <c r="AM53" s="59">
        <f t="shared" si="5"/>
        <v>599.1883419058895</v>
      </c>
      <c r="AN53" s="59">
        <f ca="1">AVERAGE(OFFSET($AM$3,0,0,'Données projet'!$E$10+1,1))-AVERAGE(OFFSET($H$3,0,0,'Données projet'!$E$10+1,1))</f>
        <v>335.02113791949211</v>
      </c>
      <c r="AO53" s="59">
        <f t="shared" si="36"/>
        <v>222.06886429435099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10.803353687015614</v>
      </c>
      <c r="AX53" s="21">
        <f t="shared" si="6"/>
        <v>10.803353687015614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6.826007326007324</v>
      </c>
      <c r="BD53" s="12">
        <f>IF('Données projet'!$A$88&gt;35,BD52+BC53-BL52,IF(A53&lt;'Données projet'!$A$88,$BA$205^A53,IF(A53='Données projet'!$A$88,'Données projet'!$B$88,BD52+BC53-BL52)))</f>
        <v>138.96245421245416</v>
      </c>
      <c r="BE53" s="13">
        <f>BD53*VLOOKUP('Données projet'!$B$11,Paramètres!$A$1:$I$89,3,0)*VLOOKUP('Données projet'!$B$11,Paramètres!$A$1:$I$89,5,0)</f>
        <v>134.40448571428567</v>
      </c>
      <c r="BF53" s="13">
        <f t="shared" si="37"/>
        <v>35.012124670899802</v>
      </c>
      <c r="BG53" s="20">
        <f t="shared" si="7"/>
        <v>295.06726308753133</v>
      </c>
      <c r="BH53" s="59">
        <f t="shared" si="8"/>
        <v>588.40059642086464</v>
      </c>
      <c r="BI53" s="59">
        <f ca="1">AVERAGE(OFFSET($BH$3,0,0,'Données projet'!$E$11+1,1))-AVERAGE(OFFSET($H$3,0,0,'Données projet'!$E$11+1,1))</f>
        <v>366.51581861366333</v>
      </c>
      <c r="BJ53" s="59">
        <f t="shared" si="38"/>
        <v>225.01415116995503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184</v>
      </c>
      <c r="BW53" s="12">
        <f>VLOOKUP(A53,'Données projet'!$A$113:$I$133,9,0)</f>
        <v>5.8</v>
      </c>
      <c r="BX53" s="12">
        <f t="array" ref="BX53">INDEX(BW:BW,MIN(IF(ISNUMBER(BW53:BW249),ROW(BW53:BW249),"")))</f>
        <v>5.8</v>
      </c>
      <c r="BY53" s="12">
        <f>IF('Données projet'!$A$114&gt;35,BY52+BX53-CG52,IF(A53&lt;'Données projet'!$A$114,$BV$205^A53,IF(A53='Données projet'!$A$114,'Données projet'!$B$114,BY52+BX53-CG52)))</f>
        <v>184.00000000000006</v>
      </c>
      <c r="BZ53" s="13">
        <f>BY53*VLOOKUP('Données projet'!$B$12,Paramètres!$A$1:$I$89,3,0)*VLOOKUP('Données projet'!$B$12,Paramètres!$A$1:$I$89,5,0)</f>
        <v>120.55680000000002</v>
      </c>
      <c r="CA53" s="13">
        <f t="shared" si="39"/>
        <v>31.804828741198779</v>
      </c>
      <c r="CB53" s="20">
        <f t="shared" si="10"/>
        <v>265.36317005758792</v>
      </c>
      <c r="CC53" s="59">
        <f t="shared" si="11"/>
        <v>558.69650339092118</v>
      </c>
      <c r="CD53" s="59">
        <f ca="1">AVERAGE(OFFSET($CC$3,0,0,'Données projet'!$E$12+1,1))-AVERAGE(OFFSET($H$3,0,0,'Données projet'!$E$12+1,1))</f>
        <v>230.58262378842818</v>
      </c>
      <c r="CE53" s="59">
        <f t="shared" si="40"/>
        <v>235.68746142880792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0.129</v>
      </c>
      <c r="CJ53" s="16">
        <f>IF(ISNA(VLOOKUP(A53,'Données projet'!$A$113:$I$133,7,0)),0%,VLOOKUP(A53,'Données projet'!$A$113:$I$133,7,0))</f>
        <v>0.3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4.2981900500824821</v>
      </c>
      <c r="CM53" s="21">
        <f>EXP(-LN(2)/2)*CM52+(1-EXP(-LN(2)/2))/(LN(2)/2)*CG53*CJ53*VLOOKUP('Données projet'!$B$12,Paramètres!$A$1:$I$89,3,0)*0.475*44/12</f>
        <v>4.7691927294105518</v>
      </c>
      <c r="CN53" s="22">
        <f t="shared" si="12"/>
        <v>9.067382779493034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10.375</v>
      </c>
      <c r="CT53" s="12">
        <f>IF('Données projet'!$A$140&gt;35,CT52+CS53-DB52,IF(A53&lt;'Données projet'!$A$140,$CQ$205^A53,IF(A53='Données projet'!$A$140,'Données projet'!$B$140,CT52+CS53-DB52)))</f>
        <v>249.24999999999997</v>
      </c>
      <c r="CU53" s="17">
        <f>CT53*VLOOKUP('Données projet'!$B$13,Paramètres!$A$1:$I$89,3,0)*VLOOKUP('Données projet'!$B$13,Paramètres!$A$1:$I$89,5,0)</f>
        <v>194.41499999999999</v>
      </c>
      <c r="CV53" s="13">
        <f t="shared" si="41"/>
        <v>48.514737888684969</v>
      </c>
      <c r="CW53" s="20">
        <f t="shared" si="13"/>
        <v>423.10262682279296</v>
      </c>
      <c r="CX53" s="59">
        <f t="shared" si="14"/>
        <v>716.43596015612627</v>
      </c>
      <c r="CY53" s="59">
        <f ca="1">AVERAGE(OFFSET($CX$3,0,0,'Données projet'!$E$13+1,1))-AVERAGE(OFFSET($H$3,0,0,'Données projet'!$E$13+1,1))</f>
        <v>288.80569134263209</v>
      </c>
      <c r="CZ53" s="59">
        <f t="shared" si="42"/>
        <v>283.48738729114024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11.43055966238005</v>
      </c>
      <c r="DG53" s="21">
        <f>EXP(-LN(2)/25)*DG52+(1-EXP(-LN(2)/25))/(LN(2)/25)*Calculateur!DB53*Calculateur!DD53*VLOOKUP('Données projet'!$B$13,Paramètres!$A$1:$I$89,3,0)*0.475*44/12</f>
        <v>16.642829344433302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28.07338900681335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219</v>
      </c>
      <c r="DM53" s="12">
        <f>VLOOKUP(A53,'Données projet'!$A$165:$I$185,9,0)</f>
        <v>7.2</v>
      </c>
      <c r="DN53" s="12">
        <f t="array" ref="DN53">INDEX(DM:DM,MIN(IF(ISNUMBER(DM53:DM249),ROW(DM53:DM249),"")))</f>
        <v>7.2</v>
      </c>
      <c r="DO53" s="12">
        <f>IF('Données projet'!$A$166&gt;35,DO52+DN53-DW52,IF(A53&lt;'Données projet'!$A$166,$DL$205^A53,IF(A53='Données projet'!$A$166,'Données projet'!$B$166,DO52+DN53-DW52)))</f>
        <v>218.99999999999989</v>
      </c>
      <c r="DP53" s="17">
        <f>DO53*VLOOKUP('Données projet'!$B$14,Paramètres!$A$1:$I$89,3,0)*VLOOKUP('Données projet'!$B$14,Paramètres!$A$1:$I$89,5,0)</f>
        <v>174.23639999999992</v>
      </c>
      <c r="DQ53" s="13">
        <f t="shared" si="43"/>
        <v>44.03747274965864</v>
      </c>
      <c r="DR53" s="20">
        <f t="shared" si="16"/>
        <v>380.160328372322</v>
      </c>
      <c r="DS53" s="59">
        <f t="shared" si="17"/>
        <v>673.49366170565531</v>
      </c>
      <c r="DT53" s="59">
        <f ca="1">AVERAGE(OFFSET($DS$3,0,0,'Données projet'!$E$14+1,1))-AVERAGE(OFFSET($H$3,0,0,'Données projet'!$E$14+1,1))</f>
        <v>299.10536994156814</v>
      </c>
      <c r="DU53" s="59">
        <f t="shared" si="44"/>
        <v>292.57799203101769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17</v>
      </c>
      <c r="DX53" s="16">
        <f>IF(ISNA(VLOOKUP(A53,'Données projet'!$A$165:$I$185,5,0)),0%,VLOOKUP(A53,'Données projet'!$A$165:$I$185,5,0)*VLOOKUP('Données projet'!$B$14,Paramètres!$A$1:$I$89,7,0))</f>
        <v>0.37630000000000002</v>
      </c>
      <c r="DY53" s="16">
        <f>IF(ISNA(VLOOKUP(A53,'Données projet'!$A$165:$I$185,6,0)),0%,VLOOKUP(A53,'Données projet'!$A$165:$I$185,6,0)*VLOOKUP('Données projet'!$B$14,Paramètres!$A$1:$I$89,7,0))</f>
        <v>9.5399999999999999E-2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17.379043388874543</v>
      </c>
      <c r="EB53" s="21">
        <f>EXP(-LN(2)/25)*EB52+(1-EXP(-LN(2)/25))/(LN(2)/25)*Calculateur!DW53*Calculateur!DY53*VLOOKUP('Données projet'!$B$14,Paramètres!$A$1:$I$89,3,0)*0.475*44/12</f>
        <v>13.972844590726073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31.351887979600615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8.8736263736263741</v>
      </c>
      <c r="N54" s="13">
        <f>IF('Données projet'!$A$36&gt;35,N53+M54-V53,IF(A54&lt;'Données projet'!$A$36,$K$205^A54,IF(A54='Données projet'!$A$36,'Données projet'!$B$36,N53+M54-V53)))</f>
        <v>162.94780219780228</v>
      </c>
      <c r="O54" s="13">
        <f>N54*VLOOKUP('Données projet'!$B$9,Paramètres!$A$1:$I$89,3,0)*VLOOKUP('Données projet'!$B$9,Paramètres!$A$1:$I$89,5,0)</f>
        <v>147.43517142857149</v>
      </c>
      <c r="P54" s="13">
        <f t="shared" si="33"/>
        <v>37.995135358244994</v>
      </c>
      <c r="Q54" s="20">
        <f t="shared" si="53"/>
        <v>322.95778432037201</v>
      </c>
      <c r="R54" s="59">
        <f t="shared" si="0"/>
        <v>616.29111765370533</v>
      </c>
      <c r="S54" s="59">
        <f ca="1">AVERAGE(OFFSET($R$3,0,0,'Données projet'!$E$9+1,1))-AVERAGE(OFFSET($H$3,0,0,'Données projet'!$E$9+1,1))</f>
        <v>384.05928630855732</v>
      </c>
      <c r="T54" s="59">
        <f t="shared" si="34"/>
        <v>279.93992813630513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10.317307692307699</v>
      </c>
      <c r="AI54" s="13">
        <f>IF('Données projet'!$A$62&gt;35,AI53+AH54-AQ53,IF(A54&lt;'Données projet'!$A$62,$AF$205^A54,IF(A54='Données projet'!$A$62,'Données projet'!$B$62,AI53+AH54-AQ53)))</f>
        <v>172.83653846153857</v>
      </c>
      <c r="AJ54" s="13">
        <f>AI54*VLOOKUP('Données projet'!$B$10,Paramètres!$A$1:$I$89,3,0)*VLOOKUP('Données projet'!$B$10,Paramètres!$A$1:$I$89,5,0)</f>
        <v>148.2937500000001</v>
      </c>
      <c r="AK54" s="13">
        <f t="shared" si="35"/>
        <v>38.190576391357162</v>
      </c>
      <c r="AL54" s="20">
        <f t="shared" si="4"/>
        <v>324.79353513161385</v>
      </c>
      <c r="AM54" s="59">
        <f t="shared" si="5"/>
        <v>618.12686846494717</v>
      </c>
      <c r="AN54" s="59">
        <f ca="1">AVERAGE(OFFSET($AM$3,0,0,'Données projet'!$E$10+1,1))-AVERAGE(OFFSET($H$3,0,0,'Données projet'!$E$10+1,1))</f>
        <v>335.02113791949211</v>
      </c>
      <c r="AO54" s="59">
        <f t="shared" si="36"/>
        <v>222.06886429435099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7.6391246516454316</v>
      </c>
      <c r="AX54" s="21">
        <f t="shared" si="6"/>
        <v>7.6391246516454316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145.78846153846152</v>
      </c>
      <c r="BB54" s="12">
        <f>VLOOKUP(A54,'Données projet'!$A$87:$I$107,9,0)</f>
        <v>6.826007326007324</v>
      </c>
      <c r="BC54" s="12">
        <f t="array" ref="BC54">INDEX(BB:BB,MIN(IF(ISNUMBER(BB54:BB250),ROW(BB54:BB250),"")))</f>
        <v>6.826007326007324</v>
      </c>
      <c r="BD54" s="12">
        <f>IF('Données projet'!$A$88&gt;35,BD53+BC54-BL53,IF(A54&lt;'Données projet'!$A$88,$BA$205^A54,IF(A54='Données projet'!$A$88,'Données projet'!$B$88,BD53+BC54-BL53)))</f>
        <v>145.78846153846149</v>
      </c>
      <c r="BE54" s="13">
        <f>BD54*VLOOKUP('Données projet'!$B$11,Paramètres!$A$1:$I$89,3,0)*VLOOKUP('Données projet'!$B$11,Paramètres!$A$1:$I$89,5,0)</f>
        <v>141.00659999999993</v>
      </c>
      <c r="BF54" s="13">
        <f t="shared" si="37"/>
        <v>36.527507181529174</v>
      </c>
      <c r="BG54" s="20">
        <f t="shared" si="7"/>
        <v>309.20523667449658</v>
      </c>
      <c r="BH54" s="59">
        <f t="shared" si="8"/>
        <v>602.53857000782989</v>
      </c>
      <c r="BI54" s="59">
        <f ca="1">AVERAGE(OFFSET($BH$3,0,0,'Données projet'!$E$11+1,1))-AVERAGE(OFFSET($H$3,0,0,'Données projet'!$E$11+1,1))</f>
        <v>366.51581861366333</v>
      </c>
      <c r="BJ54" s="59">
        <f t="shared" si="38"/>
        <v>225.01415116995503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37.685897435897431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168.60000000000005</v>
      </c>
      <c r="BZ54" s="13">
        <f>BY54*VLOOKUP('Données projet'!$B$12,Paramètres!$A$1:$I$89,3,0)*VLOOKUP('Données projet'!$B$12,Paramètres!$A$1:$I$89,5,0)</f>
        <v>110.46672000000002</v>
      </c>
      <c r="CA54" s="13">
        <f t="shared" si="39"/>
        <v>29.440920333682921</v>
      </c>
      <c r="CB54" s="20">
        <f t="shared" si="10"/>
        <v>243.67247358116444</v>
      </c>
      <c r="CC54" s="59">
        <f t="shared" si="11"/>
        <v>537.00580691449773</v>
      </c>
      <c r="CD54" s="59">
        <f ca="1">AVERAGE(OFFSET($CC$3,0,0,'Données projet'!$E$12+1,1))-AVERAGE(OFFSET($H$3,0,0,'Données projet'!$E$12+1,1))</f>
        <v>230.58262378842818</v>
      </c>
      <c r="CE54" s="59">
        <f t="shared" si="40"/>
        <v>235.68746142880792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4.1806558171309858</v>
      </c>
      <c r="CM54" s="21">
        <f>EXP(-LN(2)/2)*CM53+(1-EXP(-LN(2)/2))/(LN(2)/2)*CG54*CJ54*VLOOKUP('Données projet'!$B$12,Paramètres!$A$1:$I$89,3,0)*0.475*44/12</f>
        <v>3.3723285197517807</v>
      </c>
      <c r="CN54" s="22">
        <f t="shared" si="12"/>
        <v>7.5529843368827665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10.375</v>
      </c>
      <c r="CT54" s="12">
        <f>IF('Données projet'!$A$140&gt;35,CT53+CS54-DB53,IF(A54&lt;'Données projet'!$A$140,$CQ$205^A54,IF(A54='Données projet'!$A$140,'Données projet'!$B$140,CT53+CS54-DB53)))</f>
        <v>259.625</v>
      </c>
      <c r="CU54" s="17">
        <f>CT54*VLOOKUP('Données projet'!$B$13,Paramètres!$A$1:$I$89,3,0)*VLOOKUP('Données projet'!$B$13,Paramètres!$A$1:$I$89,5,0)</f>
        <v>202.50749999999999</v>
      </c>
      <c r="CV54" s="13">
        <f t="shared" si="41"/>
        <v>50.294840086606349</v>
      </c>
      <c r="CW54" s="20">
        <f t="shared" si="13"/>
        <v>440.29740898417271</v>
      </c>
      <c r="CX54" s="59">
        <f t="shared" si="14"/>
        <v>733.63074231750602</v>
      </c>
      <c r="CY54" s="59">
        <f ca="1">AVERAGE(OFFSET($CX$3,0,0,'Données projet'!$E$13+1,1))-AVERAGE(OFFSET($H$3,0,0,'Données projet'!$E$13+1,1))</f>
        <v>288.80569134263209</v>
      </c>
      <c r="CZ54" s="59">
        <f t="shared" si="42"/>
        <v>283.48738729114024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11.206413359353748</v>
      </c>
      <c r="DG54" s="21">
        <f>EXP(-LN(2)/25)*DG53+(1-EXP(-LN(2)/25))/(LN(2)/25)*Calculateur!DB54*Calculateur!DD54*VLOOKUP('Données projet'!$B$13,Paramètres!$A$1:$I$89,3,0)*0.475*44/12</f>
        <v>16.187730300801416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27.394143660155166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</v>
      </c>
      <c r="DO54" s="12">
        <f>IF('Données projet'!$A$166&gt;35,DO53+DN54-DW53,IF(A54&lt;'Données projet'!$A$166,$DL$205^A54,IF(A54='Données projet'!$A$166,'Données projet'!$B$166,DO53+DN54-DW53)))</f>
        <v>207.99999999999989</v>
      </c>
      <c r="DP54" s="17">
        <f>DO54*VLOOKUP('Données projet'!$B$14,Paramètres!$A$1:$I$89,3,0)*VLOOKUP('Données projet'!$B$14,Paramètres!$A$1:$I$89,5,0)</f>
        <v>165.48479999999992</v>
      </c>
      <c r="DQ54" s="13">
        <f t="shared" si="43"/>
        <v>42.077190125964002</v>
      </c>
      <c r="DR54" s="20">
        <f t="shared" si="16"/>
        <v>361.5037994693871</v>
      </c>
      <c r="DS54" s="59">
        <f t="shared" si="17"/>
        <v>654.83713280272036</v>
      </c>
      <c r="DT54" s="59">
        <f ca="1">AVERAGE(OFFSET($DS$3,0,0,'Données projet'!$E$14+1,1))-AVERAGE(OFFSET($H$3,0,0,'Données projet'!$E$14+1,1))</f>
        <v>299.10536994156814</v>
      </c>
      <c r="DU54" s="59">
        <f t="shared" si="44"/>
        <v>292.57799203101769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17.038250948188502</v>
      </c>
      <c r="EB54" s="21">
        <f>EXP(-LN(2)/25)*EB53+(1-EXP(-LN(2)/25))/(LN(2)/25)*Calculateur!DW54*Calculateur!DY54*VLOOKUP('Données projet'!$B$14,Paramètres!$A$1:$I$89,3,0)*0.475*44/12</f>
        <v>13.590756420592706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30.62900736878121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8.8736263736263741</v>
      </c>
      <c r="N55" s="13">
        <f>IF('Données projet'!$A$36&gt;35,N54+M55-V54,IF(A55&lt;'Données projet'!$A$36,$K$205^A55,IF(A55='Données projet'!$A$36,'Données projet'!$B$36,N54+M55-V54)))</f>
        <v>171.82142857142864</v>
      </c>
      <c r="O55" s="13">
        <f>N55*VLOOKUP('Données projet'!$B$9,Paramètres!$A$1:$I$89,3,0)*VLOOKUP('Données projet'!$B$9,Paramètres!$A$1:$I$89,5,0)</f>
        <v>155.46402857142863</v>
      </c>
      <c r="P55" s="13">
        <f t="shared" si="33"/>
        <v>39.817708233223598</v>
      </c>
      <c r="Q55" s="20">
        <f t="shared" si="53"/>
        <v>340.11569160143591</v>
      </c>
      <c r="R55" s="59">
        <f t="shared" si="0"/>
        <v>633.44902493476923</v>
      </c>
      <c r="S55" s="59">
        <f ca="1">AVERAGE(OFFSET($R$3,0,0,'Données projet'!$E$9+1,1))-AVERAGE(OFFSET($H$3,0,0,'Données projet'!$E$9+1,1))</f>
        <v>384.05928630855732</v>
      </c>
      <c r="T55" s="59">
        <f t="shared" si="34"/>
        <v>279.93992813630513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10.317307692307699</v>
      </c>
      <c r="AI55" s="13">
        <f>IF('Données projet'!$A$62&gt;35,AI54+AH55-AQ54,IF(A55&lt;'Données projet'!$A$62,$AF$205^A55,IF(A55='Données projet'!$A$62,'Données projet'!$B$62,AI54+AH55-AQ54)))</f>
        <v>183.15384615384627</v>
      </c>
      <c r="AJ55" s="13">
        <f>AI55*VLOOKUP('Données projet'!$B$10,Paramètres!$A$1:$I$89,3,0)*VLOOKUP('Données projet'!$B$10,Paramètres!$A$1:$I$89,5,0)</f>
        <v>157.1460000000001</v>
      </c>
      <c r="AK55" s="13">
        <f t="shared" si="35"/>
        <v>40.198114980841993</v>
      </c>
      <c r="AL55" s="20">
        <f t="shared" si="4"/>
        <v>343.70766692496665</v>
      </c>
      <c r="AM55" s="59">
        <f t="shared" si="5"/>
        <v>637.04100025829996</v>
      </c>
      <c r="AN55" s="59">
        <f ca="1">AVERAGE(OFFSET($AM$3,0,0,'Données projet'!$E$10+1,1))-AVERAGE(OFFSET($H$3,0,0,'Données projet'!$E$10+1,1))</f>
        <v>335.02113791949211</v>
      </c>
      <c r="AO55" s="59">
        <f t="shared" si="36"/>
        <v>222.06886429435099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5.4016768435078077</v>
      </c>
      <c r="AX55" s="21">
        <f t="shared" si="6"/>
        <v>5.4016768435078077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6.3942307692307701</v>
      </c>
      <c r="BD55" s="12">
        <f>IF('Données projet'!$A$88&gt;35,BD54+BC55-BL54,IF(A55&lt;'Données projet'!$A$88,$BA$205^A55,IF(A55='Données projet'!$A$88,'Données projet'!$B$88,BD54+BC55-BL54)))</f>
        <v>114.49679487179483</v>
      </c>
      <c r="BE55" s="13">
        <f>BD55*VLOOKUP('Données projet'!$B$11,Paramètres!$A$1:$I$89,3,0)*VLOOKUP('Données projet'!$B$11,Paramètres!$A$1:$I$89,5,0)</f>
        <v>110.74129999999997</v>
      </c>
      <c r="BF55" s="13">
        <f t="shared" si="37"/>
        <v>29.505572302926247</v>
      </c>
      <c r="BG55" s="20">
        <f t="shared" si="7"/>
        <v>244.26330259426319</v>
      </c>
      <c r="BH55" s="59">
        <f t="shared" si="8"/>
        <v>537.59663592759648</v>
      </c>
      <c r="BI55" s="59">
        <f ca="1">AVERAGE(OFFSET($BH$3,0,0,'Données projet'!$E$11+1,1))-AVERAGE(OFFSET($H$3,0,0,'Données projet'!$E$11+1,1))</f>
        <v>366.51581861366333</v>
      </c>
      <c r="BJ55" s="59">
        <f t="shared" si="38"/>
        <v>225.01415116995503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174.20000000000005</v>
      </c>
      <c r="BZ55" s="13">
        <f>BY55*VLOOKUP('Données projet'!$B$12,Paramètres!$A$1:$I$89,3,0)*VLOOKUP('Données projet'!$B$12,Paramètres!$A$1:$I$89,5,0)</f>
        <v>114.13584000000003</v>
      </c>
      <c r="CA55" s="13">
        <f t="shared" si="39"/>
        <v>30.303317693701107</v>
      </c>
      <c r="CB55" s="20">
        <f t="shared" si="10"/>
        <v>251.56486631652947</v>
      </c>
      <c r="CC55" s="59">
        <f t="shared" si="11"/>
        <v>544.89819964986282</v>
      </c>
      <c r="CD55" s="59">
        <f ca="1">AVERAGE(OFFSET($CC$3,0,0,'Données projet'!$E$12+1,1))-AVERAGE(OFFSET($H$3,0,0,'Données projet'!$E$12+1,1))</f>
        <v>230.58262378842818</v>
      </c>
      <c r="CE55" s="59">
        <f t="shared" si="40"/>
        <v>235.68746142880792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4.0663355639604042</v>
      </c>
      <c r="CM55" s="21">
        <f>EXP(-LN(2)/2)*CM54+(1-EXP(-LN(2)/2))/(LN(2)/2)*CG55*CJ55*VLOOKUP('Données projet'!$B$12,Paramètres!$A$1:$I$89,3,0)*0.475*44/12</f>
        <v>2.3845963647052764</v>
      </c>
      <c r="CN55" s="22">
        <f t="shared" si="12"/>
        <v>6.4509319286656801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270</v>
      </c>
      <c r="CR55" s="12">
        <f>VLOOKUP(A55,'Données projet'!$A$139:$I$159,9,0)</f>
        <v>10.375</v>
      </c>
      <c r="CS55" s="12">
        <f t="array" ref="CS55">INDEX(CR:CR,MIN(IF(ISNUMBER(CR55:CR251),ROW(CR55:CR251),"")))</f>
        <v>10.375</v>
      </c>
      <c r="CT55" s="12">
        <f>IF('Données projet'!$A$140&gt;35,CT54+CS55-DB54,IF(A55&lt;'Données projet'!$A$140,$CQ$205^A55,IF(A55='Données projet'!$A$140,'Données projet'!$B$140,CT54+CS55-DB54)))</f>
        <v>270</v>
      </c>
      <c r="CU55" s="17">
        <f>CT55*VLOOKUP('Données projet'!$B$13,Paramètres!$A$1:$I$89,3,0)*VLOOKUP('Données projet'!$B$13,Paramètres!$A$1:$I$89,5,0)</f>
        <v>210.6</v>
      </c>
      <c r="CV55" s="13">
        <f t="shared" si="41"/>
        <v>52.066679014659961</v>
      </c>
      <c r="CW55" s="20">
        <f t="shared" si="13"/>
        <v>457.47779928386609</v>
      </c>
      <c r="CX55" s="59">
        <f t="shared" si="14"/>
        <v>750.81113261719941</v>
      </c>
      <c r="CY55" s="59">
        <f ca="1">AVERAGE(OFFSET($CX$3,0,0,'Données projet'!$E$13+1,1))-AVERAGE(OFFSET($H$3,0,0,'Données projet'!$E$13+1,1))</f>
        <v>288.80569134263209</v>
      </c>
      <c r="CZ55" s="59">
        <f t="shared" si="42"/>
        <v>283.48738729114024</v>
      </c>
      <c r="DA55" s="15">
        <f>IF(ISNA(VLOOKUP(A55,'Données projet'!$A$139:$I$159,3,0)),0,VLOOKUP(A55,'Données projet'!$A$139:$I$159,3,0))</f>
        <v>7</v>
      </c>
      <c r="DB55" s="15">
        <f>IF(ISNA(VLOOKUP(A55,'Données projet'!$A$139:$I$159,4,0)),0,VLOOKUP(A55,'Données projet'!$A$139:$I$159,4,0))</f>
        <v>49</v>
      </c>
      <c r="DC55" s="16">
        <f>IF(ISNA(VLOOKUP(A55,'Données projet'!$A$139:$I$159,5,0)),0%,VLOOKUP(A55,'Données projet'!$A$139:$I$159,5,0)*VLOOKUP('Données projet'!$B$13,Paramètres!$A$1:$I$89,7,0))</f>
        <v>0.17200000000000001</v>
      </c>
      <c r="DD55" s="16">
        <f>IF(ISNA(VLOOKUP(A55,'Données projet'!$A$139:$I$159,6,0)),0%,VLOOKUP(A55,'Données projet'!$A$139:$I$159,6,0)*VLOOKUP('Données projet'!$B$13,Paramètres!$A$1:$I$89,7,0))</f>
        <v>0.17200000000000001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18.253847828402936</v>
      </c>
      <c r="DG55" s="21">
        <f>EXP(-LN(2)/25)*DG54+(1-EXP(-LN(2)/25))/(LN(2)/25)*Calculateur!DB55*Calculateur!DD55*VLOOKUP('Données projet'!$B$13,Paramètres!$A$1:$I$89,3,0)*0.475*44/12</f>
        <v>22.983647686305456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41.237495514708392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</v>
      </c>
      <c r="DO55" s="12">
        <f>IF('Données projet'!$A$166&gt;35,DO54+DN55-DW54,IF(A55&lt;'Données projet'!$A$166,$DL$205^A55,IF(A55='Données projet'!$A$166,'Données projet'!$B$166,DO54+DN55-DW54)))</f>
        <v>213.99999999999989</v>
      </c>
      <c r="DP55" s="17">
        <f>DO55*VLOOKUP('Données projet'!$B$14,Paramètres!$A$1:$I$89,3,0)*VLOOKUP('Données projet'!$B$14,Paramètres!$A$1:$I$89,5,0)</f>
        <v>170.25839999999991</v>
      </c>
      <c r="DQ55" s="13">
        <f t="shared" si="43"/>
        <v>43.147891472685018</v>
      </c>
      <c r="DR55" s="20">
        <f t="shared" si="16"/>
        <v>371.68262431492622</v>
      </c>
      <c r="DS55" s="59">
        <f t="shared" si="17"/>
        <v>665.01595764825947</v>
      </c>
      <c r="DT55" s="59">
        <f ca="1">AVERAGE(OFFSET($DS$3,0,0,'Données projet'!$E$14+1,1))-AVERAGE(OFFSET($H$3,0,0,'Données projet'!$E$14+1,1))</f>
        <v>299.10536994156814</v>
      </c>
      <c r="DU55" s="59">
        <f t="shared" si="44"/>
        <v>292.57799203101769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16.704141239401448</v>
      </c>
      <c r="EB55" s="21">
        <f>EXP(-LN(2)/25)*EB54+(1-EXP(-LN(2)/25))/(LN(2)/25)*Calculateur!DW55*Calculateur!DY55*VLOOKUP('Données projet'!$B$14,Paramètres!$A$1:$I$89,3,0)*0.475*44/12</f>
        <v>13.219116471564782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29.923257710966229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8.8736263736263741</v>
      </c>
      <c r="N56" s="13">
        <f>IF('Données projet'!$A$36&gt;35,N55+M56-V55,IF(A56&lt;'Données projet'!$A$36,$K$205^A56,IF(A56='Données projet'!$A$36,'Données projet'!$B$36,N55+M56-V55)))</f>
        <v>180.69505494505501</v>
      </c>
      <c r="O56" s="13">
        <f>N56*VLOOKUP('Données projet'!$B$9,Paramètres!$A$1:$I$89,3,0)*VLOOKUP('Données projet'!$B$9,Paramètres!$A$1:$I$89,5,0)</f>
        <v>163.49288571428576</v>
      </c>
      <c r="P56" s="13">
        <f t="shared" si="33"/>
        <v>41.629352600963465</v>
      </c>
      <c r="Q56" s="20">
        <f t="shared" si="53"/>
        <v>357.25456506572573</v>
      </c>
      <c r="R56" s="59">
        <f t="shared" si="0"/>
        <v>650.58789839905899</v>
      </c>
      <c r="S56" s="59">
        <f ca="1">AVERAGE(OFFSET($R$3,0,0,'Données projet'!$E$9+1,1))-AVERAGE(OFFSET($H$3,0,0,'Données projet'!$E$9+1,1))</f>
        <v>384.05928630855732</v>
      </c>
      <c r="T56" s="59">
        <f t="shared" si="34"/>
        <v>279.93992813630513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10.317307692307699</v>
      </c>
      <c r="AI56" s="13">
        <f>IF('Données projet'!$A$62&gt;35,AI55+AH56-AQ55,IF(A56&lt;'Données projet'!$A$62,$AF$205^A56,IF(A56='Données projet'!$A$62,'Données projet'!$B$62,AI55+AH56-AQ55)))</f>
        <v>193.47115384615398</v>
      </c>
      <c r="AJ56" s="13">
        <f>AI56*VLOOKUP('Données projet'!$B$10,Paramètres!$A$1:$I$89,3,0)*VLOOKUP('Données projet'!$B$10,Paramètres!$A$1:$I$89,5,0)</f>
        <v>165.99825000000013</v>
      </c>
      <c r="AK56" s="13">
        <f t="shared" si="35"/>
        <v>42.192525929577521</v>
      </c>
      <c r="AL56" s="20">
        <f t="shared" si="4"/>
        <v>362.59893474401434</v>
      </c>
      <c r="AM56" s="59">
        <f t="shared" si="5"/>
        <v>655.93226807734766</v>
      </c>
      <c r="AN56" s="59">
        <f ca="1">AVERAGE(OFFSET($AM$3,0,0,'Données projet'!$E$10+1,1))-AVERAGE(OFFSET($H$3,0,0,'Données projet'!$E$10+1,1))</f>
        <v>335.02113791949211</v>
      </c>
      <c r="AO56" s="59">
        <f t="shared" si="36"/>
        <v>222.06886429435099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3.8195623258227163</v>
      </c>
      <c r="AX56" s="21">
        <f t="shared" si="6"/>
        <v>3.8195623258227163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6.3942307692307701</v>
      </c>
      <c r="BD56" s="12">
        <f>IF('Données projet'!$A$88&gt;35,BD55+BC56-BL55,IF(A56&lt;'Données projet'!$A$88,$BA$205^A56,IF(A56='Données projet'!$A$88,'Données projet'!$B$88,BD55+BC56-BL55)))</f>
        <v>120.89102564102561</v>
      </c>
      <c r="BE56" s="13">
        <f>BD56*VLOOKUP('Données projet'!$B$11,Paramètres!$A$1:$I$89,3,0)*VLOOKUP('Données projet'!$B$11,Paramètres!$A$1:$I$89,5,0)</f>
        <v>116.92579999999997</v>
      </c>
      <c r="BF56" s="13">
        <f t="shared" si="37"/>
        <v>30.956913248513292</v>
      </c>
      <c r="BG56" s="20">
        <f t="shared" si="7"/>
        <v>257.56239224116058</v>
      </c>
      <c r="BH56" s="59">
        <f t="shared" si="8"/>
        <v>550.89572557449389</v>
      </c>
      <c r="BI56" s="59">
        <f ca="1">AVERAGE(OFFSET($BH$3,0,0,'Données projet'!$E$11+1,1))-AVERAGE(OFFSET($H$3,0,0,'Données projet'!$E$11+1,1))</f>
        <v>366.51581861366333</v>
      </c>
      <c r="BJ56" s="59">
        <f t="shared" si="38"/>
        <v>225.01415116995503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179.80000000000004</v>
      </c>
      <c r="BZ56" s="13">
        <f>BY56*VLOOKUP('Données projet'!$B$12,Paramètres!$A$1:$I$89,3,0)*VLOOKUP('Données projet'!$B$12,Paramètres!$A$1:$I$89,5,0)</f>
        <v>117.80496000000004</v>
      </c>
      <c r="CA56" s="13">
        <f t="shared" si="39"/>
        <v>31.162493487829593</v>
      </c>
      <c r="CB56" s="20">
        <f t="shared" si="10"/>
        <v>259.45164815796994</v>
      </c>
      <c r="CC56" s="59">
        <f t="shared" si="11"/>
        <v>552.78498149130326</v>
      </c>
      <c r="CD56" s="59">
        <f ca="1">AVERAGE(OFFSET($CC$3,0,0,'Données projet'!$E$12+1,1))-AVERAGE(OFFSET($H$3,0,0,'Données projet'!$E$12+1,1))</f>
        <v>230.58262378842818</v>
      </c>
      <c r="CE56" s="59">
        <f t="shared" si="40"/>
        <v>235.68746142880792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3.9551414041246136</v>
      </c>
      <c r="CM56" s="21">
        <f>EXP(-LN(2)/2)*CM55+(1-EXP(-LN(2)/2))/(LN(2)/2)*CG56*CJ56*VLOOKUP('Données projet'!$B$12,Paramètres!$A$1:$I$89,3,0)*0.475*44/12</f>
        <v>1.6861642598758906</v>
      </c>
      <c r="CN56" s="22">
        <f t="shared" si="12"/>
        <v>5.6413056640005044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9.5</v>
      </c>
      <c r="CT56" s="12">
        <f>IF('Données projet'!$A$140&gt;35,CT55+CS56-DB55,IF(A56&lt;'Données projet'!$A$140,$CQ$205^A56,IF(A56='Données projet'!$A$140,'Données projet'!$B$140,CT55+CS56-DB55)))</f>
        <v>230.5</v>
      </c>
      <c r="CU56" s="17">
        <f>CT56*VLOOKUP('Données projet'!$B$13,Paramètres!$A$1:$I$89,3,0)*VLOOKUP('Données projet'!$B$13,Paramètres!$A$1:$I$89,5,0)</f>
        <v>179.79</v>
      </c>
      <c r="CV56" s="13">
        <f t="shared" si="41"/>
        <v>45.275461861841535</v>
      </c>
      <c r="CW56" s="20">
        <f t="shared" si="13"/>
        <v>391.9890127427073</v>
      </c>
      <c r="CX56" s="59">
        <f t="shared" si="14"/>
        <v>685.32234607604062</v>
      </c>
      <c r="CY56" s="59">
        <f ca="1">AVERAGE(OFFSET($CX$3,0,0,'Données projet'!$E$13+1,1))-AVERAGE(OFFSET($H$3,0,0,'Données projet'!$E$13+1,1))</f>
        <v>288.80569134263209</v>
      </c>
      <c r="CZ56" s="59">
        <f t="shared" si="42"/>
        <v>283.48738729114024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17.895901006235764</v>
      </c>
      <c r="DG56" s="21">
        <f>EXP(-LN(2)/25)*DG55+(1-EXP(-LN(2)/25))/(LN(2)/25)*Calculateur!DB56*Calculateur!DD56*VLOOKUP('Données projet'!$B$13,Paramètres!$A$1:$I$89,3,0)*0.475*44/12</f>
        <v>22.355158631665933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40.251059637901697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</v>
      </c>
      <c r="DO56" s="12">
        <f>IF('Données projet'!$A$166&gt;35,DO55+DN56-DW55,IF(A56&lt;'Données projet'!$A$166,$DL$205^A56,IF(A56='Données projet'!$A$166,'Données projet'!$B$166,DO55+DN56-DW55)))</f>
        <v>219.99999999999989</v>
      </c>
      <c r="DP56" s="17">
        <f>DO56*VLOOKUP('Données projet'!$B$14,Paramètres!$A$1:$I$89,3,0)*VLOOKUP('Données projet'!$B$14,Paramètres!$A$1:$I$89,5,0)</f>
        <v>175.03199999999993</v>
      </c>
      <c r="DQ56" s="13">
        <f t="shared" si="43"/>
        <v>44.215103743191008</v>
      </c>
      <c r="DR56" s="20">
        <f t="shared" si="16"/>
        <v>381.85537235272426</v>
      </c>
      <c r="DS56" s="59">
        <f t="shared" si="17"/>
        <v>675.18870568605757</v>
      </c>
      <c r="DT56" s="59">
        <f ca="1">AVERAGE(OFFSET($DS$3,0,0,'Données projet'!$E$14+1,1))-AVERAGE(OFFSET($H$3,0,0,'Données projet'!$E$14+1,1))</f>
        <v>299.10536994156814</v>
      </c>
      <c r="DU56" s="59">
        <f t="shared" si="44"/>
        <v>292.57799203101769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16.376583218216908</v>
      </c>
      <c r="EB56" s="21">
        <f>EXP(-LN(2)/25)*EB55+(1-EXP(-LN(2)/25))/(LN(2)/25)*Calculateur!DW56*Calculateur!DY56*VLOOKUP('Données projet'!$B$14,Paramètres!$A$1:$I$89,3,0)*0.475*44/12</f>
        <v>12.85763903648672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29.234222254703628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8.8736263736263741</v>
      </c>
      <c r="N57" s="13">
        <f>IF('Données projet'!$A$36&gt;35,N56+M57-V56,IF(A57&lt;'Données projet'!$A$36,$K$205^A57,IF(A57='Données projet'!$A$36,'Données projet'!$B$36,N56+M57-V56)))</f>
        <v>189.56868131868137</v>
      </c>
      <c r="O57" s="13">
        <f>N57*VLOOKUP('Données projet'!$B$9,Paramètres!$A$1:$I$89,3,0)*VLOOKUP('Données projet'!$B$9,Paramètres!$A$1:$I$89,5,0)</f>
        <v>171.5217428571429</v>
      </c>
      <c r="P57" s="13">
        <f t="shared" si="33"/>
        <v>43.430666394282092</v>
      </c>
      <c r="Q57" s="20">
        <f t="shared" si="53"/>
        <v>374.37544611289854</v>
      </c>
      <c r="R57" s="59">
        <f t="shared" si="0"/>
        <v>667.7087794462318</v>
      </c>
      <c r="S57" s="59">
        <f ca="1">AVERAGE(OFFSET($R$3,0,0,'Données projet'!$E$9+1,1))-AVERAGE(OFFSET($H$3,0,0,'Données projet'!$E$9+1,1))</f>
        <v>384.05928630855732</v>
      </c>
      <c r="T57" s="59">
        <f t="shared" si="34"/>
        <v>279.93992813630513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203.78846153846155</v>
      </c>
      <c r="AG57" s="12">
        <f>VLOOKUP(A57,'Données projet'!$A$61:$I$81,9,0)</f>
        <v>10.317307692307699</v>
      </c>
      <c r="AH57" s="12">
        <f t="array" ref="AH57">INDEX(AG:AG,MIN(IF(ISNUMBER(AG57:AG253),ROW(AG57:AG253),"")))</f>
        <v>10.317307692307699</v>
      </c>
      <c r="AI57" s="13">
        <f>IF('Données projet'!$A$62&gt;35,AI56+AH57-AQ56,IF(A57&lt;'Données projet'!$A$62,$AF$205^A57,IF(A57='Données projet'!$A$62,'Données projet'!$B$62,AI56+AH57-AQ56)))</f>
        <v>203.78846153846169</v>
      </c>
      <c r="AJ57" s="13">
        <f>AI57*VLOOKUP('Données projet'!$B$10,Paramètres!$A$1:$I$89,3,0)*VLOOKUP('Données projet'!$B$10,Paramètres!$A$1:$I$89,5,0)</f>
        <v>174.85050000000015</v>
      </c>
      <c r="AK57" s="13">
        <f t="shared" si="35"/>
        <v>44.174589125143505</v>
      </c>
      <c r="AL57" s="20">
        <f t="shared" si="4"/>
        <v>381.46869689295846</v>
      </c>
      <c r="AM57" s="59">
        <f t="shared" si="5"/>
        <v>674.80203022629178</v>
      </c>
      <c r="AN57" s="59">
        <f ca="1">AVERAGE(OFFSET($AM$3,0,0,'Données projet'!$E$10+1,1))-AVERAGE(OFFSET($H$3,0,0,'Données projet'!$E$10+1,1))</f>
        <v>335.02113791949211</v>
      </c>
      <c r="AO57" s="59">
        <f t="shared" si="36"/>
        <v>222.06886429435099</v>
      </c>
      <c r="AP57" s="15">
        <f>IF(ISNA(VLOOKUP(A57,'Données projet'!$A$61:$I$81,3,0)),0,VLOOKUP(A57,'Données projet'!$A$61:$I$81,3,0))</f>
        <v>3</v>
      </c>
      <c r="AQ57" s="15">
        <f>IF(ISNA(VLOOKUP(A57,'Données projet'!$A$61:$I$81,4,0)),0,VLOOKUP(A57,'Données projet'!$A$61:$I$81,4,0))</f>
        <v>47.025641025641022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0.21200000000000002</v>
      </c>
      <c r="AT57" s="16">
        <f>IF(ISNA(VLOOKUP(A57,'Données projet'!$A$61:$I$81,7,0)),0%,VLOOKUP(A57,'Données projet'!$A$61:$I$81,7,0))</f>
        <v>0.3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9.4187143387553771</v>
      </c>
      <c r="AW57" s="21">
        <f>EXP(-LN(2)/2)*AW56+(1-EXP(-LN(2)/2))/(LN(2)/2)*AQ57*AT57*VLOOKUP('Données projet'!$B$10,Paramètres!$A$1:$I$89,3,0)*0.475*44/12</f>
        <v>14.121665606903365</v>
      </c>
      <c r="AX57" s="21">
        <f t="shared" si="6"/>
        <v>23.540379945658742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6.3942307692307701</v>
      </c>
      <c r="BD57" s="12">
        <f>IF('Données projet'!$A$88&gt;35,BD56+BC57-BL56,IF(A57&lt;'Données projet'!$A$88,$BA$205^A57,IF(A57='Données projet'!$A$88,'Données projet'!$B$88,BD56+BC57-BL56)))</f>
        <v>127.28525641025638</v>
      </c>
      <c r="BE57" s="13">
        <f>BD57*VLOOKUP('Données projet'!$B$11,Paramètres!$A$1:$I$89,3,0)*VLOOKUP('Données projet'!$B$11,Paramètres!$A$1:$I$89,5,0)</f>
        <v>123.11029999999998</v>
      </c>
      <c r="BF57" s="13">
        <f t="shared" si="37"/>
        <v>32.399341802259549</v>
      </c>
      <c r="BG57" s="20">
        <f t="shared" si="7"/>
        <v>270.8459594722687</v>
      </c>
      <c r="BH57" s="59">
        <f t="shared" si="8"/>
        <v>564.17929280560202</v>
      </c>
      <c r="BI57" s="59">
        <f ca="1">AVERAGE(OFFSET($BH$3,0,0,'Données projet'!$E$11+1,1))-AVERAGE(OFFSET($H$3,0,0,'Données projet'!$E$11+1,1))</f>
        <v>366.51581861366333</v>
      </c>
      <c r="BJ57" s="59">
        <f t="shared" si="38"/>
        <v>225.01415116995503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185.40000000000003</v>
      </c>
      <c r="BZ57" s="13">
        <f>BY57*VLOOKUP('Données projet'!$B$12,Paramètres!$A$1:$I$89,3,0)*VLOOKUP('Données projet'!$B$12,Paramètres!$A$1:$I$89,5,0)</f>
        <v>121.47408000000001</v>
      </c>
      <c r="CA57" s="13">
        <f t="shared" si="39"/>
        <v>32.018559567275666</v>
      </c>
      <c r="CB57" s="20">
        <f t="shared" si="10"/>
        <v>267.33301391300517</v>
      </c>
      <c r="CC57" s="59">
        <f t="shared" si="11"/>
        <v>560.66634724633855</v>
      </c>
      <c r="CD57" s="59">
        <f ca="1">AVERAGE(OFFSET($CC$3,0,0,'Données projet'!$E$12+1,1))-AVERAGE(OFFSET($H$3,0,0,'Données projet'!$E$12+1,1))</f>
        <v>230.58262378842818</v>
      </c>
      <c r="CE57" s="59">
        <f t="shared" si="40"/>
        <v>235.68746142880792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3.8469878544369793</v>
      </c>
      <c r="CM57" s="21">
        <f>EXP(-LN(2)/2)*CM56+(1-EXP(-LN(2)/2))/(LN(2)/2)*CG57*CJ57*VLOOKUP('Données projet'!$B$12,Paramètres!$A$1:$I$89,3,0)*0.475*44/12</f>
        <v>1.1922981823526384</v>
      </c>
      <c r="CN57" s="22">
        <f t="shared" si="12"/>
        <v>5.0392860367896173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9.5</v>
      </c>
      <c r="CT57" s="12">
        <f>IF('Données projet'!$A$140&gt;35,CT56+CS57-DB56,IF(A57&lt;'Données projet'!$A$140,$CQ$205^A57,IF(A57='Données projet'!$A$140,'Données projet'!$B$140,CT56+CS57-DB56)))</f>
        <v>240</v>
      </c>
      <c r="CU57" s="17">
        <f>CT57*VLOOKUP('Données projet'!$B$13,Paramètres!$A$1:$I$89,3,0)*VLOOKUP('Données projet'!$B$13,Paramètres!$A$1:$I$89,5,0)</f>
        <v>187.20000000000002</v>
      </c>
      <c r="CV57" s="13">
        <f t="shared" si="41"/>
        <v>46.920378730551299</v>
      </c>
      <c r="CW57" s="20">
        <f t="shared" si="13"/>
        <v>407.75965962237683</v>
      </c>
      <c r="CX57" s="59">
        <f t="shared" si="14"/>
        <v>701.09299295571009</v>
      </c>
      <c r="CY57" s="59">
        <f ca="1">AVERAGE(OFFSET($CX$3,0,0,'Données projet'!$E$13+1,1))-AVERAGE(OFFSET($H$3,0,0,'Données projet'!$E$13+1,1))</f>
        <v>288.80569134263209</v>
      </c>
      <c r="CZ57" s="59">
        <f t="shared" si="42"/>
        <v>283.48738729114024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17.544973302925285</v>
      </c>
      <c r="DG57" s="21">
        <f>EXP(-LN(2)/25)*DG56+(1-EXP(-LN(2)/25))/(LN(2)/25)*Calculateur!DB57*Calculateur!DD57*VLOOKUP('Données projet'!$B$13,Paramètres!$A$1:$I$89,3,0)*0.475*44/12</f>
        <v>21.74385564327633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39.288828946201619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</v>
      </c>
      <c r="DO57" s="12">
        <f>IF('Données projet'!$A$166&gt;35,DO56+DN57-DW56,IF(A57&lt;'Données projet'!$A$166,$DL$205^A57,IF(A57='Données projet'!$A$166,'Données projet'!$B$166,DO56+DN57-DW56)))</f>
        <v>225.99999999999989</v>
      </c>
      <c r="DP57" s="17">
        <f>DO57*VLOOKUP('Données projet'!$B$14,Paramètres!$A$1:$I$89,3,0)*VLOOKUP('Données projet'!$B$14,Paramètres!$A$1:$I$89,5,0)</f>
        <v>179.80559999999991</v>
      </c>
      <c r="DQ57" s="13">
        <f t="shared" si="43"/>
        <v>45.278933028529984</v>
      </c>
      <c r="DR57" s="20">
        <f t="shared" si="16"/>
        <v>392.02222835802286</v>
      </c>
      <c r="DS57" s="59">
        <f t="shared" si="17"/>
        <v>685.35556169135612</v>
      </c>
      <c r="DT57" s="59">
        <f ca="1">AVERAGE(OFFSET($DS$3,0,0,'Données projet'!$E$14+1,1))-AVERAGE(OFFSET($H$3,0,0,'Données projet'!$E$14+1,1))</f>
        <v>299.10536994156814</v>
      </c>
      <c r="DU57" s="59">
        <f t="shared" si="44"/>
        <v>292.57799203101769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16.055448410037133</v>
      </c>
      <c r="EB57" s="21">
        <f>EXP(-LN(2)/25)*EB56+(1-EXP(-LN(2)/25))/(LN(2)/25)*Calculateur!DW57*Calculateur!DY57*VLOOKUP('Données projet'!$B$14,Paramètres!$A$1:$I$89,3,0)*0.475*44/12</f>
        <v>12.50604622088014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28.561494630917274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198.44230769230768</v>
      </c>
      <c r="L58" s="12">
        <f>VLOOKUP(A58,'Données projet'!$A$35:$I$55,9,0)</f>
        <v>8.8736263736263741</v>
      </c>
      <c r="M58" s="12">
        <f t="array" ref="M58">INDEX(L:L,MIN(IF(ISNUMBER(L58:L254),ROW(L58:L254),"")))</f>
        <v>8.8736263736263741</v>
      </c>
      <c r="N58" s="13">
        <f>IF('Données projet'!$A$36&gt;35,N57+M58-V57,IF(A58&lt;'Données projet'!$A$36,$K$205^A58,IF(A58='Données projet'!$A$36,'Données projet'!$B$36,N57+M58-V57)))</f>
        <v>198.44230769230774</v>
      </c>
      <c r="O58" s="13">
        <f>N58*VLOOKUP('Données projet'!$B$9,Paramètres!$A$1:$I$89,3,0)*VLOOKUP('Données projet'!$B$9,Paramètres!$A$1:$I$89,5,0)</f>
        <v>179.55060000000003</v>
      </c>
      <c r="P58" s="13">
        <f t="shared" si="33"/>
        <v>45.22218840459005</v>
      </c>
      <c r="Q58" s="20">
        <f t="shared" si="53"/>
        <v>391.47927313799437</v>
      </c>
      <c r="R58" s="59">
        <f t="shared" si="0"/>
        <v>684.81260647132763</v>
      </c>
      <c r="S58" s="59">
        <f ca="1">AVERAGE(OFFSET($R$3,0,0,'Données projet'!$E$9+1,1))-AVERAGE(OFFSET($H$3,0,0,'Données projet'!$E$9+1,1))</f>
        <v>384.05928630855732</v>
      </c>
      <c r="T58" s="59">
        <f t="shared" si="34"/>
        <v>279.93992813630513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45.147435897435898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9.7393162393162402</v>
      </c>
      <c r="AI58" s="13">
        <f>IF('Données projet'!$A$62&gt;35,AI57+AH58-AQ57,IF(A58&lt;'Données projet'!$A$62,$AF$205^A58,IF(A58='Données projet'!$A$62,'Données projet'!$B$62,AI57+AH58-AQ57)))</f>
        <v>166.50213675213692</v>
      </c>
      <c r="AJ58" s="13">
        <f>AI58*VLOOKUP('Données projet'!$B$10,Paramètres!$A$1:$I$89,3,0)*VLOOKUP('Données projet'!$B$10,Paramètres!$A$1:$I$89,5,0)</f>
        <v>142.85883333333351</v>
      </c>
      <c r="AK58" s="13">
        <f t="shared" si="35"/>
        <v>36.951151575062688</v>
      </c>
      <c r="AL58" s="20">
        <f t="shared" si="4"/>
        <v>313.16905704879002</v>
      </c>
      <c r="AM58" s="59">
        <f t="shared" si="5"/>
        <v>606.50239038212339</v>
      </c>
      <c r="AN58" s="59">
        <f ca="1">AVERAGE(OFFSET($AM$3,0,0,'Données projet'!$E$10+1,1))-AVERAGE(OFFSET($H$3,0,0,'Données projet'!$E$10+1,1))</f>
        <v>335.02113791949211</v>
      </c>
      <c r="AO58" s="59">
        <f t="shared" si="36"/>
        <v>222.06886429435099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9.1611590998534513</v>
      </c>
      <c r="AW58" s="21">
        <f>EXP(-LN(2)/2)*AW57+(1-EXP(-LN(2)/2))/(LN(2)/2)*AQ58*AT58*VLOOKUP('Données projet'!$B$10,Paramètres!$A$1:$I$89,3,0)*0.475*44/12</f>
        <v>9.9855255122902129</v>
      </c>
      <c r="AX58" s="21">
        <f t="shared" si="6"/>
        <v>19.146684612143666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6.3942307692307701</v>
      </c>
      <c r="BD58" s="12">
        <f>IF('Données projet'!$A$88&gt;35,BD57+BC58-BL57,IF(A58&lt;'Données projet'!$A$88,$BA$205^A58,IF(A58='Données projet'!$A$88,'Données projet'!$B$88,BD57+BC58-BL57)))</f>
        <v>133.67948717948715</v>
      </c>
      <c r="BE58" s="13">
        <f>BD58*VLOOKUP('Données projet'!$B$11,Paramètres!$A$1:$I$89,3,0)*VLOOKUP('Données projet'!$B$11,Paramètres!$A$1:$I$89,5,0)</f>
        <v>129.29479999999998</v>
      </c>
      <c r="BF58" s="13">
        <f t="shared" si="37"/>
        <v>33.833356767688763</v>
      </c>
      <c r="BG58" s="20">
        <f t="shared" si="7"/>
        <v>284.11487303705792</v>
      </c>
      <c r="BH58" s="59">
        <f t="shared" si="8"/>
        <v>577.44820637039129</v>
      </c>
      <c r="BI58" s="59">
        <f ca="1">AVERAGE(OFFSET($BH$3,0,0,'Données projet'!$E$11+1,1))-AVERAGE(OFFSET($H$3,0,0,'Données projet'!$E$11+1,1))</f>
        <v>366.51581861366333</v>
      </c>
      <c r="BJ58" s="59">
        <f t="shared" si="38"/>
        <v>225.01415116995503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191</v>
      </c>
      <c r="BW58" s="12">
        <f>VLOOKUP(A58,'Données projet'!$A$113:$I$133,9,0)</f>
        <v>5.6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191.00000000000003</v>
      </c>
      <c r="BZ58" s="13">
        <f>BY58*VLOOKUP('Données projet'!$B$12,Paramètres!$A$1:$I$89,3,0)*VLOOKUP('Données projet'!$B$12,Paramètres!$A$1:$I$89,5,0)</f>
        <v>125.14320000000002</v>
      </c>
      <c r="CA58" s="13">
        <f t="shared" si="39"/>
        <v>32.871620642334328</v>
      </c>
      <c r="CB58" s="20">
        <f t="shared" si="10"/>
        <v>275.20914595206563</v>
      </c>
      <c r="CC58" s="59">
        <f t="shared" si="11"/>
        <v>568.54247928539894</v>
      </c>
      <c r="CD58" s="59">
        <f ca="1">AVERAGE(OFFSET($CC$3,0,0,'Données projet'!$E$12+1,1))-AVERAGE(OFFSET($H$3,0,0,'Données projet'!$E$12+1,1))</f>
        <v>230.58262378842818</v>
      </c>
      <c r="CE58" s="59">
        <f t="shared" si="40"/>
        <v>235.68746142880792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20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0.129</v>
      </c>
      <c r="CJ58" s="16">
        <f>IF(ISNA(VLOOKUP(A58,'Données projet'!$A$113:$I$133,7,0)),0%,VLOOKUP(A58,'Données projet'!$A$113:$I$133,7,0))</f>
        <v>0.3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5.6031387834444368</v>
      </c>
      <c r="CM58" s="21">
        <f>EXP(-LN(2)/2)*CM57+(1-EXP(-LN(2)/2))/(LN(2)/2)*CG58*CJ58*VLOOKUP('Données projet'!$B$12,Paramètres!$A$1:$I$89,3,0)*0.475*44/12</f>
        <v>4.5522751366346474</v>
      </c>
      <c r="CN58" s="22">
        <f t="shared" si="12"/>
        <v>10.155413920079084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9.5</v>
      </c>
      <c r="CT58" s="12">
        <f>IF('Données projet'!$A$140&gt;35,CT57+CS58-DB57,IF(A58&lt;'Données projet'!$A$140,$CQ$205^A58,IF(A58='Données projet'!$A$140,'Données projet'!$B$140,CT57+CS58-DB57)))</f>
        <v>249.5</v>
      </c>
      <c r="CU58" s="17">
        <f>CT58*VLOOKUP('Données projet'!$B$13,Paramètres!$A$1:$I$89,3,0)*VLOOKUP('Données projet'!$B$13,Paramètres!$A$1:$I$89,5,0)</f>
        <v>194.61</v>
      </c>
      <c r="CV58" s="13">
        <f t="shared" si="41"/>
        <v>48.557731991923845</v>
      </c>
      <c r="CW58" s="20">
        <f t="shared" si="13"/>
        <v>423.51713321926735</v>
      </c>
      <c r="CX58" s="59">
        <f t="shared" si="14"/>
        <v>716.85046655260066</v>
      </c>
      <c r="CY58" s="59">
        <f ca="1">AVERAGE(OFFSET($CX$3,0,0,'Données projet'!$E$13+1,1))-AVERAGE(OFFSET($H$3,0,0,'Données projet'!$E$13+1,1))</f>
        <v>288.80569134263209</v>
      </c>
      <c r="CZ58" s="59">
        <f t="shared" si="42"/>
        <v>283.48738729114024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17.200927077831963</v>
      </c>
      <c r="DG58" s="21">
        <f>EXP(-LN(2)/25)*DG57+(1-EXP(-LN(2)/25))/(LN(2)/25)*Calculateur!DB58*Calculateur!DD58*VLOOKUP('Données projet'!$B$13,Paramètres!$A$1:$I$89,3,0)*0.475*44/12</f>
        <v>21.149268767251268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38.350195845083235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232</v>
      </c>
      <c r="DM58" s="12">
        <f>VLOOKUP(A58,'Données projet'!$A$165:$I$185,9,0)</f>
        <v>6</v>
      </c>
      <c r="DN58" s="12">
        <f t="array" ref="DN58">INDEX(DM:DM,MIN(IF(ISNUMBER(DM58:DM254),ROW(DM58:DM254),"")))</f>
        <v>6</v>
      </c>
      <c r="DO58" s="12">
        <f>IF('Données projet'!$A$166&gt;35,DO57+DN58-DW57,IF(A58&lt;'Données projet'!$A$166,$DL$205^A58,IF(A58='Données projet'!$A$166,'Données projet'!$B$166,DO57+DN58-DW57)))</f>
        <v>231.99999999999989</v>
      </c>
      <c r="DP58" s="17">
        <f>DO58*VLOOKUP('Données projet'!$B$14,Paramètres!$A$1:$I$89,3,0)*VLOOKUP('Données projet'!$B$14,Paramètres!$A$1:$I$89,5,0)</f>
        <v>184.57919999999993</v>
      </c>
      <c r="DQ58" s="13">
        <f t="shared" si="43"/>
        <v>46.339479465836618</v>
      </c>
      <c r="DR58" s="20">
        <f t="shared" si="16"/>
        <v>402.18336673633195</v>
      </c>
      <c r="DS58" s="59">
        <f t="shared" si="17"/>
        <v>695.51670006966526</v>
      </c>
      <c r="DT58" s="59">
        <f ca="1">AVERAGE(OFFSET($DS$3,0,0,'Données projet'!$E$14+1,1))-AVERAGE(OFFSET($H$3,0,0,'Données projet'!$E$14+1,1))</f>
        <v>299.10536994156814</v>
      </c>
      <c r="DU58" s="59">
        <f t="shared" si="44"/>
        <v>292.57799203101769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13</v>
      </c>
      <c r="DX58" s="16">
        <f>IF(ISNA(VLOOKUP(A58,'Données projet'!$A$165:$I$185,5,0)),0%,VLOOKUP(A58,'Données projet'!$A$165:$I$185,5,0)*VLOOKUP('Données projet'!$B$14,Paramètres!$A$1:$I$89,7,0))</f>
        <v>0.40810000000000002</v>
      </c>
      <c r="DY58" s="16">
        <f>IF(ISNA(VLOOKUP(A58,'Données projet'!$A$165:$I$185,6,0)),0%,VLOOKUP(A58,'Données projet'!$A$165:$I$185,6,0)*VLOOKUP('Données projet'!$B$14,Paramètres!$A$1:$I$89,7,0))</f>
        <v>7.9500000000000001E-2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20.406687114381842</v>
      </c>
      <c r="EB58" s="21">
        <f>EXP(-LN(2)/25)*EB57+(1-EXP(-LN(2)/25))/(LN(2)/25)*Calculateur!DW58*Calculateur!DY58*VLOOKUP('Données projet'!$B$14,Paramètres!$A$1:$I$89,3,0)*0.475*44/12</f>
        <v>13.069464638658904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33.476151753040746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8.374198717948719</v>
      </c>
      <c r="N59" s="13">
        <f>IF('Données projet'!$A$36&gt;35,N58+M59-V58,IF(A59&lt;'Données projet'!$A$36,$K$205^A59,IF(A59='Données projet'!$A$36,'Données projet'!$B$36,N58+M59-V58)))</f>
        <v>161.66907051282055</v>
      </c>
      <c r="O59" s="13">
        <f>N59*VLOOKUP('Données projet'!$B$9,Paramètres!$A$1:$I$89,3,0)*VLOOKUP('Données projet'!$B$9,Paramètres!$A$1:$I$89,5,0)</f>
        <v>146.27817500000003</v>
      </c>
      <c r="P59" s="13">
        <f t="shared" si="33"/>
        <v>37.731554716297467</v>
      </c>
      <c r="Q59" s="20">
        <f t="shared" si="53"/>
        <v>320.48361258921813</v>
      </c>
      <c r="R59" s="59">
        <f t="shared" si="0"/>
        <v>613.81694592255144</v>
      </c>
      <c r="S59" s="59">
        <f ca="1">AVERAGE(OFFSET($R$3,0,0,'Données projet'!$E$9+1,1))-AVERAGE(OFFSET($H$3,0,0,'Données projet'!$E$9+1,1))</f>
        <v>384.05928630855732</v>
      </c>
      <c r="T59" s="59">
        <f t="shared" si="34"/>
        <v>279.93992813630513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9.7393162393162402</v>
      </c>
      <c r="AI59" s="13">
        <f>IF('Données projet'!$A$62&gt;35,AI58+AH59-AQ58,IF(A59&lt;'Données projet'!$A$62,$AF$205^A59,IF(A59='Données projet'!$A$62,'Données projet'!$B$62,AI58+AH59-AQ58)))</f>
        <v>176.24145299145317</v>
      </c>
      <c r="AJ59" s="13">
        <f>AI59*VLOOKUP('Données projet'!$B$10,Paramètres!$A$1:$I$89,3,0)*VLOOKUP('Données projet'!$B$10,Paramètres!$A$1:$I$89,5,0)</f>
        <v>151.21516666666685</v>
      </c>
      <c r="AK59" s="13">
        <f t="shared" si="35"/>
        <v>38.854606796200571</v>
      </c>
      <c r="AL59" s="20">
        <f t="shared" si="4"/>
        <v>331.03818878116073</v>
      </c>
      <c r="AM59" s="59">
        <f t="shared" si="5"/>
        <v>624.37152211449404</v>
      </c>
      <c r="AN59" s="59">
        <f ca="1">AVERAGE(OFFSET($AM$3,0,0,'Données projet'!$E$10+1,1))-AVERAGE(OFFSET($H$3,0,0,'Données projet'!$E$10+1,1))</f>
        <v>335.02113791949211</v>
      </c>
      <c r="AO59" s="59">
        <f t="shared" si="36"/>
        <v>222.06886429435099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8.9106467225035395</v>
      </c>
      <c r="AW59" s="21">
        <f>EXP(-LN(2)/2)*AW58+(1-EXP(-LN(2)/2))/(LN(2)/2)*AQ59*AT59*VLOOKUP('Données projet'!$B$10,Paramètres!$A$1:$I$89,3,0)*0.475*44/12</f>
        <v>7.0608328034516843</v>
      </c>
      <c r="AX59" s="21">
        <f t="shared" si="6"/>
        <v>15.971479525955225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6.3942307692307701</v>
      </c>
      <c r="BD59" s="12">
        <f>IF('Données projet'!$A$88&gt;35,BD58+BC59-BL58,IF(A59&lt;'Données projet'!$A$88,$BA$205^A59,IF(A59='Données projet'!$A$88,'Données projet'!$B$88,BD58+BC59-BL58)))</f>
        <v>140.07371794871793</v>
      </c>
      <c r="BE59" s="13">
        <f>BD59*VLOOKUP('Données projet'!$B$11,Paramètres!$A$1:$I$89,3,0)*VLOOKUP('Données projet'!$B$11,Paramètres!$A$1:$I$89,5,0)</f>
        <v>135.47929999999997</v>
      </c>
      <c r="BF59" s="13">
        <f t="shared" si="37"/>
        <v>35.259406533977533</v>
      </c>
      <c r="BG59" s="20">
        <f t="shared" si="7"/>
        <v>297.36991388001081</v>
      </c>
      <c r="BH59" s="59">
        <f t="shared" si="8"/>
        <v>590.70324721334418</v>
      </c>
      <c r="BI59" s="59">
        <f ca="1">AVERAGE(OFFSET($BH$3,0,0,'Données projet'!$E$11+1,1))-AVERAGE(OFFSET($H$3,0,0,'Données projet'!$E$11+1,1))</f>
        <v>366.51581861366333</v>
      </c>
      <c r="BJ59" s="59">
        <f t="shared" si="38"/>
        <v>225.01415116995503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</v>
      </c>
      <c r="BY59" s="12">
        <f>IF('Données projet'!$A$114&gt;35,BY58+BX59-CG58,IF(A59&lt;'Données projet'!$A$114,$BV$205^A59,IF(A59='Données projet'!$A$114,'Données projet'!$B$114,BY58+BX59-CG58)))</f>
        <v>176.00000000000003</v>
      </c>
      <c r="BZ59" s="13">
        <f>BY59*VLOOKUP('Données projet'!$B$12,Paramètres!$A$1:$I$89,3,0)*VLOOKUP('Données projet'!$B$12,Paramètres!$A$1:$I$89,5,0)</f>
        <v>115.31520000000003</v>
      </c>
      <c r="CA59" s="13">
        <f t="shared" si="39"/>
        <v>30.579827148797317</v>
      </c>
      <c r="CB59" s="20">
        <f t="shared" si="10"/>
        <v>254.10050561748869</v>
      </c>
      <c r="CC59" s="59">
        <f t="shared" si="11"/>
        <v>547.43383895082206</v>
      </c>
      <c r="CD59" s="59">
        <f ca="1">AVERAGE(OFFSET($CC$3,0,0,'Données projet'!$E$12+1,1))-AVERAGE(OFFSET($H$3,0,0,'Données projet'!$E$12+1,1))</f>
        <v>230.58262378842818</v>
      </c>
      <c r="CE59" s="59">
        <f t="shared" si="40"/>
        <v>235.68746142880792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5.4499206587548858</v>
      </c>
      <c r="CM59" s="21">
        <f>EXP(-LN(2)/2)*CM58+(1-EXP(-LN(2)/2))/(LN(2)/2)*CG59*CJ59*VLOOKUP('Données projet'!$B$12,Paramètres!$A$1:$I$89,3,0)*0.475*44/12</f>
        <v>3.2189446189412765</v>
      </c>
      <c r="CN59" s="22">
        <f t="shared" si="12"/>
        <v>8.6688652776961632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9.5</v>
      </c>
      <c r="CT59" s="12">
        <f>IF('Données projet'!$A$140&gt;35,CT58+CS59-DB58,IF(A59&lt;'Données projet'!$A$140,$CQ$205^A59,IF(A59='Données projet'!$A$140,'Données projet'!$B$140,CT58+CS59-DB58)))</f>
        <v>259</v>
      </c>
      <c r="CU59" s="17">
        <f>CT59*VLOOKUP('Données projet'!$B$13,Paramètres!$A$1:$I$89,3,0)*VLOOKUP('Données projet'!$B$13,Paramètres!$A$1:$I$89,5,0)</f>
        <v>202.02</v>
      </c>
      <c r="CV59" s="13">
        <f t="shared" si="41"/>
        <v>50.187842607873506</v>
      </c>
      <c r="CW59" s="20">
        <f t="shared" si="13"/>
        <v>439.26199254204636</v>
      </c>
      <c r="CX59" s="59">
        <f t="shared" si="14"/>
        <v>732.59532587537967</v>
      </c>
      <c r="CY59" s="59">
        <f ca="1">AVERAGE(OFFSET($CX$3,0,0,'Données projet'!$E$13+1,1))-AVERAGE(OFFSET($H$3,0,0,'Données projet'!$E$13+1,1))</f>
        <v>288.80569134263209</v>
      </c>
      <c r="CZ59" s="59">
        <f t="shared" si="42"/>
        <v>283.48738729114024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16.863627389365245</v>
      </c>
      <c r="DG59" s="21">
        <f>EXP(-LN(2)/25)*DG58+(1-EXP(-LN(2)/25))/(LN(2)/25)*Calculateur!DB59*Calculateur!DD59*VLOOKUP('Données projet'!$B$13,Paramètres!$A$1:$I$89,3,0)*0.475*44/12</f>
        <v>20.570940900619075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37.43456828998432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5.2</v>
      </c>
      <c r="DO59" s="12">
        <f>IF('Données projet'!$A$166&gt;35,DO58+DN59-DW58,IF(A59&lt;'Données projet'!$A$166,$DL$205^A59,IF(A59='Données projet'!$A$166,'Données projet'!$B$166,DO58+DN59-DW58)))</f>
        <v>224.19999999999987</v>
      </c>
      <c r="DP59" s="17">
        <f>DO59*VLOOKUP('Données projet'!$B$14,Paramètres!$A$1:$I$89,3,0)*VLOOKUP('Données projet'!$B$14,Paramètres!$A$1:$I$89,5,0)</f>
        <v>178.37351999999993</v>
      </c>
      <c r="DQ59" s="13">
        <f t="shared" si="43"/>
        <v>44.960133388294842</v>
      </c>
      <c r="DR59" s="20">
        <f t="shared" si="16"/>
        <v>388.97277965128006</v>
      </c>
      <c r="DS59" s="59">
        <f t="shared" si="17"/>
        <v>682.30611298461338</v>
      </c>
      <c r="DT59" s="59">
        <f ca="1">AVERAGE(OFFSET($DS$3,0,0,'Données projet'!$E$14+1,1))-AVERAGE(OFFSET($H$3,0,0,'Données projet'!$E$14+1,1))</f>
        <v>299.10536994156814</v>
      </c>
      <c r="DU59" s="59">
        <f t="shared" si="44"/>
        <v>292.57799203101769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20.006524426918929</v>
      </c>
      <c r="EB59" s="21">
        <f>EXP(-LN(2)/25)*EB58+(1-EXP(-LN(2)/25))/(LN(2)/25)*Calculateur!DW59*Calculateur!DY59*VLOOKUP('Données projet'!$B$14,Paramètres!$A$1:$I$89,3,0)*0.475*44/12</f>
        <v>12.712079440821501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32.718603867740427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8.374198717948719</v>
      </c>
      <c r="N60" s="13">
        <f>IF('Données projet'!$A$36&gt;35,N59+M60-V59,IF(A60&lt;'Données projet'!$A$36,$K$205^A60,IF(A60='Données projet'!$A$36,'Données projet'!$B$36,N59+M60-V59)))</f>
        <v>170.04326923076928</v>
      </c>
      <c r="O60" s="13">
        <f>N60*VLOOKUP('Données projet'!$B$9,Paramètres!$A$1:$I$89,3,0)*VLOOKUP('Données projet'!$B$9,Paramètres!$A$1:$I$89,5,0)</f>
        <v>153.85515000000004</v>
      </c>
      <c r="P60" s="13">
        <f t="shared" si="33"/>
        <v>39.453384193994481</v>
      </c>
      <c r="Q60" s="20">
        <f t="shared" si="53"/>
        <v>336.67903038787375</v>
      </c>
      <c r="R60" s="59">
        <f t="shared" si="0"/>
        <v>630.01236372120707</v>
      </c>
      <c r="S60" s="59">
        <f ca="1">AVERAGE(OFFSET($R$3,0,0,'Données projet'!$E$9+1,1))-AVERAGE(OFFSET($H$3,0,0,'Données projet'!$E$9+1,1))</f>
        <v>384.05928630855732</v>
      </c>
      <c r="T60" s="59">
        <f t="shared" si="34"/>
        <v>279.93992813630513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9.7393162393162402</v>
      </c>
      <c r="AI60" s="13">
        <f>IF('Données projet'!$A$62&gt;35,AI59+AH60-AQ59,IF(A60&lt;'Données projet'!$A$62,$AF$205^A60,IF(A60='Données projet'!$A$62,'Données projet'!$B$62,AI59+AH60-AQ59)))</f>
        <v>185.98076923076943</v>
      </c>
      <c r="AJ60" s="13">
        <f>AI60*VLOOKUP('Données projet'!$B$10,Paramètres!$A$1:$I$89,3,0)*VLOOKUP('Données projet'!$B$10,Paramètres!$A$1:$I$89,5,0)</f>
        <v>159.57150000000019</v>
      </c>
      <c r="AK60" s="13">
        <f t="shared" si="35"/>
        <v>40.745850956139201</v>
      </c>
      <c r="AL60" s="20">
        <f t="shared" si="4"/>
        <v>348.88605291527614</v>
      </c>
      <c r="AM60" s="59">
        <f t="shared" si="5"/>
        <v>642.21938624860945</v>
      </c>
      <c r="AN60" s="59">
        <f ca="1">AVERAGE(OFFSET($AM$3,0,0,'Données projet'!$E$10+1,1))-AVERAGE(OFFSET($H$3,0,0,'Données projet'!$E$10+1,1))</f>
        <v>335.02113791949211</v>
      </c>
      <c r="AO60" s="59">
        <f t="shared" si="36"/>
        <v>222.06886429435099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8.6669846192861346</v>
      </c>
      <c r="AW60" s="21">
        <f>EXP(-LN(2)/2)*AW59+(1-EXP(-LN(2)/2))/(LN(2)/2)*AQ60*AT60*VLOOKUP('Données projet'!$B$10,Paramètres!$A$1:$I$89,3,0)*0.475*44/12</f>
        <v>4.9927627561451073</v>
      </c>
      <c r="AX60" s="21">
        <f t="shared" si="6"/>
        <v>13.659747375431241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6.3942307692307701</v>
      </c>
      <c r="BD60" s="12">
        <f>IF('Données projet'!$A$88&gt;35,BD59+BC60-BL59,IF(A60&lt;'Données projet'!$A$88,$BA$205^A60,IF(A60='Données projet'!$A$88,'Données projet'!$B$88,BD59+BC60-BL59)))</f>
        <v>146.4679487179487</v>
      </c>
      <c r="BE60" s="13">
        <f>BD60*VLOOKUP('Données projet'!$B$11,Paramètres!$A$1:$I$89,3,0)*VLOOKUP('Données projet'!$B$11,Paramètres!$A$1:$I$89,5,0)</f>
        <v>141.66379999999998</v>
      </c>
      <c r="BF60" s="13">
        <f t="shared" si="37"/>
        <v>36.677896239296679</v>
      </c>
      <c r="BG60" s="20">
        <f t="shared" si="7"/>
        <v>310.61178761677502</v>
      </c>
      <c r="BH60" s="59">
        <f t="shared" si="8"/>
        <v>603.94512095010828</v>
      </c>
      <c r="BI60" s="59">
        <f ca="1">AVERAGE(OFFSET($BH$3,0,0,'Données projet'!$E$11+1,1))-AVERAGE(OFFSET($H$3,0,0,'Données projet'!$E$11+1,1))</f>
        <v>366.51581861366333</v>
      </c>
      <c r="BJ60" s="59">
        <f t="shared" si="38"/>
        <v>225.01415116995503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</v>
      </c>
      <c r="BY60" s="12">
        <f>IF('Données projet'!$A$114&gt;35,BY59+BX60-CG59,IF(A60&lt;'Données projet'!$A$114,$BV$205^A60,IF(A60='Données projet'!$A$114,'Données projet'!$B$114,BY59+BX60-CG59)))</f>
        <v>181.00000000000003</v>
      </c>
      <c r="BZ60" s="13">
        <f>BY60*VLOOKUP('Données projet'!$B$12,Paramètres!$A$1:$I$89,3,0)*VLOOKUP('Données projet'!$B$12,Paramètres!$A$1:$I$89,5,0)</f>
        <v>118.59120000000001</v>
      </c>
      <c r="CA60" s="13">
        <f t="shared" si="39"/>
        <v>31.346194334434067</v>
      </c>
      <c r="CB60" s="20">
        <f t="shared" si="10"/>
        <v>261.14096179913935</v>
      </c>
      <c r="CC60" s="59">
        <f t="shared" si="11"/>
        <v>554.47429513247266</v>
      </c>
      <c r="CD60" s="59">
        <f ca="1">AVERAGE(OFFSET($CC$3,0,0,'Données projet'!$E$12+1,1))-AVERAGE(OFFSET($H$3,0,0,'Données projet'!$E$12+1,1))</f>
        <v>230.58262378842818</v>
      </c>
      <c r="CE60" s="59">
        <f t="shared" si="40"/>
        <v>235.68746142880792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5.300892291742362</v>
      </c>
      <c r="CM60" s="21">
        <f>EXP(-LN(2)/2)*CM59+(1-EXP(-LN(2)/2))/(LN(2)/2)*CG60*CJ60*VLOOKUP('Données projet'!$B$12,Paramètres!$A$1:$I$89,3,0)*0.475*44/12</f>
        <v>2.2761375683173242</v>
      </c>
      <c r="CN60" s="22">
        <f t="shared" si="12"/>
        <v>7.5770298600596862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9.5</v>
      </c>
      <c r="CT60" s="12">
        <f>IF('Données projet'!$A$140&gt;35,CT59+CS60-DB59,IF(A60&lt;'Données projet'!$A$140,$CQ$205^A60,IF(A60='Données projet'!$A$140,'Données projet'!$B$140,CT59+CS60-DB59)))</f>
        <v>268.5</v>
      </c>
      <c r="CU60" s="17">
        <f>CT60*VLOOKUP('Données projet'!$B$13,Paramètres!$A$1:$I$89,3,0)*VLOOKUP('Données projet'!$B$13,Paramètres!$A$1:$I$89,5,0)</f>
        <v>209.43</v>
      </c>
      <c r="CV60" s="13">
        <f t="shared" si="41"/>
        <v>51.811006660589165</v>
      </c>
      <c r="CW60" s="20">
        <f t="shared" si="13"/>
        <v>454.99475326719272</v>
      </c>
      <c r="CX60" s="59">
        <f t="shared" si="14"/>
        <v>748.32808660052603</v>
      </c>
      <c r="CY60" s="59">
        <f ca="1">AVERAGE(OFFSET($CX$3,0,0,'Données projet'!$E$13+1,1))-AVERAGE(OFFSET($H$3,0,0,'Données projet'!$E$13+1,1))</f>
        <v>288.80569134263209</v>
      </c>
      <c r="CZ60" s="59">
        <f t="shared" si="42"/>
        <v>283.48738729114024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16.532941942056862</v>
      </c>
      <c r="DG60" s="21">
        <f>EXP(-LN(2)/25)*DG59+(1-EXP(-LN(2)/25))/(LN(2)/25)*Calculateur!DB60*Calculateur!DD60*VLOOKUP('Données projet'!$B$13,Paramètres!$A$1:$I$89,3,0)*0.475*44/12</f>
        <v>20.008427439912879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36.541369381969744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5.2</v>
      </c>
      <c r="DO60" s="12">
        <f>IF('Données projet'!$A$166&gt;35,DO59+DN60-DW59,IF(A60&lt;'Données projet'!$A$166,$DL$205^A60,IF(A60='Données projet'!$A$166,'Données projet'!$B$166,DO59+DN60-DW59)))</f>
        <v>229.39999999999986</v>
      </c>
      <c r="DP60" s="17">
        <f>DO60*VLOOKUP('Données projet'!$B$14,Paramètres!$A$1:$I$89,3,0)*VLOOKUP('Données projet'!$B$14,Paramètres!$A$1:$I$89,5,0)</f>
        <v>182.51063999999988</v>
      </c>
      <c r="DQ60" s="13">
        <f t="shared" si="43"/>
        <v>45.880306213791371</v>
      </c>
      <c r="DR60" s="20">
        <f t="shared" si="16"/>
        <v>397.78089798901971</v>
      </c>
      <c r="DS60" s="59">
        <f t="shared" si="17"/>
        <v>691.11423132235302</v>
      </c>
      <c r="DT60" s="59">
        <f ca="1">AVERAGE(OFFSET($DS$3,0,0,'Données projet'!$E$14+1,1))-AVERAGE(OFFSET($H$3,0,0,'Données projet'!$E$14+1,1))</f>
        <v>299.10536994156814</v>
      </c>
      <c r="DU60" s="59">
        <f t="shared" si="44"/>
        <v>292.57799203101769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19.614208685682026</v>
      </c>
      <c r="EB60" s="21">
        <f>EXP(-LN(2)/25)*EB59+(1-EXP(-LN(2)/25))/(LN(2)/25)*Calculateur!DW60*Calculateur!DY60*VLOOKUP('Données projet'!$B$14,Paramètres!$A$1:$I$89,3,0)*0.475*44/12</f>
        <v>12.364466960013033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31.978675645695059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8.374198717948719</v>
      </c>
      <c r="N61" s="13">
        <f>IF('Données projet'!$A$36&gt;35,N60+M61-V60,IF(A61&lt;'Données projet'!$A$36,$K$205^A61,IF(A61='Données projet'!$A$36,'Données projet'!$B$36,N60+M61-V60)))</f>
        <v>178.41746794871801</v>
      </c>
      <c r="O61" s="13">
        <f>N61*VLOOKUP('Données projet'!$B$9,Paramètres!$A$1:$I$89,3,0)*VLOOKUP('Données projet'!$B$9,Paramètres!$A$1:$I$89,5,0)</f>
        <v>161.43212500000007</v>
      </c>
      <c r="P61" s="13">
        <f t="shared" si="33"/>
        <v>41.16536748337429</v>
      </c>
      <c r="Q61" s="20">
        <f t="shared" si="53"/>
        <v>352.85729940854367</v>
      </c>
      <c r="R61" s="59">
        <f t="shared" si="0"/>
        <v>646.19063274187693</v>
      </c>
      <c r="S61" s="59">
        <f ca="1">AVERAGE(OFFSET($R$3,0,0,'Données projet'!$E$9+1,1))-AVERAGE(OFFSET($H$3,0,0,'Données projet'!$E$9+1,1))</f>
        <v>384.05928630855732</v>
      </c>
      <c r="T61" s="59">
        <f t="shared" si="34"/>
        <v>279.93992813630513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9.7393162393162402</v>
      </c>
      <c r="AI61" s="13">
        <f>IF('Données projet'!$A$62&gt;35,AI60+AH61-AQ60,IF(A61&lt;'Données projet'!$A$62,$AF$205^A61,IF(A61='Données projet'!$A$62,'Données projet'!$B$62,AI60+AH61-AQ60)))</f>
        <v>195.72008547008568</v>
      </c>
      <c r="AJ61" s="13">
        <f>AI61*VLOOKUP('Données projet'!$B$10,Paramètres!$A$1:$I$89,3,0)*VLOOKUP('Données projet'!$B$10,Paramètres!$A$1:$I$89,5,0)</f>
        <v>167.92783333333352</v>
      </c>
      <c r="AK61" s="13">
        <f t="shared" si="35"/>
        <v>42.625596445100975</v>
      </c>
      <c r="AL61" s="20">
        <f t="shared" si="4"/>
        <v>366.71389019744009</v>
      </c>
      <c r="AM61" s="59">
        <f t="shared" si="5"/>
        <v>660.04722353077341</v>
      </c>
      <c r="AN61" s="59">
        <f ca="1">AVERAGE(OFFSET($AM$3,0,0,'Données projet'!$E$10+1,1))-AVERAGE(OFFSET($H$3,0,0,'Données projet'!$E$10+1,1))</f>
        <v>335.02113791949211</v>
      </c>
      <c r="AO61" s="59">
        <f t="shared" si="36"/>
        <v>222.06886429435099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8.4299854690948433</v>
      </c>
      <c r="AW61" s="21">
        <f>EXP(-LN(2)/2)*AW60+(1-EXP(-LN(2)/2))/(LN(2)/2)*AQ61*AT61*VLOOKUP('Données projet'!$B$10,Paramètres!$A$1:$I$89,3,0)*0.475*44/12</f>
        <v>3.5304164017258426</v>
      </c>
      <c r="AX61" s="21">
        <f t="shared" si="6"/>
        <v>11.960401870820686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6.3942307692307701</v>
      </c>
      <c r="BD61" s="12">
        <f>IF('Données projet'!$A$88&gt;35,BD60+BC61-BL60,IF(A61&lt;'Données projet'!$A$88,$BA$205^A61,IF(A61='Données projet'!$A$88,'Données projet'!$B$88,BD60+BC61-BL60)))</f>
        <v>152.86217948717947</v>
      </c>
      <c r="BE61" s="13">
        <f>BD61*VLOOKUP('Données projet'!$B$11,Paramètres!$A$1:$I$89,3,0)*VLOOKUP('Données projet'!$B$11,Paramètres!$A$1:$I$89,5,0)</f>
        <v>147.84829999999999</v>
      </c>
      <c r="BF61" s="13">
        <f t="shared" si="37"/>
        <v>38.08919364795495</v>
      </c>
      <c r="BG61" s="20">
        <f t="shared" si="7"/>
        <v>323.84113477018821</v>
      </c>
      <c r="BH61" s="59">
        <f t="shared" si="8"/>
        <v>617.17446810352158</v>
      </c>
      <c r="BI61" s="59">
        <f ca="1">AVERAGE(OFFSET($BH$3,0,0,'Données projet'!$E$11+1,1))-AVERAGE(OFFSET($H$3,0,0,'Données projet'!$E$11+1,1))</f>
        <v>366.51581861366333</v>
      </c>
      <c r="BJ61" s="59">
        <f t="shared" si="38"/>
        <v>225.01415116995503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</v>
      </c>
      <c r="BY61" s="12">
        <f>IF('Données projet'!$A$114&gt;35,BY60+BX61-CG60,IF(A61&lt;'Données projet'!$A$114,$BV$205^A61,IF(A61='Données projet'!$A$114,'Données projet'!$B$114,BY60+BX61-CG60)))</f>
        <v>186.00000000000003</v>
      </c>
      <c r="BZ61" s="13">
        <f>BY61*VLOOKUP('Données projet'!$B$12,Paramètres!$A$1:$I$89,3,0)*VLOOKUP('Données projet'!$B$12,Paramètres!$A$1:$I$89,5,0)</f>
        <v>121.86720000000001</v>
      </c>
      <c r="CA61" s="13">
        <f t="shared" si="39"/>
        <v>32.110100916567376</v>
      </c>
      <c r="CB61" s="20">
        <f t="shared" si="10"/>
        <v>268.17713242968824</v>
      </c>
      <c r="CC61" s="59">
        <f t="shared" si="11"/>
        <v>561.51046576302156</v>
      </c>
      <c r="CD61" s="59">
        <f ca="1">AVERAGE(OFFSET($CC$3,0,0,'Données projet'!$E$12+1,1))-AVERAGE(OFFSET($H$3,0,0,'Données projet'!$E$12+1,1))</f>
        <v>230.58262378842818</v>
      </c>
      <c r="CE61" s="59">
        <f t="shared" si="40"/>
        <v>235.68746142880792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5.1559391132628569</v>
      </c>
      <c r="CM61" s="21">
        <f>EXP(-LN(2)/2)*CM60+(1-EXP(-LN(2)/2))/(LN(2)/2)*CG61*CJ61*VLOOKUP('Données projet'!$B$12,Paramètres!$A$1:$I$89,3,0)*0.475*44/12</f>
        <v>1.6094723094706387</v>
      </c>
      <c r="CN61" s="22">
        <f t="shared" si="12"/>
        <v>6.7654114227334956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9.5</v>
      </c>
      <c r="CT61" s="12">
        <f>IF('Données projet'!$A$140&gt;35,CT60+CS61-DB60,IF(A61&lt;'Données projet'!$A$140,$CQ$205^A61,IF(A61='Données projet'!$A$140,'Données projet'!$B$140,CT60+CS61-DB60)))</f>
        <v>278</v>
      </c>
      <c r="CU61" s="17">
        <f>CT61*VLOOKUP('Données projet'!$B$13,Paramètres!$A$1:$I$89,3,0)*VLOOKUP('Données projet'!$B$13,Paramètres!$A$1:$I$89,5,0)</f>
        <v>216.84</v>
      </c>
      <c r="CV61" s="13">
        <f t="shared" si="41"/>
        <v>53.427498092567944</v>
      </c>
      <c r="CW61" s="20">
        <f t="shared" si="13"/>
        <v>470.71589251122253</v>
      </c>
      <c r="CX61" s="59">
        <f t="shared" si="14"/>
        <v>764.04922584455585</v>
      </c>
      <c r="CY61" s="59">
        <f ca="1">AVERAGE(OFFSET($CX$3,0,0,'Données projet'!$E$13+1,1))-AVERAGE(OFFSET($H$3,0,0,'Données projet'!$E$13+1,1))</f>
        <v>288.80569134263209</v>
      </c>
      <c r="CZ61" s="59">
        <f t="shared" si="42"/>
        <v>283.48738729114024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16.208741034671988</v>
      </c>
      <c r="DG61" s="21">
        <f>EXP(-LN(2)/25)*DG60+(1-EXP(-LN(2)/25))/(LN(2)/25)*Calculateur!DB61*Calculateur!DD61*VLOOKUP('Données projet'!$B$13,Paramètres!$A$1:$I$89,3,0)*0.475*44/12</f>
        <v>19.461295939370991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35.670036974042979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5.2</v>
      </c>
      <c r="DO61" s="12">
        <f>IF('Données projet'!$A$166&gt;35,DO60+DN61-DW60,IF(A61&lt;'Données projet'!$A$166,$DL$205^A61,IF(A61='Données projet'!$A$166,'Données projet'!$B$166,DO60+DN61-DW60)))</f>
        <v>234.59999999999985</v>
      </c>
      <c r="DP61" s="17">
        <f>DO61*VLOOKUP('Données projet'!$B$14,Paramètres!$A$1:$I$89,3,0)*VLOOKUP('Données projet'!$B$14,Paramètres!$A$1:$I$89,5,0)</f>
        <v>186.64775999999989</v>
      </c>
      <c r="DQ61" s="13">
        <f t="shared" si="43"/>
        <v>46.79805411155214</v>
      </c>
      <c r="DR61" s="20">
        <f t="shared" si="16"/>
        <v>406.58479291095313</v>
      </c>
      <c r="DS61" s="59">
        <f t="shared" si="17"/>
        <v>699.91812624428644</v>
      </c>
      <c r="DT61" s="59">
        <f ca="1">AVERAGE(OFFSET($DS$3,0,0,'Données projet'!$E$14+1,1))-AVERAGE(OFFSET($H$3,0,0,'Données projet'!$E$14+1,1))</f>
        <v>299.10536994156814</v>
      </c>
      <c r="DU61" s="59">
        <f t="shared" si="44"/>
        <v>292.57799203101769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19.229586016841804</v>
      </c>
      <c r="EB61" s="21">
        <f>EXP(-LN(2)/25)*EB60+(1-EXP(-LN(2)/25))/(LN(2)/25)*Calculateur!DW61*Calculateur!DY61*VLOOKUP('Données projet'!$B$14,Paramètres!$A$1:$I$89,3,0)*0.475*44/12</f>
        <v>12.026359960772419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31.255945977614225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8.374198717948719</v>
      </c>
      <c r="N62" s="13">
        <f>IF('Données projet'!$A$36&gt;35,N61+M62-V61,IF(A62&lt;'Données projet'!$A$36,$K$205^A62,IF(A62='Données projet'!$A$36,'Données projet'!$B$36,N61+M62-V61)))</f>
        <v>186.79166666666674</v>
      </c>
      <c r="O62" s="13">
        <f>N62*VLOOKUP('Données projet'!$B$9,Paramètres!$A$1:$I$89,3,0)*VLOOKUP('Données projet'!$B$9,Paramètres!$A$1:$I$89,5,0)</f>
        <v>169.00910000000005</v>
      </c>
      <c r="P62" s="13">
        <f t="shared" si="33"/>
        <v>42.868019497909927</v>
      </c>
      <c r="Q62" s="20">
        <f t="shared" si="53"/>
        <v>369.01931645885981</v>
      </c>
      <c r="R62" s="59">
        <f t="shared" si="0"/>
        <v>662.35264979219312</v>
      </c>
      <c r="S62" s="59">
        <f ca="1">AVERAGE(OFFSET($R$3,0,0,'Données projet'!$E$9+1,1))-AVERAGE(OFFSET($H$3,0,0,'Données projet'!$E$9+1,1))</f>
        <v>384.05928630855732</v>
      </c>
      <c r="T62" s="59">
        <f t="shared" si="34"/>
        <v>279.93992813630513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9.7393162393162402</v>
      </c>
      <c r="AI62" s="13">
        <f>IF('Données projet'!$A$62&gt;35,AI61+AH62-AQ61,IF(A62&lt;'Données projet'!$A$62,$AF$205^A62,IF(A62='Données projet'!$A$62,'Données projet'!$B$62,AI61+AH62-AQ61)))</f>
        <v>205.45940170940193</v>
      </c>
      <c r="AJ62" s="13">
        <f>AI62*VLOOKUP('Données projet'!$B$10,Paramètres!$A$1:$I$89,3,0)*VLOOKUP('Données projet'!$B$10,Paramètres!$A$1:$I$89,5,0)</f>
        <v>176.28416666666689</v>
      </c>
      <c r="AK62" s="13">
        <f t="shared" si="35"/>
        <v>44.494480749010634</v>
      </c>
      <c r="AL62" s="20">
        <f t="shared" si="4"/>
        <v>384.52281091563833</v>
      </c>
      <c r="AM62" s="59">
        <f t="shared" si="5"/>
        <v>677.85614424897165</v>
      </c>
      <c r="AN62" s="59">
        <f ca="1">AVERAGE(OFFSET($AM$3,0,0,'Données projet'!$E$10+1,1))-AVERAGE(OFFSET($H$3,0,0,'Données projet'!$E$10+1,1))</f>
        <v>335.02113791949211</v>
      </c>
      <c r="AO62" s="59">
        <f t="shared" si="36"/>
        <v>222.06886429435099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8.1994670731287762</v>
      </c>
      <c r="AW62" s="21">
        <f>EXP(-LN(2)/2)*AW61+(1-EXP(-LN(2)/2))/(LN(2)/2)*AQ62*AT62*VLOOKUP('Données projet'!$B$10,Paramètres!$A$1:$I$89,3,0)*0.475*44/12</f>
        <v>2.4963813780725541</v>
      </c>
      <c r="AX62" s="21">
        <f t="shared" si="6"/>
        <v>10.69584845120133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159.25641025641025</v>
      </c>
      <c r="BB62" s="12">
        <f>VLOOKUP(A62,'Données projet'!$A$87:$I$107,9,0)</f>
        <v>6.3942307692307701</v>
      </c>
      <c r="BC62" s="12">
        <f t="array" ref="BC62">INDEX(BB:BB,MIN(IF(ISNUMBER(BB62:BB258),ROW(BB62:BB258),"")))</f>
        <v>6.3942307692307701</v>
      </c>
      <c r="BD62" s="12">
        <f>IF('Données projet'!$A$88&gt;35,BD61+BC62-BL61,IF(A62&lt;'Données projet'!$A$88,$BA$205^A62,IF(A62='Données projet'!$A$88,'Données projet'!$B$88,BD61+BC62-BL61)))</f>
        <v>159.25641025641025</v>
      </c>
      <c r="BE62" s="13">
        <f>BD62*VLOOKUP('Données projet'!$B$11,Paramètres!$A$1:$I$89,3,0)*VLOOKUP('Données projet'!$B$11,Paramètres!$A$1:$I$89,5,0)</f>
        <v>154.03280000000001</v>
      </c>
      <c r="BF62" s="13">
        <f t="shared" si="37"/>
        <v>39.493634016465371</v>
      </c>
      <c r="BG62" s="20">
        <f t="shared" si="7"/>
        <v>337.05853924534387</v>
      </c>
      <c r="BH62" s="59">
        <f t="shared" si="8"/>
        <v>630.39187257867718</v>
      </c>
      <c r="BI62" s="59">
        <f ca="1">AVERAGE(OFFSET($BH$3,0,0,'Données projet'!$E$11+1,1))-AVERAGE(OFFSET($H$3,0,0,'Données projet'!$E$11+1,1))</f>
        <v>366.51581861366333</v>
      </c>
      <c r="BJ62" s="59">
        <f t="shared" si="38"/>
        <v>225.01415116995503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38.942307692307693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</v>
      </c>
      <c r="BY62" s="12">
        <f>IF('Données projet'!$A$114&gt;35,BY61+BX62-CG61,IF(A62&lt;'Données projet'!$A$114,$BV$205^A62,IF(A62='Données projet'!$A$114,'Données projet'!$B$114,BY61+BX62-CG61)))</f>
        <v>191.00000000000003</v>
      </c>
      <c r="BZ62" s="13">
        <f>BY62*VLOOKUP('Données projet'!$B$12,Paramètres!$A$1:$I$89,3,0)*VLOOKUP('Données projet'!$B$12,Paramètres!$A$1:$I$89,5,0)</f>
        <v>125.14320000000002</v>
      </c>
      <c r="CA62" s="13">
        <f t="shared" si="39"/>
        <v>32.871620642334328</v>
      </c>
      <c r="CB62" s="20">
        <f t="shared" si="10"/>
        <v>275.20914595206563</v>
      </c>
      <c r="CC62" s="59">
        <f t="shared" si="11"/>
        <v>568.54247928539894</v>
      </c>
      <c r="CD62" s="59">
        <f ca="1">AVERAGE(OFFSET($CC$3,0,0,'Données projet'!$E$12+1,1))-AVERAGE(OFFSET($H$3,0,0,'Données projet'!$E$12+1,1))</f>
        <v>230.58262378842818</v>
      </c>
      <c r="CE62" s="59">
        <f t="shared" si="40"/>
        <v>235.68746142880792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5.0149496870716304</v>
      </c>
      <c r="CM62" s="21">
        <f>EXP(-LN(2)/2)*CM61+(1-EXP(-LN(2)/2))/(LN(2)/2)*CG62*CJ62*VLOOKUP('Données projet'!$B$12,Paramètres!$A$1:$I$89,3,0)*0.475*44/12</f>
        <v>1.1380687841586623</v>
      </c>
      <c r="CN62" s="22">
        <f t="shared" si="12"/>
        <v>6.1530184712302924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9.5</v>
      </c>
      <c r="CT62" s="12">
        <f>IF('Données projet'!$A$140&gt;35,CT61+CS62-DB61,IF(A62&lt;'Données projet'!$A$140,$CQ$205^A62,IF(A62='Données projet'!$A$140,'Données projet'!$B$140,CT61+CS62-DB61)))</f>
        <v>287.5</v>
      </c>
      <c r="CU62" s="17">
        <f>CT62*VLOOKUP('Données projet'!$B$13,Paramètres!$A$1:$I$89,3,0)*VLOOKUP('Données projet'!$B$13,Paramètres!$A$1:$I$89,5,0)</f>
        <v>224.25</v>
      </c>
      <c r="CV62" s="13">
        <f t="shared" si="41"/>
        <v>55.037571061589858</v>
      </c>
      <c r="CW62" s="20">
        <f t="shared" si="13"/>
        <v>486.42585293226904</v>
      </c>
      <c r="CX62" s="59">
        <f t="shared" si="14"/>
        <v>779.75918626560235</v>
      </c>
      <c r="CY62" s="59">
        <f ca="1">AVERAGE(OFFSET($CX$3,0,0,'Données projet'!$E$13+1,1))-AVERAGE(OFFSET($H$3,0,0,'Données projet'!$E$13+1,1))</f>
        <v>288.80569134263209</v>
      </c>
      <c r="CZ62" s="59">
        <f t="shared" si="42"/>
        <v>283.48738729114024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15.890897509337904</v>
      </c>
      <c r="DG62" s="21">
        <f>EXP(-LN(2)/25)*DG61+(1-EXP(-LN(2)/25))/(LN(2)/25)*Calculateur!DB62*Calculateur!DD62*VLOOKUP('Données projet'!$B$13,Paramètres!$A$1:$I$89,3,0)*0.475*44/12</f>
        <v>18.929125778483819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34.820023287821726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5.2</v>
      </c>
      <c r="DO62" s="12">
        <f>IF('Données projet'!$A$166&gt;35,DO61+DN62-DW61,IF(A62&lt;'Données projet'!$A$166,$DL$205^A62,IF(A62='Données projet'!$A$166,'Données projet'!$B$166,DO61+DN62-DW61)))</f>
        <v>239.79999999999984</v>
      </c>
      <c r="DP62" s="17">
        <f>DO62*VLOOKUP('Données projet'!$B$14,Paramètres!$A$1:$I$89,3,0)*VLOOKUP('Données projet'!$B$14,Paramètres!$A$1:$I$89,5,0)</f>
        <v>190.78487999999987</v>
      </c>
      <c r="DQ62" s="13">
        <f t="shared" si="43"/>
        <v>47.713437020051622</v>
      </c>
      <c r="DR62" s="20">
        <f t="shared" si="16"/>
        <v>415.384568809923</v>
      </c>
      <c r="DS62" s="59">
        <f t="shared" si="17"/>
        <v>708.71790214325631</v>
      </c>
      <c r="DT62" s="59">
        <f ca="1">AVERAGE(OFFSET($DS$3,0,0,'Données projet'!$E$14+1,1))-AVERAGE(OFFSET($H$3,0,0,'Données projet'!$E$14+1,1))</f>
        <v>299.10536994156814</v>
      </c>
      <c r="DU62" s="59">
        <f t="shared" si="44"/>
        <v>292.57799203101769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18.852505563940873</v>
      </c>
      <c r="EB62" s="21">
        <f>EXP(-LN(2)/25)*EB61+(1-EXP(-LN(2)/25))/(LN(2)/25)*Calculateur!DW62*Calculateur!DY62*VLOOKUP('Données projet'!$B$14,Paramètres!$A$1:$I$89,3,0)*0.475*44/12</f>
        <v>11.697498515206314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30.550004079147186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8.374198717948719</v>
      </c>
      <c r="N63" s="13">
        <f>IF('Données projet'!$A$36&gt;35,N62+M63-V62,IF(A63&lt;'Données projet'!$A$36,$K$205^A63,IF(A63='Données projet'!$A$36,'Données projet'!$B$36,N62+M63-V62)))</f>
        <v>195.16586538461547</v>
      </c>
      <c r="O63" s="13">
        <f>N63*VLOOKUP('Données projet'!$B$9,Paramètres!$A$1:$I$89,3,0)*VLOOKUP('Données projet'!$B$9,Paramètres!$A$1:$I$89,5,0)</f>
        <v>176.58607500000008</v>
      </c>
      <c r="P63" s="13">
        <f t="shared" si="33"/>
        <v>44.561806372041367</v>
      </c>
      <c r="Q63" s="20">
        <f t="shared" si="53"/>
        <v>385.16589338963877</v>
      </c>
      <c r="R63" s="59">
        <f t="shared" si="0"/>
        <v>678.49922672297203</v>
      </c>
      <c r="S63" s="59">
        <f ca="1">AVERAGE(OFFSET($R$3,0,0,'Données projet'!$E$9+1,1))-AVERAGE(OFFSET($H$3,0,0,'Données projet'!$E$9+1,1))</f>
        <v>384.05928630855732</v>
      </c>
      <c r="T63" s="59">
        <f t="shared" si="34"/>
        <v>279.93992813630513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9.7393162393162402</v>
      </c>
      <c r="AI63" s="13">
        <f>IF('Données projet'!$A$62&gt;35,AI62+AH63-AQ62,IF(A63&lt;'Données projet'!$A$62,$AF$205^A63,IF(A63='Données projet'!$A$62,'Données projet'!$B$62,AI62+AH63-AQ62)))</f>
        <v>215.19871794871818</v>
      </c>
      <c r="AJ63" s="13">
        <f>AI63*VLOOKUP('Données projet'!$B$10,Paramètres!$A$1:$I$89,3,0)*VLOOKUP('Données projet'!$B$10,Paramètres!$A$1:$I$89,5,0)</f>
        <v>184.64050000000023</v>
      </c>
      <c r="AK63" s="13">
        <f t="shared" si="35"/>
        <v>46.353077501631219</v>
      </c>
      <c r="AL63" s="20">
        <f t="shared" si="4"/>
        <v>402.31381414867474</v>
      </c>
      <c r="AM63" s="59">
        <f t="shared" si="5"/>
        <v>695.64714748200799</v>
      </c>
      <c r="AN63" s="59">
        <f ca="1">AVERAGE(OFFSET($AM$3,0,0,'Données projet'!$E$10+1,1))-AVERAGE(OFFSET($H$3,0,0,'Données projet'!$E$10+1,1))</f>
        <v>335.02113791949211</v>
      </c>
      <c r="AO63" s="59">
        <f t="shared" si="36"/>
        <v>222.06886429435099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7.9752522148228362</v>
      </c>
      <c r="AW63" s="21">
        <f>EXP(-LN(2)/2)*AW62+(1-EXP(-LN(2)/2))/(LN(2)/2)*AQ63*AT63*VLOOKUP('Données projet'!$B$10,Paramètres!$A$1:$I$89,3,0)*0.475*44/12</f>
        <v>1.7652082008629215</v>
      </c>
      <c r="AX63" s="21">
        <f t="shared" si="6"/>
        <v>9.7404604156857584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5.9431089743589762</v>
      </c>
      <c r="BD63" s="12">
        <f>IF('Données projet'!$A$88&gt;35,BD62+BC63-BL62,IF(A63&lt;'Données projet'!$A$88,$BA$205^A63,IF(A63='Données projet'!$A$88,'Données projet'!$B$88,BD62+BC63-BL62)))</f>
        <v>126.25721153846153</v>
      </c>
      <c r="BE63" s="13">
        <f>BD63*VLOOKUP('Données projet'!$B$11,Paramètres!$A$1:$I$89,3,0)*VLOOKUP('Données projet'!$B$11,Paramètres!$A$1:$I$89,5,0)</f>
        <v>122.11597499999999</v>
      </c>
      <c r="BF63" s="13">
        <f t="shared" si="37"/>
        <v>32.168012537164756</v>
      </c>
      <c r="BG63" s="20">
        <f t="shared" si="7"/>
        <v>268.7112782938953</v>
      </c>
      <c r="BH63" s="59">
        <f t="shared" si="8"/>
        <v>562.04461162722862</v>
      </c>
      <c r="BI63" s="59">
        <f ca="1">AVERAGE(OFFSET($BH$3,0,0,'Données projet'!$E$11+1,1))-AVERAGE(OFFSET($H$3,0,0,'Données projet'!$E$11+1,1))</f>
        <v>366.51581861366333</v>
      </c>
      <c r="BJ63" s="59">
        <f t="shared" si="38"/>
        <v>225.01415116995503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196</v>
      </c>
      <c r="BW63" s="12">
        <f>VLOOKUP(A63,'Données projet'!$A$113:$I$133,9,0)</f>
        <v>5</v>
      </c>
      <c r="BX63" s="12">
        <f t="array" ref="BX63">INDEX(BW:BW,MIN(IF(ISNUMBER(BW63:BW259),ROW(BW63:BW259),"")))</f>
        <v>5</v>
      </c>
      <c r="BY63" s="12">
        <f>IF('Données projet'!$A$114&gt;35,BY62+BX63-CG62,IF(A63&lt;'Données projet'!$A$114,$BV$205^A63,IF(A63='Données projet'!$A$114,'Données projet'!$B$114,BY62+BX63-CG62)))</f>
        <v>196.00000000000003</v>
      </c>
      <c r="BZ63" s="13">
        <f>BY63*VLOOKUP('Données projet'!$B$12,Paramètres!$A$1:$I$89,3,0)*VLOOKUP('Données projet'!$B$12,Paramètres!$A$1:$I$89,5,0)</f>
        <v>128.41920000000002</v>
      </c>
      <c r="CA63" s="13">
        <f t="shared" si="39"/>
        <v>33.630823177860762</v>
      </c>
      <c r="CB63" s="20">
        <f t="shared" si="10"/>
        <v>282.23712370144091</v>
      </c>
      <c r="CC63" s="59">
        <f t="shared" si="11"/>
        <v>575.57045703477422</v>
      </c>
      <c r="CD63" s="59">
        <f ca="1">AVERAGE(OFFSET($CC$3,0,0,'Données projet'!$E$12+1,1))-AVERAGE(OFFSET($H$3,0,0,'Données projet'!$E$12+1,1))</f>
        <v>230.58262378842818</v>
      </c>
      <c r="CE63" s="59">
        <f t="shared" si="40"/>
        <v>235.68746142880792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19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0.129</v>
      </c>
      <c r="CJ63" s="16">
        <f>IF(ISNA(VLOOKUP(A63,'Données projet'!$A$113:$I$133,7,0)),0%,VLOOKUP(A63,'Données projet'!$A$113:$I$133,7,0))</f>
        <v>0.3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6.6460952876356831</v>
      </c>
      <c r="CM63" s="21">
        <f>EXP(-LN(2)/2)*CM62+(1-EXP(-LN(2)/2))/(LN(2)/2)*CG63*CJ63*VLOOKUP('Données projet'!$B$12,Paramètres!$A$1:$I$89,3,0)*0.475*44/12</f>
        <v>4.328469511097186</v>
      </c>
      <c r="CN63" s="22">
        <f t="shared" si="12"/>
        <v>10.974564798732869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297</v>
      </c>
      <c r="CR63" s="12">
        <f>VLOOKUP(A63,'Données projet'!$A$139:$I$159,9,0)</f>
        <v>9.5</v>
      </c>
      <c r="CS63" s="12">
        <f t="array" ref="CS63">INDEX(CR:CR,MIN(IF(ISNUMBER(CR63:CR259),ROW(CR63:CR259),"")))</f>
        <v>9.5</v>
      </c>
      <c r="CT63" s="12">
        <f>IF('Données projet'!$A$140&gt;35,CT62+CS63-DB62,IF(A63&lt;'Données projet'!$A$140,$CQ$205^A63,IF(A63='Données projet'!$A$140,'Données projet'!$B$140,CT62+CS63-DB62)))</f>
        <v>297</v>
      </c>
      <c r="CU63" s="17">
        <f>CT63*VLOOKUP('Données projet'!$B$13,Paramètres!$A$1:$I$89,3,0)*VLOOKUP('Données projet'!$B$13,Paramètres!$A$1:$I$89,5,0)</f>
        <v>231.66</v>
      </c>
      <c r="CV63" s="13">
        <f t="shared" si="41"/>
        <v>56.641461975682766</v>
      </c>
      <c r="CW63" s="20">
        <f t="shared" si="13"/>
        <v>502.12504627431412</v>
      </c>
      <c r="CX63" s="59">
        <f t="shared" si="14"/>
        <v>795.45837960764743</v>
      </c>
      <c r="CY63" s="59">
        <f ca="1">AVERAGE(OFFSET($CX$3,0,0,'Données projet'!$E$13+1,1))-AVERAGE(OFFSET($H$3,0,0,'Données projet'!$E$13+1,1))</f>
        <v>288.80569134263209</v>
      </c>
      <c r="CZ63" s="59">
        <f t="shared" si="42"/>
        <v>283.48738729114024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47</v>
      </c>
      <c r="DC63" s="16">
        <f>IF(ISNA(VLOOKUP(A63,'Données projet'!$A$139:$I$159,5,0)),0%,VLOOKUP(A63,'Données projet'!$A$139:$I$159,5,0)*VLOOKUP('Données projet'!$B$13,Paramètres!$A$1:$I$89,7,0))</f>
        <v>0.215</v>
      </c>
      <c r="DD63" s="16">
        <f>IF(ISNA(VLOOKUP(A63,'Données projet'!$A$139:$I$159,6,0)),0%,VLOOKUP(A63,'Données projet'!$A$139:$I$159,6,0)*VLOOKUP('Données projet'!$B$13,Paramètres!$A$1:$I$89,7,0))</f>
        <v>0.17200000000000001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24.292493686110973</v>
      </c>
      <c r="DG63" s="21">
        <f>EXP(-LN(2)/25)*DG62+(1-EXP(-LN(2)/25))/(LN(2)/25)*Calculateur!DB63*Calculateur!DD63*VLOOKUP('Données projet'!$B$13,Paramètres!$A$1:$I$89,3,0)*0.475*44/12</f>
        <v>25.354627653472416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49.647121339583393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245</v>
      </c>
      <c r="DM63" s="12">
        <f>VLOOKUP(A63,'Données projet'!$A$165:$I$185,9,0)</f>
        <v>5.2</v>
      </c>
      <c r="DN63" s="12">
        <f t="array" ref="DN63">INDEX(DM:DM,MIN(IF(ISNUMBER(DM63:DM259),ROW(DM63:DM259),"")))</f>
        <v>5.2</v>
      </c>
      <c r="DO63" s="12">
        <f>IF('Données projet'!$A$166&gt;35,DO62+DN63-DW62,IF(A63&lt;'Données projet'!$A$166,$DL$205^A63,IF(A63='Données projet'!$A$166,'Données projet'!$B$166,DO62+DN63-DW62)))</f>
        <v>244.99999999999983</v>
      </c>
      <c r="DP63" s="17">
        <f>DO63*VLOOKUP('Données projet'!$B$14,Paramètres!$A$1:$I$89,3,0)*VLOOKUP('Données projet'!$B$14,Paramètres!$A$1:$I$89,5,0)</f>
        <v>194.92199999999988</v>
      </c>
      <c r="DQ63" s="13">
        <f t="shared" si="43"/>
        <v>48.626512129794925</v>
      </c>
      <c r="DR63" s="20">
        <f t="shared" si="16"/>
        <v>424.18032529272591</v>
      </c>
      <c r="DS63" s="59">
        <f t="shared" si="17"/>
        <v>717.51365862605917</v>
      </c>
      <c r="DT63" s="59">
        <f ca="1">AVERAGE(OFFSET($DS$3,0,0,'Données projet'!$E$14+1,1))-AVERAGE(OFFSET($H$3,0,0,'Données projet'!$E$14+1,1))</f>
        <v>299.10536994156814</v>
      </c>
      <c r="DU63" s="59">
        <f t="shared" si="44"/>
        <v>292.57799203101769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12</v>
      </c>
      <c r="DX63" s="16">
        <f>IF(ISNA(VLOOKUP(A63,'Données projet'!$A$165:$I$185,5,0)),0%,VLOOKUP(A63,'Données projet'!$A$165:$I$185,5,0)*VLOOKUP('Données projet'!$B$14,Paramètres!$A$1:$I$89,7,0))</f>
        <v>0.43990000000000001</v>
      </c>
      <c r="DY63" s="16">
        <f>IF(ISNA(VLOOKUP(A63,'Données projet'!$A$165:$I$185,6,0)),0%,VLOOKUP(A63,'Données projet'!$A$165:$I$185,6,0)*VLOOKUP('Données projet'!$B$14,Paramètres!$A$1:$I$89,7,0))</f>
        <v>4.24E-2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23.125588609334091</v>
      </c>
      <c r="EB63" s="21">
        <f>EXP(-LN(2)/25)*EB62+(1-EXP(-LN(2)/25))/(LN(2)/25)*Calculateur!DW63*Calculateur!DY63*VLOOKUP('Données projet'!$B$14,Paramètres!$A$1:$I$89,3,0)*0.475*44/12</f>
        <v>11.823363666229437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34.948952275563528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8.374198717948719</v>
      </c>
      <c r="N64" s="13">
        <f>IF('Données projet'!$A$36&gt;35,N63+M64-V63,IF(A64&lt;'Données projet'!$A$36,$K$205^A64,IF(A64='Données projet'!$A$36,'Données projet'!$B$36,N63+M64-V63)))</f>
        <v>203.5400641025642</v>
      </c>
      <c r="O64" s="13">
        <f>N64*VLOOKUP('Données projet'!$B$9,Paramètres!$A$1:$I$89,3,0)*VLOOKUP('Données projet'!$B$9,Paramètres!$A$1:$I$89,5,0)</f>
        <v>184.16305000000008</v>
      </c>
      <c r="P64" s="13">
        <f t="shared" si="33"/>
        <v>46.247151975893182</v>
      </c>
      <c r="Q64" s="20">
        <f t="shared" si="53"/>
        <v>401.29776844134739</v>
      </c>
      <c r="R64" s="59">
        <f t="shared" si="0"/>
        <v>694.6311017746807</v>
      </c>
      <c r="S64" s="59">
        <f ca="1">AVERAGE(OFFSET($R$3,0,0,'Données projet'!$E$9+1,1))-AVERAGE(OFFSET($H$3,0,0,'Données projet'!$E$9+1,1))</f>
        <v>384.05928630855732</v>
      </c>
      <c r="T64" s="59">
        <f t="shared" si="34"/>
        <v>279.93992813630513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9.7393162393162402</v>
      </c>
      <c r="AI64" s="13">
        <f>IF('Données projet'!$A$62&gt;35,AI63+AH64-AQ63,IF(A64&lt;'Données projet'!$A$62,$AF$205^A64,IF(A64='Données projet'!$A$62,'Données projet'!$B$62,AI63+AH64-AQ63)))</f>
        <v>224.93803418803444</v>
      </c>
      <c r="AJ64" s="13">
        <f>AI64*VLOOKUP('Données projet'!$B$10,Paramètres!$A$1:$I$89,3,0)*VLOOKUP('Données projet'!$B$10,Paramètres!$A$1:$I$89,5,0)</f>
        <v>192.99683333333357</v>
      </c>
      <c r="AK64" s="13">
        <f t="shared" si="35"/>
        <v>48.201905479394249</v>
      </c>
      <c r="AL64" s="20">
        <f t="shared" si="4"/>
        <v>420.08780343216762</v>
      </c>
      <c r="AM64" s="59">
        <f t="shared" si="5"/>
        <v>713.42113676550093</v>
      </c>
      <c r="AN64" s="59">
        <f ca="1">AVERAGE(OFFSET($AM$3,0,0,'Données projet'!$E$10+1,1))-AVERAGE(OFFSET($H$3,0,0,'Données projet'!$E$10+1,1))</f>
        <v>335.02113791949211</v>
      </c>
      <c r="AO64" s="59">
        <f t="shared" si="36"/>
        <v>222.06886429435099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7.7571685236082191</v>
      </c>
      <c r="AW64" s="21">
        <f>EXP(-LN(2)/2)*AW63+(1-EXP(-LN(2)/2))/(LN(2)/2)*AQ64*AT64*VLOOKUP('Données projet'!$B$10,Paramètres!$A$1:$I$89,3,0)*0.475*44/12</f>
        <v>1.2481906890362771</v>
      </c>
      <c r="AX64" s="21">
        <f t="shared" si="6"/>
        <v>9.0053592126444961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5.9431089743589762</v>
      </c>
      <c r="BD64" s="12">
        <f>IF('Données projet'!$A$88&gt;35,BD63+BC64-BL63,IF(A64&lt;'Données projet'!$A$88,$BA$205^A64,IF(A64='Données projet'!$A$88,'Données projet'!$B$88,BD63+BC64-BL63)))</f>
        <v>132.2003205128205</v>
      </c>
      <c r="BE64" s="13">
        <f>BD64*VLOOKUP('Données projet'!$B$11,Paramètres!$A$1:$I$89,3,0)*VLOOKUP('Données projet'!$B$11,Paramètres!$A$1:$I$89,5,0)</f>
        <v>127.86414999999998</v>
      </c>
      <c r="BF64" s="13">
        <f t="shared" si="37"/>
        <v>33.502352279503945</v>
      </c>
      <c r="BG64" s="20">
        <f t="shared" si="7"/>
        <v>281.04665813680271</v>
      </c>
      <c r="BH64" s="59">
        <f t="shared" si="8"/>
        <v>574.37999147013602</v>
      </c>
      <c r="BI64" s="59">
        <f ca="1">AVERAGE(OFFSET($BH$3,0,0,'Données projet'!$E$11+1,1))-AVERAGE(OFFSET($H$3,0,0,'Données projet'!$E$11+1,1))</f>
        <v>366.51581861366333</v>
      </c>
      <c r="BJ64" s="59">
        <f t="shared" si="38"/>
        <v>225.01415116995503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4.8</v>
      </c>
      <c r="BY64" s="12">
        <f>IF('Données projet'!$A$114&gt;35,BY63+BX64-CG63,IF(A64&lt;'Données projet'!$A$114,$BV$205^A64,IF(A64='Données projet'!$A$114,'Données projet'!$B$114,BY63+BX64-CG63)))</f>
        <v>181.80000000000004</v>
      </c>
      <c r="BZ64" s="13">
        <f>BY64*VLOOKUP('Données projet'!$B$12,Paramètres!$A$1:$I$89,3,0)*VLOOKUP('Données projet'!$B$12,Paramètres!$A$1:$I$89,5,0)</f>
        <v>119.11536000000002</v>
      </c>
      <c r="CA64" s="13">
        <f t="shared" si="39"/>
        <v>31.468582772748093</v>
      </c>
      <c r="CB64" s="20">
        <f t="shared" si="10"/>
        <v>262.26703366253628</v>
      </c>
      <c r="CC64" s="59">
        <f t="shared" si="11"/>
        <v>555.60036699586954</v>
      </c>
      <c r="CD64" s="59">
        <f ca="1">AVERAGE(OFFSET($CC$3,0,0,'Données projet'!$E$12+1,1))-AVERAGE(OFFSET($H$3,0,0,'Données projet'!$E$12+1,1))</f>
        <v>230.58262378842818</v>
      </c>
      <c r="CE64" s="59">
        <f t="shared" si="40"/>
        <v>235.68746142880792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6.4643574624923241</v>
      </c>
      <c r="CM64" s="21">
        <f>EXP(-LN(2)/2)*CM63+(1-EXP(-LN(2)/2))/(LN(2)/2)*CG64*CJ64*VLOOKUP('Données projet'!$B$12,Paramètres!$A$1:$I$89,3,0)*0.475*44/12</f>
        <v>3.0606901434560405</v>
      </c>
      <c r="CN64" s="22">
        <f t="shared" si="12"/>
        <v>9.5250476059483642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8.6666666666666661</v>
      </c>
      <c r="CT64" s="12">
        <f>IF('Données projet'!$A$140&gt;35,CT63+CS64-DB63,IF(A64&lt;'Données projet'!$A$140,$CQ$205^A64,IF(A64='Données projet'!$A$140,'Données projet'!$B$140,CT63+CS64-DB63)))</f>
        <v>258.66666666666669</v>
      </c>
      <c r="CU64" s="17">
        <f>CT64*VLOOKUP('Données projet'!$B$13,Paramètres!$A$1:$I$89,3,0)*VLOOKUP('Données projet'!$B$13,Paramètres!$A$1:$I$89,5,0)</f>
        <v>201.76000000000002</v>
      </c>
      <c r="CV64" s="13">
        <f t="shared" si="41"/>
        <v>50.130765000424212</v>
      </c>
      <c r="CW64" s="20">
        <f t="shared" si="13"/>
        <v>438.70974904240552</v>
      </c>
      <c r="CX64" s="59">
        <f t="shared" si="14"/>
        <v>732.04308237573878</v>
      </c>
      <c r="CY64" s="59">
        <f ca="1">AVERAGE(OFFSET($CX$3,0,0,'Données projet'!$E$13+1,1))-AVERAGE(OFFSET($H$3,0,0,'Données projet'!$E$13+1,1))</f>
        <v>288.80569134263209</v>
      </c>
      <c r="CZ64" s="59">
        <f t="shared" si="42"/>
        <v>283.48738729114024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23.816132701884431</v>
      </c>
      <c r="DG64" s="21">
        <f>EXP(-LN(2)/25)*DG63+(1-EXP(-LN(2)/25))/(LN(2)/25)*Calculateur!DB64*Calculateur!DD64*VLOOKUP('Données projet'!$B$13,Paramètres!$A$1:$I$89,3,0)*0.475*44/12</f>
        <v>24.661304026946294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48.477436728830725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4.4000000000000004</v>
      </c>
      <c r="DO64" s="12">
        <f>IF('Données projet'!$A$166&gt;35,DO63+DN64-DW63,IF(A64&lt;'Données projet'!$A$166,$DL$205^A64,IF(A64='Données projet'!$A$166,'Données projet'!$B$166,DO63+DN64-DW63)))</f>
        <v>237.39999999999984</v>
      </c>
      <c r="DP64" s="17">
        <f>DO64*VLOOKUP('Données projet'!$B$14,Paramètres!$A$1:$I$89,3,0)*VLOOKUP('Données projet'!$B$14,Paramètres!$A$1:$I$89,5,0)</f>
        <v>188.87543999999988</v>
      </c>
      <c r="DQ64" s="13">
        <f t="shared" si="43"/>
        <v>47.291242769027726</v>
      </c>
      <c r="DR64" s="20">
        <f t="shared" si="16"/>
        <v>411.32363915605634</v>
      </c>
      <c r="DS64" s="59">
        <f t="shared" si="17"/>
        <v>704.65697248938966</v>
      </c>
      <c r="DT64" s="59">
        <f ca="1">AVERAGE(OFFSET($DS$3,0,0,'Données projet'!$E$14+1,1))-AVERAGE(OFFSET($H$3,0,0,'Données projet'!$E$14+1,1))</f>
        <v>299.10536994156814</v>
      </c>
      <c r="DU64" s="59">
        <f t="shared" si="44"/>
        <v>292.57799203101769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22.672109921921326</v>
      </c>
      <c r="EB64" s="21">
        <f>EXP(-LN(2)/25)*EB63+(1-EXP(-LN(2)/25))/(LN(2)/25)*Calculateur!DW64*Calculateur!DY64*VLOOKUP('Données projet'!$B$14,Paramètres!$A$1:$I$89,3,0)*0.475*44/12</f>
        <v>11.500053165012719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34.172163086934049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8.374198717948719</v>
      </c>
      <c r="N65" s="13">
        <f>IF('Données projet'!$A$36&gt;35,N64+M65-V64,IF(A65&lt;'Données projet'!$A$36,$K$205^A65,IF(A65='Données projet'!$A$36,'Données projet'!$B$36,N64+M65-V64)))</f>
        <v>211.91426282051293</v>
      </c>
      <c r="O65" s="13">
        <f>N65*VLOOKUP('Données projet'!$B$9,Paramètres!$A$1:$I$89,3,0)*VLOOKUP('Données projet'!$B$9,Paramètres!$A$1:$I$89,5,0)</f>
        <v>191.74002500000009</v>
      </c>
      <c r="P65" s="13">
        <f t="shared" si="33"/>
        <v>47.924443327659169</v>
      </c>
      <c r="Q65" s="20">
        <f t="shared" si="53"/>
        <v>417.41561567067316</v>
      </c>
      <c r="R65" s="59">
        <f t="shared" si="0"/>
        <v>710.74894900400648</v>
      </c>
      <c r="S65" s="59">
        <f ca="1">AVERAGE(OFFSET($R$3,0,0,'Données projet'!$E$9+1,1))-AVERAGE(OFFSET($H$3,0,0,'Données projet'!$E$9+1,1))</f>
        <v>384.05928630855732</v>
      </c>
      <c r="T65" s="59">
        <f t="shared" si="34"/>
        <v>279.93992813630513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9.7393162393162402</v>
      </c>
      <c r="AI65" s="13">
        <f>IF('Données projet'!$A$62&gt;35,AI64+AH65-AQ64,IF(A65&lt;'Données projet'!$A$62,$AF$205^A65,IF(A65='Données projet'!$A$62,'Données projet'!$B$62,AI64+AH65-AQ64)))</f>
        <v>234.67735042735069</v>
      </c>
      <c r="AJ65" s="13">
        <f>AI65*VLOOKUP('Données projet'!$B$10,Paramètres!$A$1:$I$89,3,0)*VLOOKUP('Données projet'!$B$10,Paramètres!$A$1:$I$89,5,0)</f>
        <v>201.35316666666694</v>
      </c>
      <c r="AK65" s="13">
        <f t="shared" si="35"/>
        <v>50.041435994454609</v>
      </c>
      <c r="AL65" s="20">
        <f t="shared" si="4"/>
        <v>437.84559963478665</v>
      </c>
      <c r="AM65" s="59">
        <f t="shared" si="5"/>
        <v>731.17893296811997</v>
      </c>
      <c r="AN65" s="59">
        <f ca="1">AVERAGE(OFFSET($AM$3,0,0,'Données projet'!$E$10+1,1))-AVERAGE(OFFSET($H$3,0,0,'Données projet'!$E$10+1,1))</f>
        <v>335.02113791949211</v>
      </c>
      <c r="AO65" s="59">
        <f t="shared" si="36"/>
        <v>222.06886429435099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7.5450483423983892</v>
      </c>
      <c r="AW65" s="21">
        <f>EXP(-LN(2)/2)*AW64+(1-EXP(-LN(2)/2))/(LN(2)/2)*AQ65*AT65*VLOOKUP('Données projet'!$B$10,Paramètres!$A$1:$I$89,3,0)*0.475*44/12</f>
        <v>0.88260410043146076</v>
      </c>
      <c r="AX65" s="21">
        <f t="shared" si="6"/>
        <v>8.4276524428298494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5.9431089743589762</v>
      </c>
      <c r="BD65" s="12">
        <f>IF('Données projet'!$A$88&gt;35,BD64+BC65-BL64,IF(A65&lt;'Données projet'!$A$88,$BA$205^A65,IF(A65='Données projet'!$A$88,'Données projet'!$B$88,BD64+BC65-BL64)))</f>
        <v>138.14342948717947</v>
      </c>
      <c r="BE65" s="13">
        <f>BD65*VLOOKUP('Données projet'!$B$11,Paramètres!$A$1:$I$89,3,0)*VLOOKUP('Données projet'!$B$11,Paramètres!$A$1:$I$89,5,0)</f>
        <v>133.612325</v>
      </c>
      <c r="BF65" s="13">
        <f t="shared" si="37"/>
        <v>34.829725447269773</v>
      </c>
      <c r="BG65" s="20">
        <f t="shared" si="7"/>
        <v>293.36990452899482</v>
      </c>
      <c r="BH65" s="59">
        <f t="shared" si="8"/>
        <v>586.70323786232814</v>
      </c>
      <c r="BI65" s="59">
        <f ca="1">AVERAGE(OFFSET($BH$3,0,0,'Données projet'!$E$11+1,1))-AVERAGE(OFFSET($H$3,0,0,'Données projet'!$E$11+1,1))</f>
        <v>366.51581861366333</v>
      </c>
      <c r="BJ65" s="59">
        <f t="shared" si="38"/>
        <v>225.01415116995503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4.8</v>
      </c>
      <c r="BY65" s="12">
        <f>IF('Données projet'!$A$114&gt;35,BY64+BX65-CG64,IF(A65&lt;'Données projet'!$A$114,$BV$205^A65,IF(A65='Données projet'!$A$114,'Données projet'!$B$114,BY64+BX65-CG64)))</f>
        <v>186.60000000000005</v>
      </c>
      <c r="BZ65" s="13">
        <f>BY65*VLOOKUP('Données projet'!$B$12,Paramètres!$A$1:$I$89,3,0)*VLOOKUP('Données projet'!$B$12,Paramètres!$A$1:$I$89,5,0)</f>
        <v>122.26032000000002</v>
      </c>
      <c r="CA65" s="13">
        <f t="shared" si="39"/>
        <v>32.2016078999482</v>
      </c>
      <c r="CB65" s="20">
        <f t="shared" si="10"/>
        <v>269.02119109240982</v>
      </c>
      <c r="CC65" s="59">
        <f t="shared" si="11"/>
        <v>562.35452442574319</v>
      </c>
      <c r="CD65" s="59">
        <f ca="1">AVERAGE(OFFSET($CC$3,0,0,'Données projet'!$E$12+1,1))-AVERAGE(OFFSET($H$3,0,0,'Données projet'!$E$12+1,1))</f>
        <v>230.58262378842818</v>
      </c>
      <c r="CE65" s="59">
        <f t="shared" si="40"/>
        <v>235.68746142880792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6.2875892677346874</v>
      </c>
      <c r="CM65" s="21">
        <f>EXP(-LN(2)/2)*CM64+(1-EXP(-LN(2)/2))/(LN(2)/2)*CG65*CJ65*VLOOKUP('Données projet'!$B$12,Paramètres!$A$1:$I$89,3,0)*0.475*44/12</f>
        <v>2.1642347555485935</v>
      </c>
      <c r="CN65" s="22">
        <f t="shared" si="12"/>
        <v>8.4518240232832813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8.6666666666666661</v>
      </c>
      <c r="CT65" s="12">
        <f>IF('Données projet'!$A$140&gt;35,CT64+CS65-DB64,IF(A65&lt;'Données projet'!$A$140,$CQ$205^A65,IF(A65='Données projet'!$A$140,'Données projet'!$B$140,CT64+CS65-DB64)))</f>
        <v>267.33333333333337</v>
      </c>
      <c r="CU65" s="17">
        <f>CT65*VLOOKUP('Données projet'!$B$13,Paramètres!$A$1:$I$89,3,0)*VLOOKUP('Données projet'!$B$13,Paramètres!$A$1:$I$89,5,0)</f>
        <v>208.52000000000004</v>
      </c>
      <c r="CV65" s="13">
        <f t="shared" si="41"/>
        <v>51.612035456318509</v>
      </c>
      <c r="CW65" s="20">
        <f t="shared" si="13"/>
        <v>453.06329508642142</v>
      </c>
      <c r="CX65" s="59">
        <f t="shared" si="14"/>
        <v>746.39662841975473</v>
      </c>
      <c r="CY65" s="59">
        <f ca="1">AVERAGE(OFFSET($CX$3,0,0,'Données projet'!$E$13+1,1))-AVERAGE(OFFSET($H$3,0,0,'Données projet'!$E$13+1,1))</f>
        <v>288.80569134263209</v>
      </c>
      <c r="CZ65" s="59">
        <f t="shared" si="42"/>
        <v>283.48738729114024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23.349112866007061</v>
      </c>
      <c r="DG65" s="21">
        <f>EXP(-LN(2)/25)*DG64+(1-EXP(-LN(2)/25))/(LN(2)/25)*Calculateur!DB65*Calculateur!DD65*VLOOKUP('Données projet'!$B$13,Paramètres!$A$1:$I$89,3,0)*0.475*44/12</f>
        <v>23.986939371447832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47.336052237454894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4.4000000000000004</v>
      </c>
      <c r="DO65" s="12">
        <f>IF('Données projet'!$A$166&gt;35,DO64+DN65-DW64,IF(A65&lt;'Données projet'!$A$166,$DL$205^A65,IF(A65='Données projet'!$A$166,'Données projet'!$B$166,DO64+DN65-DW64)))</f>
        <v>241.79999999999984</v>
      </c>
      <c r="DP65" s="17">
        <f>DO65*VLOOKUP('Données projet'!$B$14,Paramètres!$A$1:$I$89,3,0)*VLOOKUP('Données projet'!$B$14,Paramètres!$A$1:$I$89,5,0)</f>
        <v>192.37607999999989</v>
      </c>
      <c r="DQ65" s="13">
        <f t="shared" si="43"/>
        <v>48.064889828485896</v>
      </c>
      <c r="DR65" s="20">
        <f t="shared" si="16"/>
        <v>418.76802245127936</v>
      </c>
      <c r="DS65" s="59">
        <f t="shared" si="17"/>
        <v>712.10135578461268</v>
      </c>
      <c r="DT65" s="59">
        <f ca="1">AVERAGE(OFFSET($DS$3,0,0,'Données projet'!$E$14+1,1))-AVERAGE(OFFSET($H$3,0,0,'Données projet'!$E$14+1,1))</f>
        <v>299.10536994156814</v>
      </c>
      <c r="DU65" s="59">
        <f t="shared" si="44"/>
        <v>292.57799203101769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22.227523674974037</v>
      </c>
      <c r="EB65" s="21">
        <f>EXP(-LN(2)/25)*EB64+(1-EXP(-LN(2)/25))/(LN(2)/25)*Calculateur!DW65*Calculateur!DY65*VLOOKUP('Données projet'!$B$14,Paramètres!$A$1:$I$89,3,0)*0.475*44/12</f>
        <v>11.185583606453934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33.413107281427969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220.28846153846152</v>
      </c>
      <c r="L66" s="12">
        <f>VLOOKUP(A66,'Données projet'!$A$35:$I$55,9,0)</f>
        <v>8.374198717948719</v>
      </c>
      <c r="M66" s="12">
        <f t="array" ref="M66">INDEX(L:L,MIN(IF(ISNUMBER(L66:L262),ROW(L66:L262),"")))</f>
        <v>8.374198717948719</v>
      </c>
      <c r="N66" s="13">
        <f>IF('Données projet'!$A$36&gt;35,N65+M66-V65,IF(A66&lt;'Données projet'!$A$36,$K$205^A66,IF(A66='Données projet'!$A$36,'Données projet'!$B$36,N65+M66-V65)))</f>
        <v>220.28846153846166</v>
      </c>
      <c r="O66" s="13">
        <f>N66*VLOOKUP('Données projet'!$B$9,Paramètres!$A$1:$I$89,3,0)*VLOOKUP('Données projet'!$B$9,Paramètres!$A$1:$I$89,5,0)</f>
        <v>199.31700000000009</v>
      </c>
      <c r="P66" s="13">
        <f t="shared" si="33"/>
        <v>49.594035126387503</v>
      </c>
      <c r="Q66" s="20">
        <f t="shared" si="53"/>
        <v>433.52005284512506</v>
      </c>
      <c r="R66" s="59">
        <f t="shared" si="0"/>
        <v>726.85338617845832</v>
      </c>
      <c r="S66" s="59">
        <f ca="1">AVERAGE(OFFSET($R$3,0,0,'Données projet'!$E$9+1,1))-AVERAGE(OFFSET($H$3,0,0,'Données projet'!$E$9+1,1))</f>
        <v>384.05928630855732</v>
      </c>
      <c r="T66" s="59">
        <f t="shared" si="34"/>
        <v>279.93992813630513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41.724358974358978</v>
      </c>
      <c r="W66" s="16">
        <f>IF(ISNA(VLOOKUP(A66,'Données projet'!$A$35:$I$55,5,0)),0%,VLOOKUP(A66,'Données projet'!$A$35:$I$55,5,0)*VLOOKUP('Données projet'!$B$9,Paramètres!$A$1:$I$89,7,0))</f>
        <v>0.30099999999999999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12.561915597523354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12.561915597523354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244.41666666666669</v>
      </c>
      <c r="AG66" s="12">
        <f>VLOOKUP(A66,'Données projet'!$A$61:$I$81,9,0)</f>
        <v>9.7393162393162402</v>
      </c>
      <c r="AH66" s="12">
        <f t="array" ref="AH66">INDEX(AG:AG,MIN(IF(ISNUMBER(AG66:AG262),ROW(AG66:AG262),"")))</f>
        <v>9.7393162393162402</v>
      </c>
      <c r="AI66" s="13">
        <f>IF('Données projet'!$A$62&gt;35,AI65+AH66-AQ65,IF(A66&lt;'Données projet'!$A$62,$AF$205^A66,IF(A66='Données projet'!$A$62,'Données projet'!$B$62,AI65+AH66-AQ65)))</f>
        <v>244.41666666666694</v>
      </c>
      <c r="AJ66" s="13">
        <f>AI66*VLOOKUP('Données projet'!$B$10,Paramètres!$A$1:$I$89,3,0)*VLOOKUP('Données projet'!$B$10,Paramètres!$A$1:$I$89,5,0)</f>
        <v>209.70950000000025</v>
      </c>
      <c r="AK66" s="13">
        <f t="shared" si="35"/>
        <v>51.872099025894236</v>
      </c>
      <c r="AL66" s="20">
        <f t="shared" si="4"/>
        <v>455.58795163676615</v>
      </c>
      <c r="AM66" s="59">
        <f t="shared" si="5"/>
        <v>748.92128497009946</v>
      </c>
      <c r="AN66" s="59">
        <f ca="1">AVERAGE(OFFSET($AM$3,0,0,'Données projet'!$E$10+1,1))-AVERAGE(OFFSET($H$3,0,0,'Données projet'!$E$10+1,1))</f>
        <v>335.02113791949211</v>
      </c>
      <c r="AO66" s="59">
        <f t="shared" si="36"/>
        <v>222.06886429435099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64.628205128205124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0.21200000000000002</v>
      </c>
      <c r="AT66" s="16">
        <f>IF(ISNA(VLOOKUP(A66,'Données projet'!$A$61:$I$81,7,0)),0%,VLOOKUP(A66,'Données projet'!$A$61:$I$81,7,0))</f>
        <v>0.3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20.283041298171355</v>
      </c>
      <c r="AW66" s="21">
        <f>EXP(-LN(2)/2)*AW65+(1-EXP(-LN(2)/2))/(LN(2)/2)*AQ66*AT66*VLOOKUP('Données projet'!$B$10,Paramètres!$A$1:$I$89,3,0)*0.475*44/12</f>
        <v>16.319948627053154</v>
      </c>
      <c r="AX66" s="21">
        <f t="shared" si="6"/>
        <v>36.602989925224506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5.9431089743589762</v>
      </c>
      <c r="BD66" s="12">
        <f>IF('Données projet'!$A$88&gt;35,BD65+BC66-BL65,IF(A66&lt;'Données projet'!$A$88,$BA$205^A66,IF(A66='Données projet'!$A$88,'Données projet'!$B$88,BD65+BC66-BL65)))</f>
        <v>144.08653846153845</v>
      </c>
      <c r="BE66" s="13">
        <f>BD66*VLOOKUP('Données projet'!$B$11,Paramètres!$A$1:$I$89,3,0)*VLOOKUP('Données projet'!$B$11,Paramètres!$A$1:$I$89,5,0)</f>
        <v>139.3605</v>
      </c>
      <c r="BF66" s="13">
        <f t="shared" si="37"/>
        <v>36.150466011752201</v>
      </c>
      <c r="BG66" s="20">
        <f t="shared" si="7"/>
        <v>305.68159913713504</v>
      </c>
      <c r="BH66" s="59">
        <f t="shared" si="8"/>
        <v>599.01493247046835</v>
      </c>
      <c r="BI66" s="59">
        <f ca="1">AVERAGE(OFFSET($BH$3,0,0,'Données projet'!$E$11+1,1))-AVERAGE(OFFSET($H$3,0,0,'Données projet'!$E$11+1,1))</f>
        <v>366.51581861366333</v>
      </c>
      <c r="BJ66" s="59">
        <f t="shared" si="38"/>
        <v>225.01415116995503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4.8</v>
      </c>
      <c r="BY66" s="12">
        <f>IF('Données projet'!$A$114&gt;35,BY65+BX66-CG65,IF(A66&lt;'Données projet'!$A$114,$BV$205^A66,IF(A66='Données projet'!$A$114,'Données projet'!$B$114,BY65+BX66-CG65)))</f>
        <v>191.40000000000006</v>
      </c>
      <c r="BZ66" s="13">
        <f>BY66*VLOOKUP('Données projet'!$B$12,Paramètres!$A$1:$I$89,3,0)*VLOOKUP('Données projet'!$B$12,Paramètres!$A$1:$I$89,5,0)</f>
        <v>125.40528000000003</v>
      </c>
      <c r="CA66" s="13">
        <f t="shared" si="39"/>
        <v>32.932441221531526</v>
      </c>
      <c r="CB66" s="20">
        <f t="shared" si="10"/>
        <v>275.77153112750079</v>
      </c>
      <c r="CC66" s="59">
        <f t="shared" si="11"/>
        <v>569.10486446083405</v>
      </c>
      <c r="CD66" s="59">
        <f ca="1">AVERAGE(OFFSET($CC$3,0,0,'Données projet'!$E$12+1,1))-AVERAGE(OFFSET($H$3,0,0,'Données projet'!$E$12+1,1))</f>
        <v>230.58262378842818</v>
      </c>
      <c r="CE66" s="59">
        <f t="shared" si="40"/>
        <v>235.68746142880792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6.1156548085585332</v>
      </c>
      <c r="CM66" s="21">
        <f>EXP(-LN(2)/2)*CM65+(1-EXP(-LN(2)/2))/(LN(2)/2)*CG66*CJ66*VLOOKUP('Données projet'!$B$12,Paramètres!$A$1:$I$89,3,0)*0.475*44/12</f>
        <v>1.5303450717280205</v>
      </c>
      <c r="CN66" s="22">
        <f t="shared" si="12"/>
        <v>7.6459998802865536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8.6666666666666661</v>
      </c>
      <c r="CT66" s="12">
        <f>IF('Données projet'!$A$140&gt;35,CT65+CS66-DB65,IF(A66&lt;'Données projet'!$A$140,$CQ$205^A66,IF(A66='Données projet'!$A$140,'Données projet'!$B$140,CT65+CS66-DB65)))</f>
        <v>276.00000000000006</v>
      </c>
      <c r="CU66" s="17">
        <f>CT66*VLOOKUP('Données projet'!$B$13,Paramètres!$A$1:$I$89,3,0)*VLOOKUP('Données projet'!$B$13,Paramètres!$A$1:$I$89,5,0)</f>
        <v>215.28000000000006</v>
      </c>
      <c r="CV66" s="13">
        <f t="shared" si="41"/>
        <v>53.087725740853138</v>
      </c>
      <c r="CW66" s="20">
        <f t="shared" si="13"/>
        <v>467.40712233198593</v>
      </c>
      <c r="CX66" s="59">
        <f t="shared" si="14"/>
        <v>760.74045566531925</v>
      </c>
      <c r="CY66" s="59">
        <f ca="1">AVERAGE(OFFSET($CX$3,0,0,'Données projet'!$E$13+1,1))-AVERAGE(OFFSET($H$3,0,0,'Données projet'!$E$13+1,1))</f>
        <v>288.80569134263209</v>
      </c>
      <c r="CZ66" s="59">
        <f t="shared" si="42"/>
        <v>283.48738729114024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22.891251004257274</v>
      </c>
      <c r="DG66" s="21">
        <f>EXP(-LN(2)/25)*DG65+(1-EXP(-LN(2)/25))/(LN(2)/25)*Calculateur!DB66*Calculateur!DD66*VLOOKUP('Données projet'!$B$13,Paramètres!$A$1:$I$89,3,0)*0.475*44/12</f>
        <v>23.331015252917272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46.222266257174546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4.4000000000000004</v>
      </c>
      <c r="DO66" s="12">
        <f>IF('Données projet'!$A$166&gt;35,DO65+DN66-DW65,IF(A66&lt;'Données projet'!$A$166,$DL$205^A66,IF(A66='Données projet'!$A$166,'Données projet'!$B$166,DO65+DN66-DW65)))</f>
        <v>246.19999999999985</v>
      </c>
      <c r="DP66" s="17">
        <f>DO66*VLOOKUP('Données projet'!$B$14,Paramètres!$A$1:$I$89,3,0)*VLOOKUP('Données projet'!$B$14,Paramètres!$A$1:$I$89,5,0)</f>
        <v>195.87671999999989</v>
      </c>
      <c r="DQ66" s="13">
        <f t="shared" si="43"/>
        <v>48.836899853879942</v>
      </c>
      <c r="DR66" s="20">
        <f t="shared" si="16"/>
        <v>426.20955457884071</v>
      </c>
      <c r="DS66" s="59">
        <f t="shared" si="17"/>
        <v>719.54288791217402</v>
      </c>
      <c r="DT66" s="59">
        <f ca="1">AVERAGE(OFFSET($DS$3,0,0,'Données projet'!$E$14+1,1))-AVERAGE(OFFSET($H$3,0,0,'Données projet'!$E$14+1,1))</f>
        <v>299.10536994156814</v>
      </c>
      <c r="DU66" s="59">
        <f t="shared" si="44"/>
        <v>292.57799203101769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21.791655493158551</v>
      </c>
      <c r="EB66" s="21">
        <f>EXP(-LN(2)/25)*EB65+(1-EXP(-LN(2)/25))/(LN(2)/25)*Calculateur!DW66*Calculateur!DY66*VLOOKUP('Données projet'!$B$14,Paramètres!$A$1:$I$89,3,0)*0.475*44/12</f>
        <v>10.879713234511174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32.671368727669723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8.1001602564102626</v>
      </c>
      <c r="N67" s="13">
        <f>IF('Données projet'!$A$36&gt;35,N66+M67-V66,IF(A67&lt;'Données projet'!$A$36,$K$205^A67,IF(A67='Données projet'!$A$36,'Données projet'!$B$36,N66+M67-V66)))</f>
        <v>186.66426282051296</v>
      </c>
      <c r="O67" s="13">
        <f>N67*VLOOKUP('Données projet'!$B$9,Paramètres!$A$1:$I$89,3,0)*VLOOKUP('Données projet'!$B$9,Paramètres!$A$1:$I$89,5,0)</f>
        <v>168.89382500000013</v>
      </c>
      <c r="P67" s="13">
        <f t="shared" si="33"/>
        <v>42.842183132845896</v>
      </c>
      <c r="Q67" s="20">
        <f t="shared" ref="Q67:Q98" si="54">(O67+P67)*0.475*44/12</f>
        <v>368.77354749804016</v>
      </c>
      <c r="R67" s="59">
        <f t="shared" ref="R67:R130" si="55">Q67+(I67+J67)*44/12</f>
        <v>662.10688083137347</v>
      </c>
      <c r="S67" s="59">
        <f ca="1">AVERAGE(OFFSET($R$3,0,0,'Données projet'!$E$9+1,1))-AVERAGE(OFFSET($H$3,0,0,'Données projet'!$E$9+1,1))</f>
        <v>384.05928630855732</v>
      </c>
      <c r="T67" s="59">
        <f t="shared" si="34"/>
        <v>279.93992813630513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12.315584094667875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12.315584094667875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8.9615384615384599</v>
      </c>
      <c r="AI67" s="13">
        <f>IF('Données projet'!$A$62&gt;35,AI66+AH67-AQ66,IF(A67&lt;'Données projet'!$A$62,$AF$205^A67,IF(A67='Données projet'!$A$62,'Données projet'!$B$62,AI66+AH67-AQ66)))</f>
        <v>188.75000000000028</v>
      </c>
      <c r="AJ67" s="13">
        <f>AI67*VLOOKUP('Données projet'!$B$10,Paramètres!$A$1:$I$89,3,0)*VLOOKUP('Données projet'!$B$10,Paramètres!$A$1:$I$89,5,0)</f>
        <v>161.94750000000028</v>
      </c>
      <c r="AK67" s="13">
        <f t="shared" si="35"/>
        <v>41.281469692265873</v>
      </c>
      <c r="AL67" s="20">
        <f t="shared" si="4"/>
        <v>353.95712221403022</v>
      </c>
      <c r="AM67" s="59">
        <f t="shared" si="5"/>
        <v>647.29045554736354</v>
      </c>
      <c r="AN67" s="59">
        <f ca="1">AVERAGE(OFFSET($AM$3,0,0,'Données projet'!$E$10+1,1))-AVERAGE(OFFSET($H$3,0,0,'Données projet'!$E$10+1,1))</f>
        <v>335.02113791949211</v>
      </c>
      <c r="AO67" s="59">
        <f t="shared" si="36"/>
        <v>222.06886429435099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19.728400467234074</v>
      </c>
      <c r="AW67" s="21">
        <f>EXP(-LN(2)/2)*AW66+(1-EXP(-LN(2)/2))/(LN(2)/2)*AQ67*AT67*VLOOKUP('Données projet'!$B$10,Paramètres!$A$1:$I$89,3,0)*0.475*44/12</f>
        <v>11.539946342805372</v>
      </c>
      <c r="AX67" s="21">
        <f t="shared" si="6"/>
        <v>31.268346810039446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5.9431089743589762</v>
      </c>
      <c r="BD67" s="12">
        <f>IF('Données projet'!$A$88&gt;35,BD66+BC67-BL66,IF(A67&lt;'Données projet'!$A$88,$BA$205^A67,IF(A67='Données projet'!$A$88,'Données projet'!$B$88,BD66+BC67-BL66)))</f>
        <v>150.02964743589743</v>
      </c>
      <c r="BE67" s="13">
        <f>BD67*VLOOKUP('Données projet'!$B$11,Paramètres!$A$1:$I$89,3,0)*VLOOKUP('Données projet'!$B$11,Paramètres!$A$1:$I$89,5,0)</f>
        <v>145.10867500000001</v>
      </c>
      <c r="BF67" s="13">
        <f t="shared" si="37"/>
        <v>37.464878834869843</v>
      </c>
      <c r="BG67" s="20">
        <f t="shared" si="7"/>
        <v>317.982272929065</v>
      </c>
      <c r="BH67" s="59">
        <f t="shared" si="8"/>
        <v>611.31560626239832</v>
      </c>
      <c r="BI67" s="59">
        <f ca="1">AVERAGE(OFFSET($BH$3,0,0,'Données projet'!$E$11+1,1))-AVERAGE(OFFSET($H$3,0,0,'Données projet'!$E$11+1,1))</f>
        <v>366.51581861366333</v>
      </c>
      <c r="BJ67" s="59">
        <f t="shared" si="38"/>
        <v>225.01415116995503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4.8</v>
      </c>
      <c r="BY67" s="12">
        <f>IF('Données projet'!$A$114&gt;35,BY66+BX67-CG66,IF(A67&lt;'Données projet'!$A$114,$BV$205^A67,IF(A67='Données projet'!$A$114,'Données projet'!$B$114,BY66+BX67-CG66)))</f>
        <v>196.20000000000007</v>
      </c>
      <c r="BZ67" s="13">
        <f>BY67*VLOOKUP('Données projet'!$B$12,Paramètres!$A$1:$I$89,3,0)*VLOOKUP('Données projet'!$B$12,Paramètres!$A$1:$I$89,5,0)</f>
        <v>128.55024000000003</v>
      </c>
      <c r="CA67" s="13">
        <f t="shared" si="39"/>
        <v>33.661144026076663</v>
      </c>
      <c r="CB67" s="20">
        <f t="shared" si="10"/>
        <v>282.51816051208363</v>
      </c>
      <c r="CC67" s="59">
        <f t="shared" si="11"/>
        <v>575.85149384541694</v>
      </c>
      <c r="CD67" s="59">
        <f ca="1">AVERAGE(OFFSET($CC$3,0,0,'Données projet'!$E$12+1,1))-AVERAGE(OFFSET($H$3,0,0,'Données projet'!$E$12+1,1))</f>
        <v>230.58262378842818</v>
      </c>
      <c r="CE67" s="59">
        <f t="shared" si="40"/>
        <v>235.68746142880792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5.9484219062101911</v>
      </c>
      <c r="CM67" s="21">
        <f>EXP(-LN(2)/2)*CM66+(1-EXP(-LN(2)/2))/(LN(2)/2)*CG67*CJ67*VLOOKUP('Données projet'!$B$12,Paramètres!$A$1:$I$89,3,0)*0.475*44/12</f>
        <v>1.0821173777742967</v>
      </c>
      <c r="CN67" s="22">
        <f t="shared" si="12"/>
        <v>7.0305392839844876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8.6666666666666661</v>
      </c>
      <c r="CT67" s="12">
        <f>IF('Données projet'!$A$140&gt;35,CT66+CS67-DB66,IF(A67&lt;'Données projet'!$A$140,$CQ$205^A67,IF(A67='Données projet'!$A$140,'Données projet'!$B$140,CT66+CS67-DB66)))</f>
        <v>284.66666666666674</v>
      </c>
      <c r="CU67" s="17">
        <f>CT67*VLOOKUP('Données projet'!$B$13,Paramètres!$A$1:$I$89,3,0)*VLOOKUP('Données projet'!$B$13,Paramètres!$A$1:$I$89,5,0)</f>
        <v>222.04000000000008</v>
      </c>
      <c r="CV67" s="13">
        <f t="shared" si="41"/>
        <v>54.558031180803596</v>
      </c>
      <c r="CW67" s="20">
        <f t="shared" si="13"/>
        <v>481.74157097323308</v>
      </c>
      <c r="CX67" s="59">
        <f t="shared" si="14"/>
        <v>775.0749043065664</v>
      </c>
      <c r="CY67" s="59">
        <f ca="1">AVERAGE(OFFSET($CX$3,0,0,'Données projet'!$E$13+1,1))-AVERAGE(OFFSET($H$3,0,0,'Données projet'!$E$13+1,1))</f>
        <v>288.80569134263209</v>
      </c>
      <c r="CZ67" s="59">
        <f t="shared" si="42"/>
        <v>283.48738729114024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22.442367534348239</v>
      </c>
      <c r="DG67" s="21">
        <f>EXP(-LN(2)/25)*DG66+(1-EXP(-LN(2)/25))/(LN(2)/25)*Calculateur!DB67*Calculateur!DD67*VLOOKUP('Données projet'!$B$13,Paramètres!$A$1:$I$89,3,0)*0.475*44/12</f>
        <v>22.693027413901479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45.135394948249719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4.4000000000000004</v>
      </c>
      <c r="DO67" s="12">
        <f>IF('Données projet'!$A$166&gt;35,DO66+DN67-DW66,IF(A67&lt;'Données projet'!$A$166,$DL$205^A67,IF(A67='Données projet'!$A$166,'Données projet'!$B$166,DO66+DN67-DW66)))</f>
        <v>250.59999999999985</v>
      </c>
      <c r="DP67" s="17">
        <f>DO67*VLOOKUP('Données projet'!$B$14,Paramètres!$A$1:$I$89,3,0)*VLOOKUP('Données projet'!$B$14,Paramètres!$A$1:$I$89,5,0)</f>
        <v>199.3773599999999</v>
      </c>
      <c r="DQ67" s="13">
        <f t="shared" si="43"/>
        <v>49.607305476717762</v>
      </c>
      <c r="DR67" s="20">
        <f t="shared" si="16"/>
        <v>433.64829237194994</v>
      </c>
      <c r="DS67" s="59">
        <f t="shared" si="17"/>
        <v>726.98162570528325</v>
      </c>
      <c r="DT67" s="59">
        <f ca="1">AVERAGE(OFFSET($DS$3,0,0,'Données projet'!$E$14+1,1))-AVERAGE(OFFSET($H$3,0,0,'Données projet'!$E$14+1,1))</f>
        <v>299.10536994156814</v>
      </c>
      <c r="DU67" s="59">
        <f t="shared" si="44"/>
        <v>292.57799203101769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21.364334420535126</v>
      </c>
      <c r="EB67" s="21">
        <f>EXP(-LN(2)/25)*EB66+(1-EXP(-LN(2)/25))/(LN(2)/25)*Calculateur!DW67*Calculateur!DY67*VLOOKUP('Données projet'!$B$14,Paramètres!$A$1:$I$89,3,0)*0.475*44/12</f>
        <v>10.582206903974212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31.94654132450934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8.1001602564102626</v>
      </c>
      <c r="N68" s="13">
        <f>IF('Données projet'!$A$36&gt;35,N67+M68-V67,IF(A68&lt;'Données projet'!$A$36,$K$205^A68,IF(A68='Données projet'!$A$36,'Données projet'!$B$36,N67+M68-V67)))</f>
        <v>194.76442307692321</v>
      </c>
      <c r="O68" s="13">
        <f>N68*VLOOKUP('Données projet'!$B$9,Paramètres!$A$1:$I$89,3,0)*VLOOKUP('Données projet'!$B$9,Paramètres!$A$1:$I$89,5,0)</f>
        <v>176.22285000000011</v>
      </c>
      <c r="P68" s="13">
        <f t="shared" si="33"/>
        <v>44.480805480154558</v>
      </c>
      <c r="Q68" s="20">
        <f t="shared" si="54"/>
        <v>384.3921999612694</v>
      </c>
      <c r="R68" s="59">
        <f t="shared" si="55"/>
        <v>677.72553329460266</v>
      </c>
      <c r="S68" s="59">
        <f ca="1">AVERAGE(OFFSET($R$3,0,0,'Données projet'!$E$9+1,1))-AVERAGE(OFFSET($H$3,0,0,'Données projet'!$E$9+1,1))</f>
        <v>384.05928630855732</v>
      </c>
      <c r="T68" s="59">
        <f t="shared" si="34"/>
        <v>279.93992813630513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12.07408300233601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12.07408300233601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8.9615384615384599</v>
      </c>
      <c r="AI68" s="13">
        <f>IF('Données projet'!$A$62&gt;35,AI67+AH68-AQ67,IF(A68&lt;'Données projet'!$A$62,$AF$205^A68,IF(A68='Données projet'!$A$62,'Données projet'!$B$62,AI67+AH68-AQ67)))</f>
        <v>197.71153846153874</v>
      </c>
      <c r="AJ68" s="13">
        <f>AI68*VLOOKUP('Données projet'!$B$10,Paramètres!$A$1:$I$89,3,0)*VLOOKUP('Données projet'!$B$10,Paramètres!$A$1:$I$89,5,0)</f>
        <v>169.63650000000024</v>
      </c>
      <c r="AK68" s="13">
        <f t="shared" si="35"/>
        <v>43.008601537975395</v>
      </c>
      <c r="AL68" s="20">
        <f t="shared" ref="AL68:AL131" si="58">(AJ68+AK68)*0.475*44/12</f>
        <v>370.35688517864082</v>
      </c>
      <c r="AM68" s="59">
        <f t="shared" ref="AM68:AM131" si="59">AL68+(AD68+AE68)*44/12</f>
        <v>663.69021851197408</v>
      </c>
      <c r="AN68" s="59">
        <f ca="1">AVERAGE(OFFSET($AM$3,0,0,'Données projet'!$E$10+1,1))-AVERAGE(OFFSET($H$3,0,0,'Données projet'!$E$10+1,1))</f>
        <v>335.02113791949211</v>
      </c>
      <c r="AO68" s="59">
        <f t="shared" si="36"/>
        <v>222.06886429435099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19.188926318986066</v>
      </c>
      <c r="AW68" s="21">
        <f>EXP(-LN(2)/2)*AW67+(1-EXP(-LN(2)/2))/(LN(2)/2)*AQ68*AT68*VLOOKUP('Données projet'!$B$10,Paramètres!$A$1:$I$89,3,0)*0.475*44/12</f>
        <v>8.159974313526579</v>
      </c>
      <c r="AX68" s="21">
        <f t="shared" ref="AX68:AX131" si="60">SUM(AU68:AW68)</f>
        <v>27.348900632512645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5.9431089743589762</v>
      </c>
      <c r="BD68" s="12">
        <f>IF('Données projet'!$A$88&gt;35,BD67+BC68-BL67,IF(A68&lt;'Données projet'!$A$88,$BA$205^A68,IF(A68='Données projet'!$A$88,'Données projet'!$B$88,BD67+BC68-BL67)))</f>
        <v>155.97275641025641</v>
      </c>
      <c r="BE68" s="13">
        <f>BD68*VLOOKUP('Données projet'!$B$11,Paramètres!$A$1:$I$89,3,0)*VLOOKUP('Données projet'!$B$11,Paramètres!$A$1:$I$89,5,0)</f>
        <v>150.85685000000001</v>
      </c>
      <c r="BF68" s="13">
        <f t="shared" si="37"/>
        <v>38.773243258316775</v>
      </c>
      <c r="BG68" s="20">
        <f t="shared" ref="BG68:BG131" si="61">(BE68+BF68)*0.475*44/12</f>
        <v>330.27241242490169</v>
      </c>
      <c r="BH68" s="59">
        <f t="shared" ref="BH68:BH131" si="62">BG68+(AY68+AZ68)*44/12</f>
        <v>623.605745758235</v>
      </c>
      <c r="BI68" s="59">
        <f ca="1">AVERAGE(OFFSET($BH$3,0,0,'Données projet'!$E$11+1,1))-AVERAGE(OFFSET($H$3,0,0,'Données projet'!$E$11+1,1))</f>
        <v>366.51581861366333</v>
      </c>
      <c r="BJ68" s="59">
        <f t="shared" si="38"/>
        <v>225.01415116995503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201</v>
      </c>
      <c r="BW68" s="12">
        <f>VLOOKUP(A68,'Données projet'!$A$113:$I$133,9,0)</f>
        <v>4.8</v>
      </c>
      <c r="BX68" s="12">
        <f t="array" ref="BX68">INDEX(BW:BW,MIN(IF(ISNUMBER(BW68:BW264),ROW(BW68:BW264),"")))</f>
        <v>4.8</v>
      </c>
      <c r="BY68" s="12">
        <f>IF('Données projet'!$A$114&gt;35,BY67+BX68-CG67,IF(A68&lt;'Données projet'!$A$114,$BV$205^A68,IF(A68='Données projet'!$A$114,'Données projet'!$B$114,BY67+BX68-CG67)))</f>
        <v>201.00000000000009</v>
      </c>
      <c r="BZ68" s="13">
        <f>BY68*VLOOKUP('Données projet'!$B$12,Paramètres!$A$1:$I$89,3,0)*VLOOKUP('Données projet'!$B$12,Paramètres!$A$1:$I$89,5,0)</f>
        <v>131.69520000000006</v>
      </c>
      <c r="CA68" s="13">
        <f t="shared" si="39"/>
        <v>34.387774432362271</v>
      </c>
      <c r="CB68" s="20">
        <f t="shared" ref="CB68:CB131" si="64">(BZ68+CA68)*0.475*44/12</f>
        <v>289.26118046969771</v>
      </c>
      <c r="CC68" s="59">
        <f t="shared" ref="CC68:CC131" si="65">CB68+(BT68+BU68)*44/12</f>
        <v>582.59451380303108</v>
      </c>
      <c r="CD68" s="59">
        <f ca="1">AVERAGE(OFFSET($CC$3,0,0,'Données projet'!$E$12+1,1))-AVERAGE(OFFSET($H$3,0,0,'Données projet'!$E$12+1,1))</f>
        <v>230.58262378842818</v>
      </c>
      <c r="CE68" s="59">
        <f t="shared" si="40"/>
        <v>235.68746142880792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18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0.129</v>
      </c>
      <c r="CJ68" s="16">
        <f>IF(ISNA(VLOOKUP(A68,'Données projet'!$A$113:$I$133,7,0)),0%,VLOOKUP(A68,'Données projet'!$A$113:$I$133,7,0))</f>
        <v>0.3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7.4609743091431628</v>
      </c>
      <c r="CM68" s="21">
        <f>EXP(-LN(2)/2)*CM67+(1-EXP(-LN(2)/2))/(LN(2)/2)*CG68*CJ68*VLOOKUP('Données projet'!$B$12,Paramètres!$A$1:$I$89,3,0)*0.475*44/12</f>
        <v>4.1034462418910422</v>
      </c>
      <c r="CN68" s="22">
        <f t="shared" ref="CN68:CN131" si="66">SUM(CK68:CM68)</f>
        <v>11.564420551034205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8.6666666666666661</v>
      </c>
      <c r="CT68" s="12">
        <f>IF('Données projet'!$A$140&gt;35,CT67+CS68-DB67,IF(A68&lt;'Données projet'!$A$140,$CQ$205^A68,IF(A68='Données projet'!$A$140,'Données projet'!$B$140,CT67+CS68-DB67)))</f>
        <v>293.33333333333343</v>
      </c>
      <c r="CU68" s="17">
        <f>CT68*VLOOKUP('Données projet'!$B$13,Paramètres!$A$1:$I$89,3,0)*VLOOKUP('Données projet'!$B$13,Paramètres!$A$1:$I$89,5,0)</f>
        <v>228.80000000000007</v>
      </c>
      <c r="CV68" s="13">
        <f t="shared" si="41"/>
        <v>56.023134533701196</v>
      </c>
      <c r="CW68" s="20">
        <f t="shared" ref="CW68:CW131" si="67">(CU68+CV68)*0.475*44/12</f>
        <v>496.06695931286299</v>
      </c>
      <c r="CX68" s="59">
        <f t="shared" ref="CX68:CX131" si="68">CW68+(CO68+CP68)*44/12</f>
        <v>789.40029264619625</v>
      </c>
      <c r="CY68" s="59">
        <f ca="1">AVERAGE(OFFSET($CX$3,0,0,'Données projet'!$E$13+1,1))-AVERAGE(OFFSET($H$3,0,0,'Données projet'!$E$13+1,1))</f>
        <v>288.80569134263209</v>
      </c>
      <c r="CZ68" s="59">
        <f t="shared" si="42"/>
        <v>283.48738729114024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22.002286395492241</v>
      </c>
      <c r="DG68" s="21">
        <f>EXP(-LN(2)/25)*DG67+(1-EXP(-LN(2)/25))/(LN(2)/25)*Calculateur!DB68*Calculateur!DD68*VLOOKUP('Données projet'!$B$13,Paramètres!$A$1:$I$89,3,0)*0.475*44/12</f>
        <v>22.072485385893899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44.07477178138614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255</v>
      </c>
      <c r="DM68" s="12">
        <f>VLOOKUP(A68,'Données projet'!$A$165:$I$185,9,0)</f>
        <v>4.4000000000000004</v>
      </c>
      <c r="DN68" s="12">
        <f t="array" ref="DN68">INDEX(DM:DM,MIN(IF(ISNUMBER(DM68:DM264),ROW(DM68:DM264),"")))</f>
        <v>4.4000000000000004</v>
      </c>
      <c r="DO68" s="12">
        <f>IF('Données projet'!$A$166&gt;35,DO67+DN68-DW67,IF(A68&lt;'Données projet'!$A$166,$DL$205^A68,IF(A68='Données projet'!$A$166,'Données projet'!$B$166,DO67+DN68-DW67)))</f>
        <v>254.99999999999986</v>
      </c>
      <c r="DP68" s="17">
        <f>DO68*VLOOKUP('Données projet'!$B$14,Paramètres!$A$1:$I$89,3,0)*VLOOKUP('Données projet'!$B$14,Paramètres!$A$1:$I$89,5,0)</f>
        <v>202.8779999999999</v>
      </c>
      <c r="DQ68" s="13">
        <f t="shared" si="43"/>
        <v>50.376138116990084</v>
      </c>
      <c r="DR68" s="20">
        <f t="shared" ref="DR68:DR131" si="70">(DP68+DQ68)*0.475*44/12</f>
        <v>441.08429055375751</v>
      </c>
      <c r="DS68" s="59">
        <f t="shared" ref="DS68:DS131" si="71">DR68+(DJ68+DK68)*44/12</f>
        <v>734.41762388709083</v>
      </c>
      <c r="DT68" s="59">
        <f ca="1">AVERAGE(OFFSET($DS$3,0,0,'Données projet'!$E$14+1,1))-AVERAGE(OFFSET($H$3,0,0,'Données projet'!$E$14+1,1))</f>
        <v>299.10536994156814</v>
      </c>
      <c r="DU68" s="59">
        <f t="shared" si="44"/>
        <v>292.57799203101769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11</v>
      </c>
      <c r="DX68" s="16">
        <f>IF(ISNA(VLOOKUP(A68,'Données projet'!$A$165:$I$185,5,0)),0%,VLOOKUP(A68,'Données projet'!$A$165:$I$185,5,0)*VLOOKUP('Données projet'!$B$14,Paramètres!$A$1:$I$89,7,0))</f>
        <v>0.43459999999999999</v>
      </c>
      <c r="DY68" s="16">
        <f>IF(ISNA(VLOOKUP(A68,'Données projet'!$A$165:$I$185,6,0)),0%,VLOOKUP(A68,'Données projet'!$A$165:$I$185,6,0)*VLOOKUP('Données projet'!$B$14,Paramètres!$A$1:$I$89,7,0))</f>
        <v>4.7699999999999999E-2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25.149989039157767</v>
      </c>
      <c r="EB68" s="21">
        <f>EXP(-LN(2)/25)*EB67+(1-EXP(-LN(2)/25))/(LN(2)/25)*Calculateur!DW68*Calculateur!DY68*VLOOKUP('Données projet'!$B$14,Paramètres!$A$1:$I$89,3,0)*0.475*44/12</f>
        <v>10.75249894597793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35.902487985135693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8.1001602564102626</v>
      </c>
      <c r="N69" s="13">
        <f>IF('Données projet'!$A$36&gt;35,N68+M69-V68,IF(A69&lt;'Données projet'!$A$36,$K$205^A69,IF(A69='Données projet'!$A$36,'Données projet'!$B$36,N68+M69-V68)))</f>
        <v>202.86458333333348</v>
      </c>
      <c r="O69" s="13">
        <f>N69*VLOOKUP('Données projet'!$B$9,Paramètres!$A$1:$I$89,3,0)*VLOOKUP('Données projet'!$B$9,Paramètres!$A$1:$I$89,5,0)</f>
        <v>183.55187500000014</v>
      </c>
      <c r="P69" s="13">
        <f t="shared" ref="P69:P132" si="87">EXP(-1.0587+0.8836*LN(O69)+0.284)</f>
        <v>46.11151198237242</v>
      </c>
      <c r="Q69" s="20">
        <f t="shared" si="54"/>
        <v>399.99706566096552</v>
      </c>
      <c r="R69" s="59">
        <f t="shared" si="55"/>
        <v>693.33039899429878</v>
      </c>
      <c r="S69" s="59">
        <f ca="1">AVERAGE(OFFSET($R$3,0,0,'Données projet'!$E$9+1,1))-AVERAGE(OFFSET($H$3,0,0,'Données projet'!$E$9+1,1))</f>
        <v>384.05928630855732</v>
      </c>
      <c r="T69" s="59">
        <f t="shared" ref="T69:T132" si="88">$T$3</f>
        <v>279.93992813630513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11.837317599123653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11.837317599123653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8.9615384615384599</v>
      </c>
      <c r="AI69" s="13">
        <f>IF('Données projet'!$A$62&gt;35,AI68+AH69-AQ68,IF(A69&lt;'Données projet'!$A$62,$AF$205^A69,IF(A69='Données projet'!$A$62,'Données projet'!$B$62,AI68+AH69-AQ68)))</f>
        <v>206.67307692307719</v>
      </c>
      <c r="AJ69" s="13">
        <f>AI69*VLOOKUP('Données projet'!$B$10,Paramètres!$A$1:$I$89,3,0)*VLOOKUP('Données projet'!$B$10,Paramètres!$A$1:$I$89,5,0)</f>
        <v>177.32550000000023</v>
      </c>
      <c r="AK69" s="13">
        <f t="shared" ref="AK69:AK132" si="89">EXP(-1.0587+0.8836*LN(AJ69)+0.284)</f>
        <v>44.72664177106892</v>
      </c>
      <c r="AL69" s="20">
        <f t="shared" si="58"/>
        <v>386.74081358461211</v>
      </c>
      <c r="AM69" s="59">
        <f t="shared" si="59"/>
        <v>680.07414691794543</v>
      </c>
      <c r="AN69" s="59">
        <f ca="1">AVERAGE(OFFSET($AM$3,0,0,'Données projet'!$E$10+1,1))-AVERAGE(OFFSET($H$3,0,0,'Données projet'!$E$10+1,1))</f>
        <v>335.02113791949211</v>
      </c>
      <c r="AO69" s="59">
        <f t="shared" ref="AO69:AO132" si="90">$AO$3</f>
        <v>222.06886429435099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18.664204119691615</v>
      </c>
      <c r="AW69" s="21">
        <f>EXP(-LN(2)/2)*AW68+(1-EXP(-LN(2)/2))/(LN(2)/2)*AQ69*AT69*VLOOKUP('Données projet'!$B$10,Paramètres!$A$1:$I$89,3,0)*0.475*44/12</f>
        <v>5.7699731714026878</v>
      </c>
      <c r="AX69" s="21">
        <f t="shared" si="60"/>
        <v>24.434177291094301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5.9431089743589762</v>
      </c>
      <c r="BD69" s="12">
        <f>IF('Données projet'!$A$88&gt;35,BD68+BC69-BL68,IF(A69&lt;'Données projet'!$A$88,$BA$205^A69,IF(A69='Données projet'!$A$88,'Données projet'!$B$88,BD68+BC69-BL68)))</f>
        <v>161.91586538461539</v>
      </c>
      <c r="BE69" s="13">
        <f>BD69*VLOOKUP('Données projet'!$B$11,Paramètres!$A$1:$I$89,3,0)*VLOOKUP('Données projet'!$B$11,Paramètres!$A$1:$I$89,5,0)</f>
        <v>156.60502500000001</v>
      </c>
      <c r="BF69" s="13">
        <f t="shared" ref="BF69:BF132" si="91">EXP(-1.0587+0.8836*LN(BE69)+0.284)</f>
        <v>40.075816130288338</v>
      </c>
      <c r="BG69" s="20">
        <f t="shared" si="61"/>
        <v>342.55246496858553</v>
      </c>
      <c r="BH69" s="59">
        <f t="shared" si="62"/>
        <v>635.88579830191884</v>
      </c>
      <c r="BI69" s="59">
        <f ca="1">AVERAGE(OFFSET($BH$3,0,0,'Données projet'!$E$11+1,1))-AVERAGE(OFFSET($H$3,0,0,'Données projet'!$E$11+1,1))</f>
        <v>366.51581861366333</v>
      </c>
      <c r="BJ69" s="59">
        <f t="shared" ref="BJ69:BJ132" si="92">$BJ$3</f>
        <v>225.01415116995503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4.4000000000000004</v>
      </c>
      <c r="BY69" s="12">
        <f>IF('Données projet'!$A$114&gt;35,BY68+BX69-CG68,IF(A69&lt;'Données projet'!$A$114,$BV$205^A69,IF(A69='Données projet'!$A$114,'Données projet'!$B$114,BY68+BX69-CG68)))</f>
        <v>187.40000000000009</v>
      </c>
      <c r="BZ69" s="13">
        <f>BY69*VLOOKUP('Données projet'!$B$12,Paramètres!$A$1:$I$89,3,0)*VLOOKUP('Données projet'!$B$12,Paramètres!$A$1:$I$89,5,0)</f>
        <v>122.78448000000007</v>
      </c>
      <c r="CA69" s="13">
        <f t="shared" ref="CA69:CA132" si="93">EXP(-1.0587+0.8836*LN(BZ69)+0.284)</f>
        <v>32.323563966100259</v>
      </c>
      <c r="CB69" s="20">
        <f t="shared" si="64"/>
        <v>270.1465099076247</v>
      </c>
      <c r="CC69" s="59">
        <f t="shared" si="65"/>
        <v>563.47984324095796</v>
      </c>
      <c r="CD69" s="59">
        <f ca="1">AVERAGE(OFFSET($CC$3,0,0,'Données projet'!$E$12+1,1))-AVERAGE(OFFSET($H$3,0,0,'Données projet'!$E$12+1,1))</f>
        <v>230.58262378842818</v>
      </c>
      <c r="CE69" s="59">
        <f t="shared" ref="CE69:CE132" si="94">$CE$3</f>
        <v>235.68746142880792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7.2569535743040561</v>
      </c>
      <c r="CM69" s="21">
        <f>EXP(-LN(2)/2)*CM68+(1-EXP(-LN(2)/2))/(LN(2)/2)*CG69*CJ69*VLOOKUP('Données projet'!$B$12,Paramètres!$A$1:$I$89,3,0)*0.475*44/12</f>
        <v>2.9015746638756101</v>
      </c>
      <c r="CN69" s="22">
        <f t="shared" si="66"/>
        <v>10.158528238179667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8.6666666666666661</v>
      </c>
      <c r="CT69" s="12">
        <f>IF('Données projet'!$A$140&gt;35,CT68+CS69-DB68,IF(A69&lt;'Données projet'!$A$140,$CQ$205^A69,IF(A69='Données projet'!$A$140,'Données projet'!$B$140,CT68+CS69-DB68)))</f>
        <v>302.00000000000011</v>
      </c>
      <c r="CU69" s="17">
        <f>CT69*VLOOKUP('Données projet'!$B$13,Paramètres!$A$1:$I$89,3,0)*VLOOKUP('Données projet'!$B$13,Paramètres!$A$1:$I$89,5,0)</f>
        <v>235.56000000000009</v>
      </c>
      <c r="CV69" s="13">
        <f t="shared" ref="CV69:CV132" si="95">EXP(-1.0587+0.8836*LN(CU69)+0.284)</f>
        <v>57.483207143847771</v>
      </c>
      <c r="CW69" s="20">
        <f t="shared" si="67"/>
        <v>510.38358577553487</v>
      </c>
      <c r="CX69" s="59">
        <f t="shared" si="68"/>
        <v>803.71691910886818</v>
      </c>
      <c r="CY69" s="59">
        <f ca="1">AVERAGE(OFFSET($CX$3,0,0,'Données projet'!$E$13+1,1))-AVERAGE(OFFSET($H$3,0,0,'Données projet'!$E$13+1,1))</f>
        <v>288.80569134263209</v>
      </c>
      <c r="CZ69" s="59">
        <f t="shared" ref="CZ69:CZ132" si="96">$CZ$3</f>
        <v>283.48738729114024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21.57083497934622</v>
      </c>
      <c r="DG69" s="21">
        <f>EXP(-LN(2)/25)*DG68+(1-EXP(-LN(2)/25))/(LN(2)/25)*Calculateur!DB69*Calculateur!DD69*VLOOKUP('Données projet'!$B$13,Paramètres!$A$1:$I$89,3,0)*0.475*44/12</f>
        <v>21.468912112275071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43.039747091621294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3.8</v>
      </c>
      <c r="DO69" s="12">
        <f>IF('Données projet'!$A$166&gt;35,DO68+DN69-DW68,IF(A69&lt;'Données projet'!$A$166,$DL$205^A69,IF(A69='Données projet'!$A$166,'Données projet'!$B$166,DO68+DN69-DW68)))</f>
        <v>247.79999999999984</v>
      </c>
      <c r="DP69" s="17">
        <f>DO69*VLOOKUP('Données projet'!$B$14,Paramètres!$A$1:$I$89,3,0)*VLOOKUP('Données projet'!$B$14,Paramètres!$A$1:$I$89,5,0)</f>
        <v>197.14967999999988</v>
      </c>
      <c r="DQ69" s="13">
        <f t="shared" ref="DQ69:DQ132" si="97">EXP(-1.0587+0.8836*LN(DP69)+0.284)</f>
        <v>49.11723130862363</v>
      </c>
      <c r="DR69" s="20">
        <f t="shared" si="70"/>
        <v>428.91487052918592</v>
      </c>
      <c r="DS69" s="59">
        <f t="shared" si="71"/>
        <v>722.24820386251918</v>
      </c>
      <c r="DT69" s="59">
        <f ca="1">AVERAGE(OFFSET($DS$3,0,0,'Données projet'!$E$14+1,1))-AVERAGE(OFFSET($H$3,0,0,'Données projet'!$E$14+1,1))</f>
        <v>299.10536994156814</v>
      </c>
      <c r="DU69" s="59">
        <f t="shared" ref="DU69:DU132" si="98">$DU$3</f>
        <v>292.57799203101769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24.656813094078501</v>
      </c>
      <c r="EB69" s="21">
        <f>EXP(-LN(2)/25)*EB68+(1-EXP(-LN(2)/25))/(LN(2)/25)*Calculateur!DW69*Calculateur!DY69*VLOOKUP('Données projet'!$B$14,Paramètres!$A$1:$I$89,3,0)*0.475*44/12</f>
        <v>10.458471296850819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35.115284390929318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8.1001602564102626</v>
      </c>
      <c r="N70" s="13">
        <f>IF('Données projet'!$A$36&gt;35,N69+M70-V69,IF(A70&lt;'Données projet'!$A$36,$K$205^A70,IF(A70='Données projet'!$A$36,'Données projet'!$B$36,N69+M70-V69)))</f>
        <v>210.96474358974376</v>
      </c>
      <c r="O70" s="13">
        <f>N70*VLOOKUP('Données projet'!$B$9,Paramètres!$A$1:$I$89,3,0)*VLOOKUP('Données projet'!$B$9,Paramètres!$A$1:$I$89,5,0)</f>
        <v>190.88090000000014</v>
      </c>
      <c r="P70" s="13">
        <f t="shared" si="87"/>
        <v>47.734654873168694</v>
      </c>
      <c r="Q70" s="20">
        <f t="shared" si="54"/>
        <v>415.58875807076902</v>
      </c>
      <c r="R70" s="59">
        <f t="shared" si="55"/>
        <v>708.92209140410228</v>
      </c>
      <c r="S70" s="59">
        <f ca="1">AVERAGE(OFFSET($R$3,0,0,'Données projet'!$E$9+1,1))-AVERAGE(OFFSET($H$3,0,0,'Données projet'!$E$9+1,1))</f>
        <v>384.05928630855732</v>
      </c>
      <c r="T70" s="59">
        <f t="shared" si="88"/>
        <v>279.93992813630513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11.605195021055652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11.605195021055652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8.9615384615384599</v>
      </c>
      <c r="AI70" s="13">
        <f>IF('Données projet'!$A$62&gt;35,AI69+AH70-AQ69,IF(A70&lt;'Données projet'!$A$62,$AF$205^A70,IF(A70='Données projet'!$A$62,'Données projet'!$B$62,AI69+AH70-AQ69)))</f>
        <v>215.63461538461564</v>
      </c>
      <c r="AJ70" s="13">
        <f>AI70*VLOOKUP('Données projet'!$B$10,Paramètres!$A$1:$I$89,3,0)*VLOOKUP('Données projet'!$B$10,Paramètres!$A$1:$I$89,5,0)</f>
        <v>185.01450000000025</v>
      </c>
      <c r="AK70" s="13">
        <f t="shared" si="89"/>
        <v>46.436029671900428</v>
      </c>
      <c r="AL70" s="20">
        <f t="shared" si="58"/>
        <v>403.10967251189368</v>
      </c>
      <c r="AM70" s="59">
        <f t="shared" si="59"/>
        <v>696.44300584522693</v>
      </c>
      <c r="AN70" s="59">
        <f ca="1">AVERAGE(OFFSET($AM$3,0,0,'Données projet'!$E$10+1,1))-AVERAGE(OFFSET($H$3,0,0,'Données projet'!$E$10+1,1))</f>
        <v>335.02113791949211</v>
      </c>
      <c r="AO70" s="59">
        <f t="shared" si="90"/>
        <v>222.06886429435099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18.153830476530811</v>
      </c>
      <c r="AW70" s="21">
        <f>EXP(-LN(2)/2)*AW69+(1-EXP(-LN(2)/2))/(LN(2)/2)*AQ70*AT70*VLOOKUP('Données projet'!$B$10,Paramètres!$A$1:$I$89,3,0)*0.475*44/12</f>
        <v>4.0799871567632904</v>
      </c>
      <c r="AX70" s="21">
        <f t="shared" si="60"/>
        <v>22.233817633294102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167.85897435897436</v>
      </c>
      <c r="BB70" s="12">
        <f>VLOOKUP(A70,'Données projet'!$A$87:$I$107,9,0)</f>
        <v>5.9431089743589762</v>
      </c>
      <c r="BC70" s="12">
        <f t="array" ref="BC70">INDEX(BB:BB,MIN(IF(ISNUMBER(BB70:BB266),ROW(BB70:BB266),"")))</f>
        <v>5.9431089743589762</v>
      </c>
      <c r="BD70" s="12">
        <f>IF('Données projet'!$A$88&gt;35,BD69+BC70-BL69,IF(A70&lt;'Données projet'!$A$88,$BA$205^A70,IF(A70='Données projet'!$A$88,'Données projet'!$B$88,BD69+BC70-BL69)))</f>
        <v>167.85897435897436</v>
      </c>
      <c r="BE70" s="13">
        <f>BD70*VLOOKUP('Données projet'!$B$11,Paramètres!$A$1:$I$89,3,0)*VLOOKUP('Données projet'!$B$11,Paramètres!$A$1:$I$89,5,0)</f>
        <v>162.35320000000002</v>
      </c>
      <c r="BF70" s="13">
        <f t="shared" si="91"/>
        <v>41.372834375333397</v>
      </c>
      <c r="BG70" s="20">
        <f t="shared" si="61"/>
        <v>354.82284320370565</v>
      </c>
      <c r="BH70" s="59">
        <f t="shared" si="62"/>
        <v>648.15617653703896</v>
      </c>
      <c r="BI70" s="59">
        <f ca="1">AVERAGE(OFFSET($BH$3,0,0,'Données projet'!$E$11+1,1))-AVERAGE(OFFSET($H$3,0,0,'Données projet'!$E$11+1,1))</f>
        <v>366.51581861366333</v>
      </c>
      <c r="BJ70" s="59">
        <f t="shared" si="92"/>
        <v>225.01415116995503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31.993589743589741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4.4000000000000004</v>
      </c>
      <c r="BY70" s="12">
        <f>IF('Données projet'!$A$114&gt;35,BY69+BX70-CG69,IF(A70&lt;'Données projet'!$A$114,$BV$205^A70,IF(A70='Données projet'!$A$114,'Données projet'!$B$114,BY69+BX70-CG69)))</f>
        <v>191.8000000000001</v>
      </c>
      <c r="BZ70" s="13">
        <f>BY70*VLOOKUP('Données projet'!$B$12,Paramètres!$A$1:$I$89,3,0)*VLOOKUP('Données projet'!$B$12,Paramètres!$A$1:$I$89,5,0)</f>
        <v>125.66736000000007</v>
      </c>
      <c r="CA70" s="13">
        <f t="shared" si="93"/>
        <v>32.993247007291167</v>
      </c>
      <c r="CB70" s="20">
        <f t="shared" si="64"/>
        <v>276.33389053769889</v>
      </c>
      <c r="CC70" s="59">
        <f t="shared" si="65"/>
        <v>569.66722387103221</v>
      </c>
      <c r="CD70" s="59">
        <f ca="1">AVERAGE(OFFSET($CC$3,0,0,'Données projet'!$E$12+1,1))-AVERAGE(OFFSET($H$3,0,0,'Données projet'!$E$12+1,1))</f>
        <v>230.58262378842818</v>
      </c>
      <c r="CE70" s="59">
        <f t="shared" si="94"/>
        <v>235.68746142880792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7.0585117971881095</v>
      </c>
      <c r="CM70" s="21">
        <f>EXP(-LN(2)/2)*CM69+(1-EXP(-LN(2)/2))/(LN(2)/2)*CG70*CJ70*VLOOKUP('Données projet'!$B$12,Paramètres!$A$1:$I$89,3,0)*0.475*44/12</f>
        <v>2.0517231209455216</v>
      </c>
      <c r="CN70" s="22">
        <f t="shared" si="66"/>
        <v>9.1102349181336315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8.6666666666666661</v>
      </c>
      <c r="CT70" s="12">
        <f>IF('Données projet'!$A$140&gt;35,CT69+CS70-DB69,IF(A70&lt;'Données projet'!$A$140,$CQ$205^A70,IF(A70='Données projet'!$A$140,'Données projet'!$B$140,CT69+CS70-DB69)))</f>
        <v>310.6666666666668</v>
      </c>
      <c r="CU70" s="17">
        <f>CT70*VLOOKUP('Données projet'!$B$13,Paramètres!$A$1:$I$89,3,0)*VLOOKUP('Données projet'!$B$13,Paramètres!$A$1:$I$89,5,0)</f>
        <v>242.32000000000011</v>
      </c>
      <c r="CV70" s="13">
        <f t="shared" si="95"/>
        <v>58.938409961900909</v>
      </c>
      <c r="CW70" s="20">
        <f t="shared" si="67"/>
        <v>524.69173068364421</v>
      </c>
      <c r="CX70" s="59">
        <f t="shared" si="68"/>
        <v>818.02506401697747</v>
      </c>
      <c r="CY70" s="59">
        <f ca="1">AVERAGE(OFFSET($CX$3,0,0,'Données projet'!$E$13+1,1))-AVERAGE(OFFSET($H$3,0,0,'Données projet'!$E$13+1,1))</f>
        <v>288.80569134263209</v>
      </c>
      <c r="CZ70" s="59">
        <f t="shared" si="96"/>
        <v>283.48738729114024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21.147844062311442</v>
      </c>
      <c r="DG70" s="21">
        <f>EXP(-LN(2)/25)*DG69+(1-EXP(-LN(2)/25))/(LN(2)/25)*Calculateur!DB70*Calculateur!DD70*VLOOKUP('Données projet'!$B$13,Paramètres!$A$1:$I$89,3,0)*0.475*44/12</f>
        <v>20.881843581563889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42.029687643875334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3.8</v>
      </c>
      <c r="DO70" s="12">
        <f>IF('Données projet'!$A$166&gt;35,DO69+DN70-DW69,IF(A70&lt;'Données projet'!$A$166,$DL$205^A70,IF(A70='Données projet'!$A$166,'Données projet'!$B$166,DO69+DN70-DW69)))</f>
        <v>251.59999999999985</v>
      </c>
      <c r="DP70" s="17">
        <f>DO70*VLOOKUP('Données projet'!$B$14,Paramètres!$A$1:$I$89,3,0)*VLOOKUP('Données projet'!$B$14,Paramètres!$A$1:$I$89,5,0)</f>
        <v>200.17295999999988</v>
      </c>
      <c r="DQ70" s="13">
        <f t="shared" si="97"/>
        <v>49.782177185855986</v>
      </c>
      <c r="DR70" s="20">
        <f t="shared" si="70"/>
        <v>435.33853059869892</v>
      </c>
      <c r="DS70" s="59">
        <f t="shared" si="71"/>
        <v>728.67186393203224</v>
      </c>
      <c r="DT70" s="59">
        <f ca="1">AVERAGE(OFFSET($DS$3,0,0,'Données projet'!$E$14+1,1))-AVERAGE(OFFSET($H$3,0,0,'Données projet'!$E$14+1,1))</f>
        <v>299.10536994156814</v>
      </c>
      <c r="DU70" s="59">
        <f t="shared" si="98"/>
        <v>292.57799203101769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24.173308028474615</v>
      </c>
      <c r="EB70" s="21">
        <f>EXP(-LN(2)/25)*EB69+(1-EXP(-LN(2)/25))/(LN(2)/25)*Calculateur!DW70*Calculateur!DY70*VLOOKUP('Données projet'!$B$14,Paramètres!$A$1:$I$89,3,0)*0.475*44/12</f>
        <v>10.17248384925133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34.345791877725944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8.1001602564102626</v>
      </c>
      <c r="N71" s="13">
        <f>IF('Données projet'!$A$36&gt;35,N70+M71-V70,IF(A71&lt;'Données projet'!$A$36,$K$205^A71,IF(A71='Données projet'!$A$36,'Données projet'!$B$36,N70+M71-V70)))</f>
        <v>219.06490384615404</v>
      </c>
      <c r="O71" s="13">
        <f>N71*VLOOKUP('Données projet'!$B$9,Paramètres!$A$1:$I$89,3,0)*VLOOKUP('Données projet'!$B$9,Paramètres!$A$1:$I$89,5,0)</f>
        <v>198.20992500000017</v>
      </c>
      <c r="P71" s="13">
        <f t="shared" si="87"/>
        <v>49.350557805795496</v>
      </c>
      <c r="Q71" s="20">
        <f t="shared" si="54"/>
        <v>431.16784088676076</v>
      </c>
      <c r="R71" s="59">
        <f t="shared" si="55"/>
        <v>724.50117422009407</v>
      </c>
      <c r="S71" s="59">
        <f ca="1">AVERAGE(OFFSET($R$3,0,0,'Données projet'!$E$9+1,1))-AVERAGE(OFFSET($H$3,0,0,'Données projet'!$E$9+1,1))</f>
        <v>384.05928630855732</v>
      </c>
      <c r="T71" s="59">
        <f t="shared" si="88"/>
        <v>279.93992813630513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11.377624225162773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11.377624225162773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8.9615384615384599</v>
      </c>
      <c r="AI71" s="13">
        <f>IF('Données projet'!$A$62&gt;35,AI70+AH71-AQ70,IF(A71&lt;'Données projet'!$A$62,$AF$205^A71,IF(A71='Données projet'!$A$62,'Données projet'!$B$62,AI70+AH71-AQ70)))</f>
        <v>224.5961538461541</v>
      </c>
      <c r="AJ71" s="13">
        <f>AI71*VLOOKUP('Données projet'!$B$10,Paramètres!$A$1:$I$89,3,0)*VLOOKUP('Données projet'!$B$10,Paramètres!$A$1:$I$89,5,0)</f>
        <v>192.70350000000025</v>
      </c>
      <c r="AK71" s="13">
        <f t="shared" si="89"/>
        <v>48.137165943040578</v>
      </c>
      <c r="AL71" s="20">
        <f t="shared" si="58"/>
        <v>419.46415985079608</v>
      </c>
      <c r="AM71" s="59">
        <f t="shared" si="59"/>
        <v>712.79749318412939</v>
      </c>
      <c r="AN71" s="59">
        <f ca="1">AVERAGE(OFFSET($AM$3,0,0,'Données projet'!$E$10+1,1))-AVERAGE(OFFSET($H$3,0,0,'Données projet'!$E$10+1,1))</f>
        <v>335.02113791949211</v>
      </c>
      <c r="AO71" s="59">
        <f t="shared" si="90"/>
        <v>222.06886429435099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17.657413027481621</v>
      </c>
      <c r="AW71" s="21">
        <f>EXP(-LN(2)/2)*AW70+(1-EXP(-LN(2)/2))/(LN(2)/2)*AQ71*AT71*VLOOKUP('Données projet'!$B$10,Paramètres!$A$1:$I$89,3,0)*0.475*44/12</f>
        <v>2.8849865857013444</v>
      </c>
      <c r="AX71" s="21">
        <f t="shared" si="60"/>
        <v>20.542399613182965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5.6899038461538431</v>
      </c>
      <c r="BD71" s="12">
        <f>IF('Données projet'!$A$88&gt;35,BD70+BC71-BL70,IF(A71&lt;'Données projet'!$A$88,$BA$205^A71,IF(A71='Données projet'!$A$88,'Données projet'!$B$88,BD70+BC71-BL70)))</f>
        <v>141.55528846153845</v>
      </c>
      <c r="BE71" s="13">
        <f>BD71*VLOOKUP('Données projet'!$B$11,Paramètres!$A$1:$I$89,3,0)*VLOOKUP('Données projet'!$B$11,Paramètres!$A$1:$I$89,5,0)</f>
        <v>136.91227499999999</v>
      </c>
      <c r="BF71" s="13">
        <f t="shared" si="91"/>
        <v>35.588735548256899</v>
      </c>
      <c r="BG71" s="20">
        <f t="shared" si="61"/>
        <v>300.43926003821406</v>
      </c>
      <c r="BH71" s="59">
        <f t="shared" si="62"/>
        <v>593.77259337154737</v>
      </c>
      <c r="BI71" s="59">
        <f ca="1">AVERAGE(OFFSET($BH$3,0,0,'Données projet'!$E$11+1,1))-AVERAGE(OFFSET($H$3,0,0,'Données projet'!$E$11+1,1))</f>
        <v>366.51581861366333</v>
      </c>
      <c r="BJ71" s="59">
        <f t="shared" si="92"/>
        <v>225.01415116995503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4.4000000000000004</v>
      </c>
      <c r="BY71" s="12">
        <f>IF('Données projet'!$A$114&gt;35,BY70+BX71-CG70,IF(A71&lt;'Données projet'!$A$114,$BV$205^A71,IF(A71='Données projet'!$A$114,'Données projet'!$B$114,BY70+BX71-CG70)))</f>
        <v>196.2000000000001</v>
      </c>
      <c r="BZ71" s="13">
        <f>BY71*VLOOKUP('Données projet'!$B$12,Paramètres!$A$1:$I$89,3,0)*VLOOKUP('Données projet'!$B$12,Paramètres!$A$1:$I$89,5,0)</f>
        <v>128.55024000000006</v>
      </c>
      <c r="CA71" s="13">
        <f t="shared" si="93"/>
        <v>33.661144026076698</v>
      </c>
      <c r="CB71" s="20">
        <f t="shared" si="64"/>
        <v>282.51816051208368</v>
      </c>
      <c r="CC71" s="59">
        <f t="shared" si="65"/>
        <v>575.85149384541705</v>
      </c>
      <c r="CD71" s="59">
        <f ca="1">AVERAGE(OFFSET($CC$3,0,0,'Données projet'!$E$12+1,1))-AVERAGE(OFFSET($H$3,0,0,'Données projet'!$E$12+1,1))</f>
        <v>230.58262378842818</v>
      </c>
      <c r="CE71" s="59">
        <f t="shared" si="94"/>
        <v>235.68746142880792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6.8654964209029981</v>
      </c>
      <c r="CM71" s="21">
        <f>EXP(-LN(2)/2)*CM70+(1-EXP(-LN(2)/2))/(LN(2)/2)*CG71*CJ71*VLOOKUP('Données projet'!$B$12,Paramètres!$A$1:$I$89,3,0)*0.475*44/12</f>
        <v>1.4507873319378053</v>
      </c>
      <c r="CN71" s="22">
        <f t="shared" si="66"/>
        <v>8.3162837528408033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8.6666666666666661</v>
      </c>
      <c r="CT71" s="12">
        <f>IF('Données projet'!$A$140&gt;35,CT70+CS71-DB70,IF(A71&lt;'Données projet'!$A$140,$CQ$205^A71,IF(A71='Données projet'!$A$140,'Données projet'!$B$140,CT70+CS71-DB70)))</f>
        <v>319.33333333333348</v>
      </c>
      <c r="CU71" s="17">
        <f>CT71*VLOOKUP('Données projet'!$B$13,Paramètres!$A$1:$I$89,3,0)*VLOOKUP('Données projet'!$B$13,Paramètres!$A$1:$I$89,5,0)</f>
        <v>249.08000000000013</v>
      </c>
      <c r="CV71" s="13">
        <f t="shared" si="95"/>
        <v>60.388894447487857</v>
      </c>
      <c r="CW71" s="20">
        <f t="shared" si="67"/>
        <v>538.99165782937473</v>
      </c>
      <c r="CX71" s="59">
        <f t="shared" si="68"/>
        <v>832.3249911627081</v>
      </c>
      <c r="CY71" s="59">
        <f ca="1">AVERAGE(OFFSET($CX$3,0,0,'Données projet'!$E$13+1,1))-AVERAGE(OFFSET($H$3,0,0,'Données projet'!$E$13+1,1))</f>
        <v>288.80569134263209</v>
      </c>
      <c r="CZ71" s="59">
        <f t="shared" si="96"/>
        <v>283.48738729114024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20.733147739160732</v>
      </c>
      <c r="DG71" s="21">
        <f>EXP(-LN(2)/25)*DG70+(1-EXP(-LN(2)/25))/(LN(2)/25)*Calculateur!DB71*Calculateur!DD71*VLOOKUP('Données projet'!$B$13,Paramètres!$A$1:$I$89,3,0)*0.475*44/12</f>
        <v>20.310828470697597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41.043976209858329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3.8</v>
      </c>
      <c r="DO71" s="12">
        <f>IF('Données projet'!$A$166&gt;35,DO70+DN71-DW70,IF(A71&lt;'Données projet'!$A$166,$DL$205^A71,IF(A71='Données projet'!$A$166,'Données projet'!$B$166,DO70+DN71-DW70)))</f>
        <v>255.39999999999986</v>
      </c>
      <c r="DP71" s="17">
        <f>DO71*VLOOKUP('Données projet'!$B$14,Paramètres!$A$1:$I$89,3,0)*VLOOKUP('Données projet'!$B$14,Paramètres!$A$1:$I$89,5,0)</f>
        <v>203.1962399999999</v>
      </c>
      <c r="DQ71" s="13">
        <f t="shared" si="97"/>
        <v>50.445955049216174</v>
      </c>
      <c r="DR71" s="20">
        <f t="shared" si="70"/>
        <v>441.76015637738465</v>
      </c>
      <c r="DS71" s="59">
        <f t="shared" si="71"/>
        <v>735.0934897107179</v>
      </c>
      <c r="DT71" s="59">
        <f ca="1">AVERAGE(OFFSET($DS$3,0,0,'Données projet'!$E$14+1,1))-AVERAGE(OFFSET($H$3,0,0,'Données projet'!$E$14+1,1))</f>
        <v>299.10536994156814</v>
      </c>
      <c r="DU71" s="59">
        <f t="shared" si="98"/>
        <v>292.57799203101769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23.699284202298252</v>
      </c>
      <c r="EB71" s="21">
        <f>EXP(-LN(2)/25)*EB70+(1-EXP(-LN(2)/25))/(LN(2)/25)*Calculateur!DW71*Calculateur!DY71*VLOOKUP('Données projet'!$B$14,Paramètres!$A$1:$I$89,3,0)*0.475*44/12</f>
        <v>9.8943167434458772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33.593600945744129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8.1001602564102626</v>
      </c>
      <c r="N72" s="13">
        <f>IF('Données projet'!$A$36&gt;35,N71+M72-V71,IF(A72&lt;'Données projet'!$A$36,$K$205^A72,IF(A72='Données projet'!$A$36,'Données projet'!$B$36,N71+M72-V71)))</f>
        <v>227.16506410256432</v>
      </c>
      <c r="O72" s="13">
        <f>N72*VLOOKUP('Données projet'!$B$9,Paramètres!$A$1:$I$89,3,0)*VLOOKUP('Données projet'!$B$9,Paramètres!$A$1:$I$89,5,0)</f>
        <v>205.53895000000017</v>
      </c>
      <c r="P72" s="13">
        <f t="shared" si="87"/>
        <v>50.959519142478193</v>
      </c>
      <c r="Q72" s="20">
        <f t="shared" si="54"/>
        <v>446.73483375648311</v>
      </c>
      <c r="R72" s="59">
        <f t="shared" si="55"/>
        <v>740.06816708981637</v>
      </c>
      <c r="S72" s="59">
        <f ca="1">AVERAGE(OFFSET($R$3,0,0,'Données projet'!$E$9+1,1))-AVERAGE(OFFSET($H$3,0,0,'Données projet'!$E$9+1,1))</f>
        <v>384.05928630855732</v>
      </c>
      <c r="T72" s="59">
        <f t="shared" si="88"/>
        <v>279.93992813630513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11.154515953772874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11.154515953772874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8.9615384615384599</v>
      </c>
      <c r="AI72" s="13">
        <f>IF('Données projet'!$A$62&gt;35,AI71+AH72-AQ71,IF(A72&lt;'Données projet'!$A$62,$AF$205^A72,IF(A72='Données projet'!$A$62,'Données projet'!$B$62,AI71+AH72-AQ71)))</f>
        <v>233.55769230769255</v>
      </c>
      <c r="AJ72" s="13">
        <f>AI72*VLOOKUP('Données projet'!$B$10,Paramètres!$A$1:$I$89,3,0)*VLOOKUP('Données projet'!$B$10,Paramètres!$A$1:$I$89,5,0)</f>
        <v>200.39250000000024</v>
      </c>
      <c r="AK72" s="13">
        <f t="shared" si="89"/>
        <v>49.830417500419586</v>
      </c>
      <c r="AL72" s="20">
        <f t="shared" si="58"/>
        <v>435.80491464656455</v>
      </c>
      <c r="AM72" s="59">
        <f t="shared" si="59"/>
        <v>729.13824797989787</v>
      </c>
      <c r="AN72" s="59">
        <f ca="1">AVERAGE(OFFSET($AM$3,0,0,'Données projet'!$E$10+1,1))-AVERAGE(OFFSET($H$3,0,0,'Données projet'!$E$10+1,1))</f>
        <v>335.02113791949211</v>
      </c>
      <c r="AO72" s="59">
        <f t="shared" si="90"/>
        <v>222.06886429435099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17.174570139682142</v>
      </c>
      <c r="AW72" s="21">
        <f>EXP(-LN(2)/2)*AW71+(1-EXP(-LN(2)/2))/(LN(2)/2)*AQ72*AT72*VLOOKUP('Données projet'!$B$10,Paramètres!$A$1:$I$89,3,0)*0.475*44/12</f>
        <v>2.0399935783816456</v>
      </c>
      <c r="AX72" s="21">
        <f t="shared" si="60"/>
        <v>19.214563718063786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5.6899038461538431</v>
      </c>
      <c r="BD72" s="12">
        <f>IF('Données projet'!$A$88&gt;35,BD71+BC72-BL71,IF(A72&lt;'Données projet'!$A$88,$BA$205^A72,IF(A72='Données projet'!$A$88,'Données projet'!$B$88,BD71+BC72-BL71)))</f>
        <v>147.24519230769229</v>
      </c>
      <c r="BE72" s="13">
        <f>BD72*VLOOKUP('Données projet'!$B$11,Paramètres!$A$1:$I$89,3,0)*VLOOKUP('Données projet'!$B$11,Paramètres!$A$1:$I$89,5,0)</f>
        <v>142.41555</v>
      </c>
      <c r="BF72" s="13">
        <f t="shared" si="91"/>
        <v>36.849821934495218</v>
      </c>
      <c r="BG72" s="20">
        <f t="shared" si="61"/>
        <v>312.22052278591252</v>
      </c>
      <c r="BH72" s="59">
        <f t="shared" si="62"/>
        <v>605.55385611924589</v>
      </c>
      <c r="BI72" s="59">
        <f ca="1">AVERAGE(OFFSET($BH$3,0,0,'Données projet'!$E$11+1,1))-AVERAGE(OFFSET($H$3,0,0,'Données projet'!$E$11+1,1))</f>
        <v>366.51581861366333</v>
      </c>
      <c r="BJ72" s="59">
        <f t="shared" si="92"/>
        <v>225.01415116995503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4.4000000000000004</v>
      </c>
      <c r="BY72" s="12">
        <f>IF('Données projet'!$A$114&gt;35,BY71+BX72-CG71,IF(A72&lt;'Données projet'!$A$114,$BV$205^A72,IF(A72='Données projet'!$A$114,'Données projet'!$B$114,BY71+BX72-CG71)))</f>
        <v>200.60000000000011</v>
      </c>
      <c r="BZ72" s="13">
        <f>BY72*VLOOKUP('Données projet'!$B$12,Paramètres!$A$1:$I$89,3,0)*VLOOKUP('Données projet'!$B$12,Paramètres!$A$1:$I$89,5,0)</f>
        <v>131.43312000000006</v>
      </c>
      <c r="CA72" s="13">
        <f t="shared" si="93"/>
        <v>34.327299687447557</v>
      </c>
      <c r="CB72" s="20">
        <f t="shared" si="64"/>
        <v>288.69939762230456</v>
      </c>
      <c r="CC72" s="59">
        <f t="shared" si="65"/>
        <v>582.03273095563782</v>
      </c>
      <c r="CD72" s="59">
        <f ca="1">AVERAGE(OFFSET($CC$3,0,0,'Données projet'!$E$12+1,1))-AVERAGE(OFFSET($H$3,0,0,'Données projet'!$E$12+1,1))</f>
        <v>230.58262378842818</v>
      </c>
      <c r="CE72" s="59">
        <f t="shared" si="94"/>
        <v>235.68746142880792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6.6777590602326402</v>
      </c>
      <c r="CM72" s="21">
        <f>EXP(-LN(2)/2)*CM71+(1-EXP(-LN(2)/2))/(LN(2)/2)*CG72*CJ72*VLOOKUP('Données projet'!$B$12,Paramètres!$A$1:$I$89,3,0)*0.475*44/12</f>
        <v>1.0258615604727608</v>
      </c>
      <c r="CN72" s="22">
        <f t="shared" si="66"/>
        <v>7.7036206207054008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>
        <f>VLOOKUP(A72,'Données projet'!$A$139:$I$159,2,0)</f>
        <v>328</v>
      </c>
      <c r="CR72" s="12">
        <f>VLOOKUP(A72,'Données projet'!$A$139:$I$159,9,0)</f>
        <v>8.6666666666666661</v>
      </c>
      <c r="CS72" s="12">
        <f t="array" ref="CS72">INDEX(CR:CR,MIN(IF(ISNUMBER(CR72:CR268),ROW(CR72:CR268),"")))</f>
        <v>8.6666666666666661</v>
      </c>
      <c r="CT72" s="12">
        <f>IF('Données projet'!$A$140&gt;35,CT71+CS72-DB71,IF(A72&lt;'Données projet'!$A$140,$CQ$205^A72,IF(A72='Données projet'!$A$140,'Données projet'!$B$140,CT71+CS72-DB71)))</f>
        <v>328.00000000000017</v>
      </c>
      <c r="CU72" s="17">
        <f>CT72*VLOOKUP('Données projet'!$B$13,Paramètres!$A$1:$I$89,3,0)*VLOOKUP('Données projet'!$B$13,Paramètres!$A$1:$I$89,5,0)</f>
        <v>255.84000000000015</v>
      </c>
      <c r="CV72" s="13">
        <f t="shared" si="95"/>
        <v>61.834803371075886</v>
      </c>
      <c r="CW72" s="20">
        <f t="shared" si="67"/>
        <v>553.28361587129086</v>
      </c>
      <c r="CX72" s="59">
        <f t="shared" si="68"/>
        <v>846.61694920462423</v>
      </c>
      <c r="CY72" s="59">
        <f ca="1">AVERAGE(OFFSET($CX$3,0,0,'Données projet'!$E$13+1,1))-AVERAGE(OFFSET($H$3,0,0,'Données projet'!$E$13+1,1))</f>
        <v>288.80569134263209</v>
      </c>
      <c r="CZ72" s="59">
        <f t="shared" si="96"/>
        <v>283.48738729114024</v>
      </c>
      <c r="DA72" s="15" t="str">
        <f>IF(ISNA(VLOOKUP(A72,'Données projet'!$A$139:$I$159,3,0)),0,VLOOKUP(A72,'Données projet'!$A$139:$I$159,3,0))</f>
        <v>CR</v>
      </c>
      <c r="DB72" s="15">
        <f>IF(ISNA(VLOOKUP(A72,'Données projet'!$A$139:$I$159,4,0)),0,VLOOKUP(A72,'Données projet'!$A$139:$I$159,4,0))</f>
        <v>328</v>
      </c>
      <c r="DC72" s="16">
        <f>IF(ISNA(VLOOKUP(A72,'Données projet'!$A$139:$I$159,5,0)),0%,VLOOKUP(A72,'Données projet'!$A$139:$I$159,5,0)*VLOOKUP('Données projet'!$B$13,Paramètres!$A$1:$I$89,7,0))</f>
        <v>0.215</v>
      </c>
      <c r="DD72" s="16">
        <f>IF(ISNA(VLOOKUP(A72,'Données projet'!$A$139:$I$159,6,0)),0%,VLOOKUP(A72,'Données projet'!$A$139:$I$159,6,0)*VLOOKUP('Données projet'!$B$13,Paramètres!$A$1:$I$89,7,0))</f>
        <v>0.17200000000000001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81.133644866404865</v>
      </c>
      <c r="DG72" s="21">
        <f>EXP(-LN(2)/25)*DG71+(1-EXP(-LN(2)/25))/(LN(2)/25)*Calculateur!DB72*Calculateur!DD72*VLOOKUP('Données projet'!$B$13,Paramètres!$A$1:$I$89,3,0)*0.475*44/12</f>
        <v>68.209540548443968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149.34318541484885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3.8</v>
      </c>
      <c r="DO72" s="12">
        <f>IF('Données projet'!$A$166&gt;35,DO71+DN72-DW71,IF(A72&lt;'Données projet'!$A$166,$DL$205^A72,IF(A72='Données projet'!$A$166,'Données projet'!$B$166,DO71+DN72-DW71)))</f>
        <v>259.19999999999987</v>
      </c>
      <c r="DP72" s="17">
        <f>DO72*VLOOKUP('Données projet'!$B$14,Paramètres!$A$1:$I$89,3,0)*VLOOKUP('Données projet'!$B$14,Paramètres!$A$1:$I$89,5,0)</f>
        <v>206.21951999999993</v>
      </c>
      <c r="DQ72" s="13">
        <f t="shared" si="97"/>
        <v>51.10858428464028</v>
      </c>
      <c r="DR72" s="20">
        <f t="shared" si="70"/>
        <v>448.17978162908167</v>
      </c>
      <c r="DS72" s="59">
        <f t="shared" si="71"/>
        <v>741.51311496241499</v>
      </c>
      <c r="DT72" s="59">
        <f ca="1">AVERAGE(OFFSET($DS$3,0,0,'Données projet'!$E$14+1,1))-AVERAGE(OFFSET($H$3,0,0,'Données projet'!$E$14+1,1))</f>
        <v>299.10536994156814</v>
      </c>
      <c r="DU72" s="59">
        <f t="shared" si="98"/>
        <v>292.57799203101769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23.234555694227222</v>
      </c>
      <c r="EB72" s="21">
        <f>EXP(-LN(2)/25)*EB71+(1-EXP(-LN(2)/25))/(LN(2)/25)*Calculateur!DW72*Calculateur!DY72*VLOOKUP('Données projet'!$B$14,Paramètres!$A$1:$I$89,3,0)*0.475*44/12</f>
        <v>9.6237561317768456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32.858311826004069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8.1001602564102626</v>
      </c>
      <c r="N73" s="13">
        <f>IF('Données projet'!$A$36&gt;35,N72+M73-V72,IF(A73&lt;'Données projet'!$A$36,$K$205^A73,IF(A73='Données projet'!$A$36,'Données projet'!$B$36,N72+M73-V72)))</f>
        <v>235.26522435897459</v>
      </c>
      <c r="O73" s="13">
        <f>N73*VLOOKUP('Données projet'!$B$9,Paramètres!$A$1:$I$89,3,0)*VLOOKUP('Données projet'!$B$9,Paramètres!$A$1:$I$89,5,0)</f>
        <v>212.8679750000002</v>
      </c>
      <c r="P73" s="13">
        <f t="shared" si="87"/>
        <v>52.561814761455608</v>
      </c>
      <c r="Q73" s="20">
        <f t="shared" si="54"/>
        <v>462.29021716786883</v>
      </c>
      <c r="R73" s="59">
        <f t="shared" si="55"/>
        <v>755.62355050120209</v>
      </c>
      <c r="S73" s="59">
        <f ca="1">AVERAGE(OFFSET($R$3,0,0,'Données projet'!$E$9+1,1))-AVERAGE(OFFSET($H$3,0,0,'Données projet'!$E$9+1,1))</f>
        <v>384.05928630855732</v>
      </c>
      <c r="T73" s="59">
        <f t="shared" si="88"/>
        <v>279.93992813630513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10.935782699502322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10.935782699502322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8.9615384615384599</v>
      </c>
      <c r="AI73" s="13">
        <f>IF('Données projet'!$A$62&gt;35,AI72+AH73-AQ72,IF(A73&lt;'Données projet'!$A$62,$AF$205^A73,IF(A73='Données projet'!$A$62,'Données projet'!$B$62,AI72+AH73-AQ72)))</f>
        <v>242.519230769231</v>
      </c>
      <c r="AJ73" s="13">
        <f>AI73*VLOOKUP('Données projet'!$B$10,Paramètres!$A$1:$I$89,3,0)*VLOOKUP('Données projet'!$B$10,Paramètres!$A$1:$I$89,5,0)</f>
        <v>208.0815000000002</v>
      </c>
      <c r="AK73" s="13">
        <f t="shared" si="89"/>
        <v>51.516121508448691</v>
      </c>
      <c r="AL73" s="20">
        <f t="shared" si="58"/>
        <v>452.13252412721516</v>
      </c>
      <c r="AM73" s="59">
        <f t="shared" si="59"/>
        <v>745.46585746054848</v>
      </c>
      <c r="AN73" s="59">
        <f ca="1">AVERAGE(OFFSET($AM$3,0,0,'Données projet'!$E$10+1,1))-AVERAGE(OFFSET($H$3,0,0,'Données projet'!$E$10+1,1))</f>
        <v>335.02113791949211</v>
      </c>
      <c r="AO73" s="59">
        <f t="shared" si="90"/>
        <v>222.06886429435099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16.704930616041143</v>
      </c>
      <c r="AW73" s="21">
        <f>EXP(-LN(2)/2)*AW72+(1-EXP(-LN(2)/2))/(LN(2)/2)*AQ73*AT73*VLOOKUP('Données projet'!$B$10,Paramètres!$A$1:$I$89,3,0)*0.475*44/12</f>
        <v>1.4424932928506724</v>
      </c>
      <c r="AX73" s="21">
        <f t="shared" si="60"/>
        <v>18.147423908891817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5.6899038461538431</v>
      </c>
      <c r="BD73" s="12">
        <f>IF('Données projet'!$A$88&gt;35,BD72+BC73-BL72,IF(A73&lt;'Données projet'!$A$88,$BA$205^A73,IF(A73='Données projet'!$A$88,'Données projet'!$B$88,BD72+BC73-BL72)))</f>
        <v>152.93509615384613</v>
      </c>
      <c r="BE73" s="13">
        <f>BD73*VLOOKUP('Données projet'!$B$11,Paramètres!$A$1:$I$89,3,0)*VLOOKUP('Données projet'!$B$11,Paramètres!$A$1:$I$89,5,0)</f>
        <v>147.91882499999997</v>
      </c>
      <c r="BF73" s="13">
        <f t="shared" si="91"/>
        <v>38.105247238821875</v>
      </c>
      <c r="BG73" s="20">
        <f t="shared" si="61"/>
        <v>323.99192581594804</v>
      </c>
      <c r="BH73" s="59">
        <f t="shared" si="62"/>
        <v>617.32525914928135</v>
      </c>
      <c r="BI73" s="59">
        <f ca="1">AVERAGE(OFFSET($BH$3,0,0,'Données projet'!$E$11+1,1))-AVERAGE(OFFSET($H$3,0,0,'Données projet'!$E$11+1,1))</f>
        <v>366.51581861366333</v>
      </c>
      <c r="BJ73" s="59">
        <f t="shared" si="92"/>
        <v>225.01415116995503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205</v>
      </c>
      <c r="BW73" s="12">
        <f>VLOOKUP(A73,'Données projet'!$A$113:$I$133,9,0)</f>
        <v>4.4000000000000004</v>
      </c>
      <c r="BX73" s="12">
        <f t="array" ref="BX73">INDEX(BW:BW,MIN(IF(ISNUMBER(BW73:BW269),ROW(BW73:BW269),"")))</f>
        <v>4.4000000000000004</v>
      </c>
      <c r="BY73" s="12">
        <f>IF('Données projet'!$A$114&gt;35,BY72+BX73-CG72,IF(A73&lt;'Données projet'!$A$114,$BV$205^A73,IF(A73='Données projet'!$A$114,'Données projet'!$B$114,BY72+BX73-CG72)))</f>
        <v>205.00000000000011</v>
      </c>
      <c r="BZ73" s="13">
        <f>BY73*VLOOKUP('Données projet'!$B$12,Paramètres!$A$1:$I$89,3,0)*VLOOKUP('Données projet'!$B$12,Paramètres!$A$1:$I$89,5,0)</f>
        <v>134.31600000000009</v>
      </c>
      <c r="CA73" s="13">
        <f t="shared" si="93"/>
        <v>34.991756585122474</v>
      </c>
      <c r="CB73" s="20">
        <f t="shared" si="64"/>
        <v>294.87767605242175</v>
      </c>
      <c r="CC73" s="59">
        <f t="shared" si="65"/>
        <v>588.21100938575501</v>
      </c>
      <c r="CD73" s="59">
        <f ca="1">AVERAGE(OFFSET($CC$3,0,0,'Données projet'!$E$12+1,1))-AVERAGE(OFFSET($H$3,0,0,'Données projet'!$E$12+1,1))</f>
        <v>230.58262378842818</v>
      </c>
      <c r="CE73" s="59">
        <f t="shared" si="94"/>
        <v>235.68746142880792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17</v>
      </c>
      <c r="CH73" s="16">
        <f>IF(ISNA(VLOOKUP(A73,'Données projet'!$A$113:$I$133,5,0)),0%,VLOOKUP(A73,'Données projet'!$A$113:$I$133,5,0)*VLOOKUP('Données projet'!$B$12,Paramètres!$A$1:$I$89,7,0))</f>
        <v>4.3000000000000003E-2</v>
      </c>
      <c r="CI73" s="16">
        <f>IF(ISNA(VLOOKUP(A73,'Données projet'!$A$113:$I$133,6,0)),0%,VLOOKUP(A73,'Données projet'!$A$113:$I$133,6,0)*VLOOKUP('Données projet'!$B$12,Paramètres!$A$1:$I$89,7,0))</f>
        <v>0.17200000000000001</v>
      </c>
      <c r="CJ73" s="16">
        <f>IF(ISNA(VLOOKUP(A73,'Données projet'!$A$113:$I$133,7,0)),0%,VLOOKUP(A73,'Données projet'!$A$113:$I$133,7,0))</f>
        <v>0.3</v>
      </c>
      <c r="CK73" s="21">
        <f>EXP(-LN(2)/35)*CK72+(1-EXP(-LN(2)/35))/(LN(2)/35)*CG73*CH73*VLOOKUP('Données projet'!$B$12,Paramètres!$A$1:$I$89,3,0)*0.475*44/12</f>
        <v>0.52946636484176191</v>
      </c>
      <c r="CL73" s="21">
        <f>EXP(-LN(2)/25)*CL72+(1-EXP(-LN(2)/25))/(LN(2)/25)*Calculateur!CG73*Calculateur!CI73*VLOOKUP('Données projet'!$B$12,Paramètres!$A$1:$I$89,3,0)*0.475*44/12</f>
        <v>8.6046820036460065</v>
      </c>
      <c r="CM73" s="21">
        <f>EXP(-LN(2)/2)*CM72+(1-EXP(-LN(2)/2))/(LN(2)/2)*CG73*CJ73*VLOOKUP('Données projet'!$B$12,Paramètres!$A$1:$I$89,3,0)*0.475*44/12</f>
        <v>3.8782077216610991</v>
      </c>
      <c r="CN73" s="22">
        <f t="shared" si="66"/>
        <v>13.012356090148867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1.7053025658242404E-13</v>
      </c>
      <c r="CU73" s="17">
        <f>CT73*VLOOKUP('Données projet'!$B$13,Paramètres!$A$1:$I$89,3,0)*VLOOKUP('Données projet'!$B$13,Paramètres!$A$1:$I$89,5,0)</f>
        <v>1.3301360013429075E-13</v>
      </c>
      <c r="CV73" s="13">
        <f t="shared" si="95"/>
        <v>1.9329766731057041E-12</v>
      </c>
      <c r="CW73" s="20">
        <f t="shared" si="67"/>
        <v>3.5982663925596575E-12</v>
      </c>
      <c r="CX73" s="59">
        <f t="shared" si="68"/>
        <v>293.3333333333369</v>
      </c>
      <c r="CY73" s="59">
        <f ca="1">AVERAGE(OFFSET($CX$3,0,0,'Données projet'!$E$13+1,1))-AVERAGE(OFFSET($H$3,0,0,'Données projet'!$E$13+1,1))</f>
        <v>288.80569134263209</v>
      </c>
      <c r="CZ73" s="59">
        <f t="shared" si="96"/>
        <v>283.48738729114024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79.542663577211641</v>
      </c>
      <c r="DG73" s="21">
        <f>EXP(-LN(2)/25)*DG72+(1-EXP(-LN(2)/25))/(LN(2)/25)*Calculateur!DB73*Calculateur!DD73*VLOOKUP('Données projet'!$B$13,Paramètres!$A$1:$I$89,3,0)*0.475*44/12</f>
        <v>66.344347075162929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145.88701065237456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263</v>
      </c>
      <c r="DM73" s="12">
        <f>VLOOKUP(A73,'Données projet'!$A$165:$I$185,9,0)</f>
        <v>3.8</v>
      </c>
      <c r="DN73" s="12">
        <f t="array" ref="DN73">INDEX(DM:DM,MIN(IF(ISNUMBER(DM73:DM269),ROW(DM73:DM269),"")))</f>
        <v>3.8</v>
      </c>
      <c r="DO73" s="12">
        <f>IF('Données projet'!$A$166&gt;35,DO72+DN73-DW72,IF(A73&lt;'Données projet'!$A$166,$DL$205^A73,IF(A73='Données projet'!$A$166,'Données projet'!$B$166,DO72+DN73-DW72)))</f>
        <v>262.99999999999989</v>
      </c>
      <c r="DP73" s="17">
        <f>DO73*VLOOKUP('Données projet'!$B$14,Paramètres!$A$1:$I$89,3,0)*VLOOKUP('Données projet'!$B$14,Paramètres!$A$1:$I$89,5,0)</f>
        <v>209.2427999999999</v>
      </c>
      <c r="DQ73" s="13">
        <f t="shared" si="97"/>
        <v>51.770083677016814</v>
      </c>
      <c r="DR73" s="20">
        <f t="shared" si="70"/>
        <v>454.59743907080406</v>
      </c>
      <c r="DS73" s="59">
        <f t="shared" si="71"/>
        <v>747.93077240413731</v>
      </c>
      <c r="DT73" s="59">
        <f ca="1">AVERAGE(OFFSET($DS$3,0,0,'Données projet'!$E$14+1,1))-AVERAGE(OFFSET($H$3,0,0,'Données projet'!$E$14+1,1))</f>
        <v>299.10536994156814</v>
      </c>
      <c r="DU73" s="59">
        <f t="shared" si="98"/>
        <v>292.57799203101769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10</v>
      </c>
      <c r="DX73" s="16">
        <f>IF(ISNA(VLOOKUP(A73,'Données projet'!$A$165:$I$185,5,0)),0%,VLOOKUP(A73,'Données projet'!$A$165:$I$185,5,0)*VLOOKUP('Données projet'!$B$14,Paramètres!$A$1:$I$89,7,0))</f>
        <v>0.47700000000000004</v>
      </c>
      <c r="DY73" s="16">
        <f>IF(ISNA(VLOOKUP(A73,'Données projet'!$A$165:$I$185,6,0)),0%,VLOOKUP(A73,'Données projet'!$A$165:$I$185,6,0)*VLOOKUP('Données projet'!$B$14,Paramètres!$A$1:$I$89,7,0))</f>
        <v>5.3000000000000005E-2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26.974213584715166</v>
      </c>
      <c r="EB73" s="21">
        <f>EXP(-LN(2)/25)*EB72+(1-EXP(-LN(2)/25))/(LN(2)/25)*Calculateur!DW73*Calculateur!DY73*VLOOKUP('Données projet'!$B$14,Paramètres!$A$1:$I$89,3,0)*0.475*44/12</f>
        <v>9.8249001216226421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36.799113706337806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243.36538461538464</v>
      </c>
      <c r="L74" s="12">
        <f>VLOOKUP(A74,'Données projet'!$A$35:$I$55,9,0)</f>
        <v>8.1001602564102626</v>
      </c>
      <c r="M74" s="12">
        <f t="array" ref="M74">INDEX(L:L,MIN(IF(ISNUMBER(L74:L270),ROW(L74:L270),"")))</f>
        <v>8.1001602564102626</v>
      </c>
      <c r="N74" s="13">
        <f>IF('Données projet'!$A$36&gt;35,N73+M74-V73,IF(A74&lt;'Données projet'!$A$36,$K$205^A74,IF(A74='Données projet'!$A$36,'Données projet'!$B$36,N73+M74-V73)))</f>
        <v>243.36538461538487</v>
      </c>
      <c r="O74" s="13">
        <f>N74*VLOOKUP('Données projet'!$B$9,Paramètres!$A$1:$I$89,3,0)*VLOOKUP('Données projet'!$B$9,Paramètres!$A$1:$I$89,5,0)</f>
        <v>220.19700000000023</v>
      </c>
      <c r="P74" s="13">
        <f t="shared" si="87"/>
        <v>54.157700466574305</v>
      </c>
      <c r="Q74" s="20">
        <f t="shared" si="54"/>
        <v>477.83443664595069</v>
      </c>
      <c r="R74" s="59">
        <f t="shared" si="55"/>
        <v>771.167769979284</v>
      </c>
      <c r="S74" s="59">
        <f ca="1">AVERAGE(OFFSET($R$3,0,0,'Données projet'!$E$9+1,1))-AVERAGE(OFFSET($H$3,0,0,'Données projet'!$E$9+1,1))</f>
        <v>384.05928630855732</v>
      </c>
      <c r="T74" s="59">
        <f t="shared" si="88"/>
        <v>279.93992813630513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39.935897435897431</v>
      </c>
      <c r="W74" s="16">
        <f>IF(ISNA(VLOOKUP(A74,'Données projet'!$A$35:$I$55,5,0)),0%,VLOOKUP(A74,'Données projet'!$A$35:$I$55,5,0)*VLOOKUP('Données projet'!$B$9,Paramètres!$A$1:$I$89,7,0))</f>
        <v>0.30099999999999999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22.744803745841033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22.744803745841033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8.9615384615384599</v>
      </c>
      <c r="AI74" s="13">
        <f>IF('Données projet'!$A$62&gt;35,AI73+AH74-AQ73,IF(A74&lt;'Données projet'!$A$62,$AF$205^A74,IF(A74='Données projet'!$A$62,'Données projet'!$B$62,AI73+AH74-AQ73)))</f>
        <v>251.48076923076945</v>
      </c>
      <c r="AJ74" s="13">
        <f>AI74*VLOOKUP('Données projet'!$B$10,Paramètres!$A$1:$I$89,3,0)*VLOOKUP('Données projet'!$B$10,Paramètres!$A$1:$I$89,5,0)</f>
        <v>215.77050000000023</v>
      </c>
      <c r="AK74" s="13">
        <f t="shared" si="89"/>
        <v>53.194588801954836</v>
      </c>
      <c r="AL74" s="20">
        <f t="shared" si="58"/>
        <v>468.44752966340502</v>
      </c>
      <c r="AM74" s="59">
        <f t="shared" si="59"/>
        <v>761.78086299673828</v>
      </c>
      <c r="AN74" s="59">
        <f ca="1">AVERAGE(OFFSET($AM$3,0,0,'Données projet'!$E$10+1,1))-AVERAGE(OFFSET($H$3,0,0,'Données projet'!$E$10+1,1))</f>
        <v>335.02113791949211</v>
      </c>
      <c r="AO74" s="59">
        <f t="shared" si="90"/>
        <v>222.06886429435099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16.248133409871375</v>
      </c>
      <c r="AW74" s="21">
        <f>EXP(-LN(2)/2)*AW73+(1-EXP(-LN(2)/2))/(LN(2)/2)*AQ74*AT74*VLOOKUP('Données projet'!$B$10,Paramètres!$A$1:$I$89,3,0)*0.475*44/12</f>
        <v>1.0199967891908228</v>
      </c>
      <c r="AX74" s="21">
        <f t="shared" si="60"/>
        <v>17.268130199062199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5.6899038461538431</v>
      </c>
      <c r="BD74" s="12">
        <f>IF('Données projet'!$A$88&gt;35,BD73+BC74-BL73,IF(A74&lt;'Données projet'!$A$88,$BA$205^A74,IF(A74='Données projet'!$A$88,'Données projet'!$B$88,BD73+BC74-BL73)))</f>
        <v>158.62499999999997</v>
      </c>
      <c r="BE74" s="13">
        <f>BD74*VLOOKUP('Données projet'!$B$11,Paramètres!$A$1:$I$89,3,0)*VLOOKUP('Données projet'!$B$11,Paramètres!$A$1:$I$89,5,0)</f>
        <v>153.42209999999997</v>
      </c>
      <c r="BF74" s="13">
        <f t="shared" si="91"/>
        <v>39.355246197900911</v>
      </c>
      <c r="BG74" s="20">
        <f t="shared" si="61"/>
        <v>335.75387796134402</v>
      </c>
      <c r="BH74" s="59">
        <f t="shared" si="62"/>
        <v>629.08721129467733</v>
      </c>
      <c r="BI74" s="59">
        <f ca="1">AVERAGE(OFFSET($BH$3,0,0,'Données projet'!$E$11+1,1))-AVERAGE(OFFSET($H$3,0,0,'Données projet'!$E$11+1,1))</f>
        <v>366.51581861366333</v>
      </c>
      <c r="BJ74" s="59">
        <f t="shared" si="92"/>
        <v>225.01415116995503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</v>
      </c>
      <c r="BY74" s="12">
        <f>IF('Données projet'!$A$114&gt;35,BY73+BX74-CG73,IF(A74&lt;'Données projet'!$A$114,$BV$205^A74,IF(A74='Données projet'!$A$114,'Données projet'!$B$114,BY73+BX74-CG73)))</f>
        <v>192.00000000000011</v>
      </c>
      <c r="BZ74" s="13">
        <f>BY74*VLOOKUP('Données projet'!$B$12,Paramètres!$A$1:$I$89,3,0)*VLOOKUP('Données projet'!$B$12,Paramètres!$A$1:$I$89,5,0)</f>
        <v>125.79840000000007</v>
      </c>
      <c r="CA74" s="13">
        <f t="shared" si="93"/>
        <v>33.023644363399953</v>
      </c>
      <c r="CB74" s="20">
        <f t="shared" si="64"/>
        <v>276.61506059958839</v>
      </c>
      <c r="CC74" s="59">
        <f t="shared" si="65"/>
        <v>569.9483939329217</v>
      </c>
      <c r="CD74" s="59">
        <f ca="1">AVERAGE(OFFSET($CC$3,0,0,'Données projet'!$E$12+1,1))-AVERAGE(OFFSET($H$3,0,0,'Données projet'!$E$12+1,1))</f>
        <v>230.58262378842818</v>
      </c>
      <c r="CE74" s="59">
        <f t="shared" si="94"/>
        <v>235.68746142880792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0.51908385236980958</v>
      </c>
      <c r="CL74" s="21">
        <f>EXP(-LN(2)/25)*CL73+(1-EXP(-LN(2)/25))/(LN(2)/25)*Calculateur!CG74*Calculateur!CI74*VLOOKUP('Données projet'!$B$12,Paramètres!$A$1:$I$89,3,0)*0.475*44/12</f>
        <v>8.3693865217557466</v>
      </c>
      <c r="CM74" s="21">
        <f>EXP(-LN(2)/2)*CM73+(1-EXP(-LN(2)/2))/(LN(2)/2)*CG74*CJ74*VLOOKUP('Données projet'!$B$12,Paramètres!$A$1:$I$89,3,0)*0.475*44/12</f>
        <v>2.7423069788365941</v>
      </c>
      <c r="CN74" s="22">
        <f t="shared" si="66"/>
        <v>11.630777352962152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1.7053025658242404E-13</v>
      </c>
      <c r="CU74" s="17">
        <f>CT74*VLOOKUP('Données projet'!$B$13,Paramètres!$A$1:$I$89,3,0)*VLOOKUP('Données projet'!$B$13,Paramètres!$A$1:$I$89,5,0)</f>
        <v>1.3301360013429075E-13</v>
      </c>
      <c r="CV74" s="13">
        <f t="shared" si="95"/>
        <v>1.9329766731057041E-12</v>
      </c>
      <c r="CW74" s="20">
        <f t="shared" si="67"/>
        <v>3.5982663925596575E-12</v>
      </c>
      <c r="CX74" s="59">
        <f t="shared" si="68"/>
        <v>293.3333333333369</v>
      </c>
      <c r="CY74" s="59">
        <f ca="1">AVERAGE(OFFSET($CX$3,0,0,'Données projet'!$E$13+1,1))-AVERAGE(OFFSET($H$3,0,0,'Données projet'!$E$13+1,1))</f>
        <v>288.80569134263209</v>
      </c>
      <c r="CZ74" s="59">
        <f t="shared" si="96"/>
        <v>283.48738729114024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77.98288046069672</v>
      </c>
      <c r="DG74" s="21">
        <f>EXP(-LN(2)/25)*DG73+(1-EXP(-LN(2)/25))/(LN(2)/25)*Calculateur!DB74*Calculateur!DD74*VLOOKUP('Données projet'!$B$13,Paramètres!$A$1:$I$89,3,0)*0.475*44/12</f>
        <v>64.530157415495012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142.51303787619173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3.4</v>
      </c>
      <c r="DO74" s="12">
        <f>IF('Données projet'!$A$166&gt;35,DO73+DN74-DW73,IF(A74&lt;'Données projet'!$A$166,$DL$205^A74,IF(A74='Données projet'!$A$166,'Données projet'!$B$166,DO73+DN74-DW73)))</f>
        <v>256.39999999999986</v>
      </c>
      <c r="DP74" s="17">
        <f>DO74*VLOOKUP('Données projet'!$B$14,Paramètres!$A$1:$I$89,3,0)*VLOOKUP('Données projet'!$B$14,Paramètres!$A$1:$I$89,5,0)</f>
        <v>203.99183999999988</v>
      </c>
      <c r="DQ74" s="13">
        <f t="shared" si="97"/>
        <v>50.620441749347997</v>
      </c>
      <c r="DR74" s="20">
        <f t="shared" si="70"/>
        <v>443.44972404678083</v>
      </c>
      <c r="DS74" s="59">
        <f t="shared" si="71"/>
        <v>736.78305738011409</v>
      </c>
      <c r="DT74" s="59">
        <f ca="1">AVERAGE(OFFSET($DS$3,0,0,'Données projet'!$E$14+1,1))-AVERAGE(OFFSET($H$3,0,0,'Données projet'!$E$14+1,1))</f>
        <v>299.10536994156814</v>
      </c>
      <c r="DU74" s="59">
        <f t="shared" si="98"/>
        <v>292.57799203101769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26.445265708964623</v>
      </c>
      <c r="EB74" s="21">
        <f>EXP(-LN(2)/25)*EB73+(1-EXP(-LN(2)/25))/(LN(2)/25)*Calculateur!DW74*Calculateur!DY74*VLOOKUP('Données projet'!$B$14,Paramètres!$A$1:$I$89,3,0)*0.475*44/12</f>
        <v>9.556237711127828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36.001503420092448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7.8425925925925934</v>
      </c>
      <c r="N75" s="13">
        <f>IF('Données projet'!$A$36&gt;35,N74+M75-V74,IF(A75&lt;'Données projet'!$A$36,$K$205^A75,IF(A75='Données projet'!$A$36,'Données projet'!$B$36,N74+M75-V74)))</f>
        <v>211.27207977208002</v>
      </c>
      <c r="O75" s="13">
        <f>N75*VLOOKUP('Données projet'!$B$9,Paramètres!$A$1:$I$89,3,0)*VLOOKUP('Données projet'!$B$9,Paramètres!$A$1:$I$89,5,0)</f>
        <v>191.15897777777801</v>
      </c>
      <c r="P75" s="13">
        <f t="shared" si="87"/>
        <v>47.796095622022989</v>
      </c>
      <c r="Q75" s="20">
        <f t="shared" si="54"/>
        <v>416.18008617132006</v>
      </c>
      <c r="R75" s="59">
        <f t="shared" si="55"/>
        <v>709.51341950465337</v>
      </c>
      <c r="S75" s="59">
        <f ca="1">AVERAGE(OFFSET($R$3,0,0,'Données projet'!$E$9+1,1))-AVERAGE(OFFSET($H$3,0,0,'Données projet'!$E$9+1,1))</f>
        <v>384.05928630855732</v>
      </c>
      <c r="T75" s="59">
        <f t="shared" si="88"/>
        <v>279.93992813630513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22.298792017345534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22.298792017345534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260.44230769230768</v>
      </c>
      <c r="AG75" s="12">
        <f>VLOOKUP(A75,'Données projet'!$A$61:$I$81,9,0)</f>
        <v>8.9615384615384599</v>
      </c>
      <c r="AH75" s="12">
        <f t="array" ref="AH75">INDEX(AG:AG,MIN(IF(ISNUMBER(AG75:AG271),ROW(AG75:AG271),"")))</f>
        <v>8.9615384615384599</v>
      </c>
      <c r="AI75" s="13">
        <f>IF('Données projet'!$A$62&gt;35,AI74+AH75-AQ74,IF(A75&lt;'Données projet'!$A$62,$AF$205^A75,IF(A75='Données projet'!$A$62,'Données projet'!$B$62,AI74+AH75-AQ74)))</f>
        <v>260.44230769230791</v>
      </c>
      <c r="AJ75" s="13">
        <f>AI75*VLOOKUP('Données projet'!$B$10,Paramètres!$A$1:$I$89,3,0)*VLOOKUP('Données projet'!$B$10,Paramètres!$A$1:$I$89,5,0)</f>
        <v>223.45950000000022</v>
      </c>
      <c r="AK75" s="13">
        <f t="shared" si="89"/>
        <v>54.866106806645128</v>
      </c>
      <c r="AL75" s="20">
        <f t="shared" si="58"/>
        <v>484.75043185490728</v>
      </c>
      <c r="AM75" s="59">
        <f t="shared" si="59"/>
        <v>778.08376518824059</v>
      </c>
      <c r="AN75" s="59">
        <f ca="1">AVERAGE(OFFSET($AM$3,0,0,'Données projet'!$E$10+1,1))-AVERAGE(OFFSET($H$3,0,0,'Données projet'!$E$10+1,1))</f>
        <v>335.02113791949211</v>
      </c>
      <c r="AO75" s="59">
        <f t="shared" si="90"/>
        <v>222.06886429435099</v>
      </c>
      <c r="AP75" s="15">
        <f>IF(ISNA(VLOOKUP(A75,'Données projet'!$A$61:$I$81,3,0)),0,VLOOKUP(A75,'Données projet'!$A$61:$I$81,3,0))</f>
        <v>5</v>
      </c>
      <c r="AQ75" s="15">
        <f>IF(ISNA(VLOOKUP(A75,'Données projet'!$A$61:$I$81,4,0)),0,VLOOKUP(A75,'Données projet'!$A$61:$I$81,4,0))</f>
        <v>62.551282051282051</v>
      </c>
      <c r="AR75" s="16">
        <f>IF(ISNA(VLOOKUP(A75,'Données projet'!$A$61:$I$81,5,0)),0%,VLOOKUP(A75,'Données projet'!$A$61:$I$81,5,0)*VLOOKUP('Données projet'!$B$10,Paramètres!$A$1:$I$89,7,0))</f>
        <v>0.159</v>
      </c>
      <c r="AS75" s="16">
        <f>IF(ISNA(VLOOKUP(A75,'Données projet'!$A$61:$I$81,6,0)),0%,VLOOKUP(A75,'Données projet'!$A$61:$I$81,6,0)*VLOOKUP('Données projet'!$B$10,Paramètres!$A$1:$I$89,7,0))</f>
        <v>0.159</v>
      </c>
      <c r="AT75" s="16">
        <f>IF(ISNA(VLOOKUP(A75,'Données projet'!$A$61:$I$81,7,0)),0%,VLOOKUP(A75,'Données projet'!$A$61:$I$81,7,0))</f>
        <v>0.2</v>
      </c>
      <c r="AU75" s="21">
        <f>EXP(-LN(2)/35)*AU74+(1-EXP(-LN(2)/35))/(LN(2)/35)*AQ75*AR75*VLOOKUP('Données projet'!$B$10,Paramètres!$A$1:$I$89,3,0)*0.475*44/12</f>
        <v>9.43338887806547</v>
      </c>
      <c r="AV75" s="21">
        <f>EXP(-LN(2)/25)*AV74+(1-EXP(-LN(2)/25))/(LN(2)/25)*Calculateur!AQ75*Calculateur!AS75*VLOOKUP('Données projet'!$B$10,Paramètres!$A$1:$I$89,3,0)*0.475*44/12</f>
        <v>25.200073378975809</v>
      </c>
      <c r="AW75" s="21">
        <f>EXP(-LN(2)/2)*AW74+(1-EXP(-LN(2)/2))/(LN(2)/2)*AQ75*AT75*VLOOKUP('Données projet'!$B$10,Paramètres!$A$1:$I$89,3,0)*0.475*44/12</f>
        <v>10.848875842416653</v>
      </c>
      <c r="AX75" s="21">
        <f t="shared" si="60"/>
        <v>45.482338099457934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5.6899038461538431</v>
      </c>
      <c r="BD75" s="12">
        <f>IF('Données projet'!$A$88&gt;35,BD74+BC75-BL74,IF(A75&lt;'Données projet'!$A$88,$BA$205^A75,IF(A75='Données projet'!$A$88,'Données projet'!$B$88,BD74+BC75-BL74)))</f>
        <v>164.31490384615381</v>
      </c>
      <c r="BE75" s="13">
        <f>BD75*VLOOKUP('Données projet'!$B$11,Paramètres!$A$1:$I$89,3,0)*VLOOKUP('Données projet'!$B$11,Paramètres!$A$1:$I$89,5,0)</f>
        <v>158.92537499999997</v>
      </c>
      <c r="BF75" s="13">
        <f t="shared" si="91"/>
        <v>40.600035753736599</v>
      </c>
      <c r="BG75" s="20">
        <f t="shared" si="61"/>
        <v>347.5067570627578</v>
      </c>
      <c r="BH75" s="59">
        <f t="shared" si="62"/>
        <v>640.84009039609111</v>
      </c>
      <c r="BI75" s="59">
        <f ca="1">AVERAGE(OFFSET($BH$3,0,0,'Données projet'!$E$11+1,1))-AVERAGE(OFFSET($H$3,0,0,'Données projet'!$E$11+1,1))</f>
        <v>366.51581861366333</v>
      </c>
      <c r="BJ75" s="59">
        <f t="shared" si="92"/>
        <v>225.01415116995503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</v>
      </c>
      <c r="BY75" s="12">
        <f>IF('Données projet'!$A$114&gt;35,BY74+BX75-CG74,IF(A75&lt;'Données projet'!$A$114,$BV$205^A75,IF(A75='Données projet'!$A$114,'Données projet'!$B$114,BY74+BX75-CG74)))</f>
        <v>196.00000000000011</v>
      </c>
      <c r="BZ75" s="13">
        <f>BY75*VLOOKUP('Données projet'!$B$12,Paramètres!$A$1:$I$89,3,0)*VLOOKUP('Données projet'!$B$12,Paramètres!$A$1:$I$89,5,0)</f>
        <v>128.41920000000007</v>
      </c>
      <c r="CA75" s="13">
        <f t="shared" si="93"/>
        <v>33.630823177860762</v>
      </c>
      <c r="CB75" s="20">
        <f t="shared" si="64"/>
        <v>282.23712370144091</v>
      </c>
      <c r="CC75" s="59">
        <f t="shared" si="65"/>
        <v>575.57045703477422</v>
      </c>
      <c r="CD75" s="59">
        <f ca="1">AVERAGE(OFFSET($CC$3,0,0,'Données projet'!$E$12+1,1))-AVERAGE(OFFSET($H$3,0,0,'Données projet'!$E$12+1,1))</f>
        <v>230.58262378842818</v>
      </c>
      <c r="CE75" s="59">
        <f t="shared" si="94"/>
        <v>235.68746142880792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0.50890493463472497</v>
      </c>
      <c r="CL75" s="21">
        <f>EXP(-LN(2)/25)*CL74+(1-EXP(-LN(2)/25))/(LN(2)/25)*Calculateur!CG75*Calculateur!CI75*VLOOKUP('Données projet'!$B$12,Paramètres!$A$1:$I$89,3,0)*0.475*44/12</f>
        <v>8.1405252071914269</v>
      </c>
      <c r="CM75" s="21">
        <f>EXP(-LN(2)/2)*CM74+(1-EXP(-LN(2)/2))/(LN(2)/2)*CG75*CJ75*VLOOKUP('Données projet'!$B$12,Paramètres!$A$1:$I$89,3,0)*0.475*44/12</f>
        <v>1.93910386083055</v>
      </c>
      <c r="CN75" s="22">
        <f t="shared" si="66"/>
        <v>10.588534002656701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1.7053025658242404E-13</v>
      </c>
      <c r="CU75" s="17">
        <f>CT75*VLOOKUP('Données projet'!$B$13,Paramètres!$A$1:$I$89,3,0)*VLOOKUP('Données projet'!$B$13,Paramètres!$A$1:$I$89,5,0)</f>
        <v>1.3301360013429075E-13</v>
      </c>
      <c r="CV75" s="13">
        <f t="shared" si="95"/>
        <v>1.9329766731057041E-12</v>
      </c>
      <c r="CW75" s="20">
        <f t="shared" si="67"/>
        <v>3.5982663925596575E-12</v>
      </c>
      <c r="CX75" s="59">
        <f t="shared" si="68"/>
        <v>293.3333333333369</v>
      </c>
      <c r="CY75" s="59">
        <f ca="1">AVERAGE(OFFSET($CX$3,0,0,'Données projet'!$E$13+1,1))-AVERAGE(OFFSET($H$3,0,0,'Données projet'!$E$13+1,1))</f>
        <v>288.80569134263209</v>
      </c>
      <c r="CZ75" s="59">
        <f t="shared" si="96"/>
        <v>283.48738729114024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76.453683739722905</v>
      </c>
      <c r="DG75" s="21">
        <f>EXP(-LN(2)/25)*DG74+(1-EXP(-LN(2)/25))/(LN(2)/25)*Calculateur!DB75*Calculateur!DD75*VLOOKUP('Données projet'!$B$13,Paramètres!$A$1:$I$89,3,0)*0.475*44/12</f>
        <v>62.765576867474806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139.21926060719773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3.4</v>
      </c>
      <c r="DO75" s="12">
        <f>IF('Données projet'!$A$166&gt;35,DO74+DN75-DW74,IF(A75&lt;'Données projet'!$A$166,$DL$205^A75,IF(A75='Données projet'!$A$166,'Données projet'!$B$166,DO74+DN75-DW74)))</f>
        <v>259.79999999999984</v>
      </c>
      <c r="DP75" s="17">
        <f>DO75*VLOOKUP('Données projet'!$B$14,Paramètres!$A$1:$I$89,3,0)*VLOOKUP('Données projet'!$B$14,Paramètres!$A$1:$I$89,5,0)</f>
        <v>206.69687999999991</v>
      </c>
      <c r="DQ75" s="13">
        <f t="shared" si="97"/>
        <v>51.213106197404436</v>
      </c>
      <c r="DR75" s="20">
        <f t="shared" si="70"/>
        <v>449.1932259604792</v>
      </c>
      <c r="DS75" s="59">
        <f t="shared" si="71"/>
        <v>742.52655929381251</v>
      </c>
      <c r="DT75" s="59">
        <f ca="1">AVERAGE(OFFSET($DS$3,0,0,'Données projet'!$E$14+1,1))-AVERAGE(OFFSET($H$3,0,0,'Données projet'!$E$14+1,1))</f>
        <v>299.10536994156814</v>
      </c>
      <c r="DU75" s="59">
        <f t="shared" si="98"/>
        <v>292.57799203101769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25.926690178431201</v>
      </c>
      <c r="EB75" s="21">
        <f>EXP(-LN(2)/25)*EB74+(1-EXP(-LN(2)/25))/(LN(2)/25)*Calculateur!DW75*Calculateur!DY75*VLOOKUP('Données projet'!$B$14,Paramètres!$A$1:$I$89,3,0)*0.475*44/12</f>
        <v>9.2949218883763383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35.221612066807538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7.8425925925925934</v>
      </c>
      <c r="N76" s="13">
        <f>IF('Données projet'!$A$36&gt;35,N75+M76-V75,IF(A76&lt;'Données projet'!$A$36,$K$205^A76,IF(A76='Données projet'!$A$36,'Données projet'!$B$36,N75+M76-V75)))</f>
        <v>219.1146723646726</v>
      </c>
      <c r="O76" s="13">
        <f>N76*VLOOKUP('Données projet'!$B$9,Paramètres!$A$1:$I$89,3,0)*VLOOKUP('Données projet'!$B$9,Paramètres!$A$1:$I$89,5,0)</f>
        <v>198.25495555555577</v>
      </c>
      <c r="P76" s="13">
        <f t="shared" si="87"/>
        <v>49.360464390082804</v>
      </c>
      <c r="Q76" s="20">
        <f t="shared" si="54"/>
        <v>431.26352307198721</v>
      </c>
      <c r="R76" s="59">
        <f t="shared" si="55"/>
        <v>724.59685640532052</v>
      </c>
      <c r="S76" s="59">
        <f ca="1">AVERAGE(OFFSET($R$3,0,0,'Données projet'!$E$9+1,1))-AVERAGE(OFFSET($H$3,0,0,'Données projet'!$E$9+1,1))</f>
        <v>384.05928630855732</v>
      </c>
      <c r="T76" s="59">
        <f t="shared" si="88"/>
        <v>279.93992813630513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21.861526306805541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21.861526306805541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8.017806267806268</v>
      </c>
      <c r="AI76" s="13">
        <f>IF('Données projet'!$A$62&gt;35,AI75+AH76-AQ75,IF(A76&lt;'Données projet'!$A$62,$AF$205^A76,IF(A76='Données projet'!$A$62,'Données projet'!$B$62,AI75+AH76-AQ75)))</f>
        <v>205.90883190883216</v>
      </c>
      <c r="AJ76" s="13">
        <f>AI76*VLOOKUP('Données projet'!$B$10,Paramètres!$A$1:$I$89,3,0)*VLOOKUP('Données projet'!$B$10,Paramètres!$A$1:$I$89,5,0)</f>
        <v>176.66977777777799</v>
      </c>
      <c r="AK76" s="13">
        <f t="shared" si="89"/>
        <v>44.580469736313056</v>
      </c>
      <c r="AL76" s="20">
        <f t="shared" si="58"/>
        <v>385.34418108704193</v>
      </c>
      <c r="AM76" s="59">
        <f t="shared" si="59"/>
        <v>678.67751442037525</v>
      </c>
      <c r="AN76" s="59">
        <f ca="1">AVERAGE(OFFSET($AM$3,0,0,'Données projet'!$E$10+1,1))-AVERAGE(OFFSET($H$3,0,0,'Données projet'!$E$10+1,1))</f>
        <v>335.02113791949211</v>
      </c>
      <c r="AO76" s="59">
        <f t="shared" si="90"/>
        <v>222.06886429435099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9.2484058759656804</v>
      </c>
      <c r="AV76" s="21">
        <f>EXP(-LN(2)/25)*AV75+(1-EXP(-LN(2)/25))/(LN(2)/25)*Calculateur!AQ76*Calculateur!AS76*VLOOKUP('Données projet'!$B$10,Paramètres!$A$1:$I$89,3,0)*0.475*44/12</f>
        <v>24.51097604721345</v>
      </c>
      <c r="AW76" s="21">
        <f>EXP(-LN(2)/2)*AW75+(1-EXP(-LN(2)/2))/(LN(2)/2)*AQ76*AT76*VLOOKUP('Données projet'!$B$10,Paramètres!$A$1:$I$89,3,0)*0.475*44/12</f>
        <v>7.6713136764237344</v>
      </c>
      <c r="AX76" s="21">
        <f t="shared" si="60"/>
        <v>41.430695599602871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5.6899038461538431</v>
      </c>
      <c r="BD76" s="12">
        <f>IF('Données projet'!$A$88&gt;35,BD75+BC76-BL75,IF(A76&lt;'Données projet'!$A$88,$BA$205^A76,IF(A76='Données projet'!$A$88,'Données projet'!$B$88,BD75+BC76-BL75)))</f>
        <v>170.00480769230765</v>
      </c>
      <c r="BE76" s="13">
        <f>BD76*VLOOKUP('Données projet'!$B$11,Paramètres!$A$1:$I$89,3,0)*VLOOKUP('Données projet'!$B$11,Paramètres!$A$1:$I$89,5,0)</f>
        <v>164.42864999999995</v>
      </c>
      <c r="BF76" s="13">
        <f t="shared" si="91"/>
        <v>41.839816971687064</v>
      </c>
      <c r="BG76" s="20">
        <f t="shared" si="61"/>
        <v>359.25091330902154</v>
      </c>
      <c r="BH76" s="59">
        <f t="shared" si="62"/>
        <v>652.58424664235486</v>
      </c>
      <c r="BI76" s="59">
        <f ca="1">AVERAGE(OFFSET($BH$3,0,0,'Données projet'!$E$11+1,1))-AVERAGE(OFFSET($H$3,0,0,'Données projet'!$E$11+1,1))</f>
        <v>366.51581861366333</v>
      </c>
      <c r="BJ76" s="59">
        <f t="shared" si="92"/>
        <v>225.01415116995503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</v>
      </c>
      <c r="BY76" s="12">
        <f>IF('Données projet'!$A$114&gt;35,BY75+BX76-CG75,IF(A76&lt;'Données projet'!$A$114,$BV$205^A76,IF(A76='Données projet'!$A$114,'Données projet'!$B$114,BY75+BX76-CG75)))</f>
        <v>200.00000000000011</v>
      </c>
      <c r="BZ76" s="13">
        <f>BY76*VLOOKUP('Données projet'!$B$12,Paramètres!$A$1:$I$89,3,0)*VLOOKUP('Données projet'!$B$12,Paramètres!$A$1:$I$89,5,0)</f>
        <v>131.04000000000008</v>
      </c>
      <c r="CA76" s="13">
        <f t="shared" si="93"/>
        <v>34.236561238949918</v>
      </c>
      <c r="CB76" s="20">
        <f t="shared" si="64"/>
        <v>287.85667749117118</v>
      </c>
      <c r="CC76" s="59">
        <f t="shared" si="65"/>
        <v>581.1900108245045</v>
      </c>
      <c r="CD76" s="59">
        <f ca="1">AVERAGE(OFFSET($CC$3,0,0,'Données projet'!$E$12+1,1))-AVERAGE(OFFSET($H$3,0,0,'Données projet'!$E$12+1,1))</f>
        <v>230.58262378842818</v>
      </c>
      <c r="CE76" s="59">
        <f t="shared" si="94"/>
        <v>235.68746142880792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0.49892561926789858</v>
      </c>
      <c r="CL76" s="21">
        <f>EXP(-LN(2)/25)*CL75+(1-EXP(-LN(2)/25))/(LN(2)/25)*Calculateur!CG76*Calculateur!CI76*VLOOKUP('Données projet'!$B$12,Paramètres!$A$1:$I$89,3,0)*0.475*44/12</f>
        <v>7.9179221173091623</v>
      </c>
      <c r="CM76" s="21">
        <f>EXP(-LN(2)/2)*CM75+(1-EXP(-LN(2)/2))/(LN(2)/2)*CG76*CJ76*VLOOKUP('Données projet'!$B$12,Paramètres!$A$1:$I$89,3,0)*0.475*44/12</f>
        <v>1.3711534894182973</v>
      </c>
      <c r="CN76" s="22">
        <f t="shared" si="66"/>
        <v>9.7880012259953588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1.7053025658242404E-13</v>
      </c>
      <c r="CU76" s="17">
        <f>CT76*VLOOKUP('Données projet'!$B$13,Paramètres!$A$1:$I$89,3,0)*VLOOKUP('Données projet'!$B$13,Paramètres!$A$1:$I$89,5,0)</f>
        <v>1.3301360013429075E-13</v>
      </c>
      <c r="CV76" s="13">
        <f t="shared" si="95"/>
        <v>1.9329766731057041E-12</v>
      </c>
      <c r="CW76" s="20">
        <f t="shared" si="67"/>
        <v>3.5982663925596575E-12</v>
      </c>
      <c r="CX76" s="59">
        <f t="shared" si="68"/>
        <v>293.3333333333369</v>
      </c>
      <c r="CY76" s="59">
        <f ca="1">AVERAGE(OFFSET($CX$3,0,0,'Données projet'!$E$13+1,1))-AVERAGE(OFFSET($H$3,0,0,'Données projet'!$E$13+1,1))</f>
        <v>288.80569134263209</v>
      </c>
      <c r="CZ76" s="59">
        <f t="shared" si="96"/>
        <v>283.48738729114024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74.954473633729478</v>
      </c>
      <c r="DG76" s="21">
        <f>EXP(-LN(2)/25)*DG75+(1-EXP(-LN(2)/25))/(LN(2)/25)*Calculateur!DB76*Calculateur!DD76*VLOOKUP('Données projet'!$B$13,Paramètres!$A$1:$I$89,3,0)*0.475*44/12</f>
        <v>61.049248867335471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136.00372250106494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3.4</v>
      </c>
      <c r="DO76" s="12">
        <f>IF('Données projet'!$A$166&gt;35,DO75+DN76-DW75,IF(A76&lt;'Données projet'!$A$166,$DL$205^A76,IF(A76='Données projet'!$A$166,'Données projet'!$B$166,DO75+DN76-DW75)))</f>
        <v>263.19999999999982</v>
      </c>
      <c r="DP76" s="17">
        <f>DO76*VLOOKUP('Données projet'!$B$14,Paramètres!$A$1:$I$89,3,0)*VLOOKUP('Données projet'!$B$14,Paramètres!$A$1:$I$89,5,0)</f>
        <v>209.40191999999988</v>
      </c>
      <c r="DQ76" s="13">
        <f t="shared" si="97"/>
        <v>51.804868484579039</v>
      </c>
      <c r="DR76" s="20">
        <f t="shared" si="70"/>
        <v>454.93515661064157</v>
      </c>
      <c r="DS76" s="59">
        <f t="shared" si="71"/>
        <v>748.26848994397483</v>
      </c>
      <c r="DT76" s="59">
        <f ca="1">AVERAGE(OFFSET($DS$3,0,0,'Données projet'!$E$14+1,1))-AVERAGE(OFFSET($H$3,0,0,'Données projet'!$E$14+1,1))</f>
        <v>299.10536994156814</v>
      </c>
      <c r="DU76" s="59">
        <f t="shared" si="98"/>
        <v>292.57799203101769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25.418283597751699</v>
      </c>
      <c r="EB76" s="21">
        <f>EXP(-LN(2)/25)*EB75+(1-EXP(-LN(2)/25))/(LN(2)/25)*Calculateur!DW76*Calculateur!DY76*VLOOKUP('Données projet'!$B$14,Paramètres!$A$1:$I$89,3,0)*0.475*44/12</f>
        <v>9.0407517605399885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34.459035358291686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7.8425925925925934</v>
      </c>
      <c r="N77" s="13">
        <f>IF('Données projet'!$A$36&gt;35,N76+M77-V76,IF(A77&lt;'Données projet'!$A$36,$K$205^A77,IF(A77='Données projet'!$A$36,'Données projet'!$B$36,N76+M77-V76)))</f>
        <v>226.95726495726518</v>
      </c>
      <c r="O77" s="13">
        <f>N77*VLOOKUP('Données projet'!$B$9,Paramètres!$A$1:$I$89,3,0)*VLOOKUP('Données projet'!$B$9,Paramètres!$A$1:$I$89,5,0)</f>
        <v>205.35093333333353</v>
      </c>
      <c r="P77" s="13">
        <f t="shared" si="87"/>
        <v>50.91832775961656</v>
      </c>
      <c r="Q77" s="20">
        <f t="shared" si="54"/>
        <v>446.33562973688805</v>
      </c>
      <c r="R77" s="59">
        <f t="shared" si="55"/>
        <v>739.66896307022137</v>
      </c>
      <c r="S77" s="59">
        <f ca="1">AVERAGE(OFFSET($R$3,0,0,'Données projet'!$E$9+1,1))-AVERAGE(OFFSET($H$3,0,0,'Données projet'!$E$9+1,1))</f>
        <v>384.05928630855732</v>
      </c>
      <c r="T77" s="59">
        <f t="shared" si="88"/>
        <v>279.93992813630513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21.432835110143486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21.432835110143486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8.017806267806268</v>
      </c>
      <c r="AI77" s="13">
        <f>IF('Données projet'!$A$62&gt;35,AI76+AH77-AQ76,IF(A77&lt;'Données projet'!$A$62,$AF$205^A77,IF(A77='Données projet'!$A$62,'Données projet'!$B$62,AI76+AH77-AQ76)))</f>
        <v>213.92663817663842</v>
      </c>
      <c r="AJ77" s="13">
        <f>AI77*VLOOKUP('Données projet'!$B$10,Paramètres!$A$1:$I$89,3,0)*VLOOKUP('Données projet'!$B$10,Paramètres!$A$1:$I$89,5,0)</f>
        <v>183.54905555555578</v>
      </c>
      <c r="AK77" s="13">
        <f t="shared" si="89"/>
        <v>46.110886132490592</v>
      </c>
      <c r="AL77" s="20">
        <f t="shared" si="58"/>
        <v>399.99106510668076</v>
      </c>
      <c r="AM77" s="59">
        <f t="shared" si="59"/>
        <v>693.32439844001408</v>
      </c>
      <c r="AN77" s="59">
        <f ca="1">AVERAGE(OFFSET($AM$3,0,0,'Données projet'!$E$10+1,1))-AVERAGE(OFFSET($H$3,0,0,'Données projet'!$E$10+1,1))</f>
        <v>335.02113791949211</v>
      </c>
      <c r="AO77" s="59">
        <f t="shared" si="90"/>
        <v>222.06886429435099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9.067050277708578</v>
      </c>
      <c r="AV77" s="21">
        <f>EXP(-LN(2)/25)*AV76+(1-EXP(-LN(2)/25))/(LN(2)/25)*Calculateur!AQ77*Calculateur!AS77*VLOOKUP('Données projet'!$B$10,Paramètres!$A$1:$I$89,3,0)*0.475*44/12</f>
        <v>23.840722118226189</v>
      </c>
      <c r="AW77" s="21">
        <f>EXP(-LN(2)/2)*AW76+(1-EXP(-LN(2)/2))/(LN(2)/2)*AQ77*AT77*VLOOKUP('Données projet'!$B$10,Paramètres!$A$1:$I$89,3,0)*0.475*44/12</f>
        <v>5.4244379212083276</v>
      </c>
      <c r="AX77" s="21">
        <f t="shared" si="60"/>
        <v>38.332210317143101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5.6899038461538431</v>
      </c>
      <c r="BD77" s="12">
        <f>IF('Données projet'!$A$88&gt;35,BD76+BC77-BL76,IF(A77&lt;'Données projet'!$A$88,$BA$205^A77,IF(A77='Données projet'!$A$88,'Données projet'!$B$88,BD76+BC77-BL76)))</f>
        <v>175.69471153846149</v>
      </c>
      <c r="BE77" s="13">
        <f>BD77*VLOOKUP('Données projet'!$B$11,Paramètres!$A$1:$I$89,3,0)*VLOOKUP('Données projet'!$B$11,Paramètres!$A$1:$I$89,5,0)</f>
        <v>169.93192499999995</v>
      </c>
      <c r="BF77" s="13">
        <f t="shared" si="91"/>
        <v>43.074776694487269</v>
      </c>
      <c r="BG77" s="20">
        <f t="shared" si="61"/>
        <v>370.98667211789854</v>
      </c>
      <c r="BH77" s="59">
        <f t="shared" si="62"/>
        <v>664.32000545123185</v>
      </c>
      <c r="BI77" s="59">
        <f ca="1">AVERAGE(OFFSET($BH$3,0,0,'Données projet'!$E$11+1,1))-AVERAGE(OFFSET($H$3,0,0,'Données projet'!$E$11+1,1))</f>
        <v>366.51581861366333</v>
      </c>
      <c r="BJ77" s="59">
        <f t="shared" si="92"/>
        <v>225.01415116995503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</v>
      </c>
      <c r="BY77" s="12">
        <f>IF('Données projet'!$A$114&gt;35,BY76+BX77-CG76,IF(A77&lt;'Données projet'!$A$114,$BV$205^A77,IF(A77='Données projet'!$A$114,'Données projet'!$B$114,BY76+BX77-CG76)))</f>
        <v>204.00000000000011</v>
      </c>
      <c r="BZ77" s="13">
        <f>BY77*VLOOKUP('Données projet'!$B$12,Paramètres!$A$1:$I$89,3,0)*VLOOKUP('Données projet'!$B$12,Paramètres!$A$1:$I$89,5,0)</f>
        <v>133.66080000000008</v>
      </c>
      <c r="CA77" s="13">
        <f t="shared" si="93"/>
        <v>34.840890682716747</v>
      </c>
      <c r="CB77" s="20">
        <f t="shared" si="64"/>
        <v>293.47377793906509</v>
      </c>
      <c r="CC77" s="59">
        <f t="shared" si="65"/>
        <v>586.8071112723984</v>
      </c>
      <c r="CD77" s="59">
        <f ca="1">AVERAGE(OFFSET($CC$3,0,0,'Données projet'!$E$12+1,1))-AVERAGE(OFFSET($H$3,0,0,'Données projet'!$E$12+1,1))</f>
        <v>230.58262378842818</v>
      </c>
      <c r="CE77" s="59">
        <f t="shared" si="94"/>
        <v>235.68746142880792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0.48914199218863424</v>
      </c>
      <c r="CL77" s="21">
        <f>EXP(-LN(2)/25)*CL76+(1-EXP(-LN(2)/25))/(LN(2)/25)*Calculateur!CG77*Calculateur!CI77*VLOOKUP('Données projet'!$B$12,Paramètres!$A$1:$I$89,3,0)*0.475*44/12</f>
        <v>7.7014061206259159</v>
      </c>
      <c r="CM77" s="21">
        <f>EXP(-LN(2)/2)*CM76+(1-EXP(-LN(2)/2))/(LN(2)/2)*CG77*CJ77*VLOOKUP('Données projet'!$B$12,Paramètres!$A$1:$I$89,3,0)*0.475*44/12</f>
        <v>0.9695519304152751</v>
      </c>
      <c r="CN77" s="22">
        <f t="shared" si="66"/>
        <v>9.160100043229825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1.7053025658242404E-13</v>
      </c>
      <c r="CU77" s="17">
        <f>CT77*VLOOKUP('Données projet'!$B$13,Paramètres!$A$1:$I$89,3,0)*VLOOKUP('Données projet'!$B$13,Paramètres!$A$1:$I$89,5,0)</f>
        <v>1.3301360013429075E-13</v>
      </c>
      <c r="CV77" s="13">
        <f t="shared" si="95"/>
        <v>1.9329766731057041E-12</v>
      </c>
      <c r="CW77" s="20">
        <f t="shared" si="67"/>
        <v>3.5982663925596575E-12</v>
      </c>
      <c r="CX77" s="59">
        <f t="shared" si="68"/>
        <v>293.3333333333369</v>
      </c>
      <c r="CY77" s="59">
        <f ca="1">AVERAGE(OFFSET($CX$3,0,0,'Données projet'!$E$13+1,1))-AVERAGE(OFFSET($H$3,0,0,'Données projet'!$E$13+1,1))</f>
        <v>288.80569134263209</v>
      </c>
      <c r="CZ77" s="59">
        <f t="shared" si="96"/>
        <v>283.48738729114024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73.484662123486714</v>
      </c>
      <c r="DG77" s="21">
        <f>EXP(-LN(2)/25)*DG76+(1-EXP(-LN(2)/25))/(LN(2)/25)*Calculateur!DB77*Calculateur!DD77*VLOOKUP('Données projet'!$B$13,Paramètres!$A$1:$I$89,3,0)*0.475*44/12</f>
        <v>59.379853946617715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132.86451607010443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3.4</v>
      </c>
      <c r="DO77" s="12">
        <f>IF('Données projet'!$A$166&gt;35,DO76+DN77-DW76,IF(A77&lt;'Données projet'!$A$166,$DL$205^A77,IF(A77='Données projet'!$A$166,'Données projet'!$B$166,DO76+DN77-DW76)))</f>
        <v>266.5999999999998</v>
      </c>
      <c r="DP77" s="17">
        <f>DO77*VLOOKUP('Données projet'!$B$14,Paramètres!$A$1:$I$89,3,0)*VLOOKUP('Données projet'!$B$14,Paramètres!$A$1:$I$89,5,0)</f>
        <v>212.10695999999984</v>
      </c>
      <c r="DQ77" s="13">
        <f t="shared" si="97"/>
        <v>52.395741612408194</v>
      </c>
      <c r="DR77" s="20">
        <f t="shared" si="70"/>
        <v>460.67553864161067</v>
      </c>
      <c r="DS77" s="59">
        <f t="shared" si="71"/>
        <v>754.00887197494399</v>
      </c>
      <c r="DT77" s="59">
        <f ca="1">AVERAGE(OFFSET($DS$3,0,0,'Données projet'!$E$14+1,1))-AVERAGE(OFFSET($H$3,0,0,'Données projet'!$E$14+1,1))</f>
        <v>299.10536994156814</v>
      </c>
      <c r="DU77" s="59">
        <f t="shared" si="98"/>
        <v>292.57799203101769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24.919846560021927</v>
      </c>
      <c r="EB77" s="21">
        <f>EXP(-LN(2)/25)*EB76+(1-EXP(-LN(2)/25))/(LN(2)/25)*Calculateur!DW77*Calculateur!DY77*VLOOKUP('Données projet'!$B$14,Paramètres!$A$1:$I$89,3,0)*0.475*44/12</f>
        <v>8.7935319282155504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33.713378488237481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7.8425925925925934</v>
      </c>
      <c r="N78" s="13">
        <f>IF('Données projet'!$A$36&gt;35,N77+M78-V77,IF(A78&lt;'Données projet'!$A$36,$K$205^A78,IF(A78='Données projet'!$A$36,'Données projet'!$B$36,N77+M78-V77)))</f>
        <v>234.79985754985776</v>
      </c>
      <c r="O78" s="13">
        <f>N78*VLOOKUP('Données projet'!$B$9,Paramètres!$A$1:$I$89,3,0)*VLOOKUP('Données projet'!$B$9,Paramètres!$A$1:$I$89,5,0)</f>
        <v>212.44691111111132</v>
      </c>
      <c r="P78" s="13">
        <f t="shared" si="87"/>
        <v>52.469936290697497</v>
      </c>
      <c r="Q78" s="20">
        <f t="shared" si="54"/>
        <v>461.39684255815035</v>
      </c>
      <c r="R78" s="59">
        <f t="shared" si="55"/>
        <v>754.73017589148367</v>
      </c>
      <c r="S78" s="59">
        <f ca="1">AVERAGE(OFFSET($R$3,0,0,'Données projet'!$E$9+1,1))-AVERAGE(OFFSET($H$3,0,0,'Données projet'!$E$9+1,1))</f>
        <v>384.05928630855732</v>
      </c>
      <c r="T78" s="59">
        <f t="shared" si="88"/>
        <v>279.93992813630513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21.012550286372164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21.012550286372164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8.017806267806268</v>
      </c>
      <c r="AI78" s="13">
        <f>IF('Données projet'!$A$62&gt;35,AI77+AH78-AQ77,IF(A78&lt;'Données projet'!$A$62,$AF$205^A78,IF(A78='Données projet'!$A$62,'Données projet'!$B$62,AI77+AH78-AQ77)))</f>
        <v>221.94444444444468</v>
      </c>
      <c r="AJ78" s="13">
        <f>AI78*VLOOKUP('Données projet'!$B$10,Paramètres!$A$1:$I$89,3,0)*VLOOKUP('Données projet'!$B$10,Paramètres!$A$1:$I$89,5,0)</f>
        <v>190.42833333333357</v>
      </c>
      <c r="AK78" s="13">
        <f t="shared" si="89"/>
        <v>47.634638855140132</v>
      </c>
      <c r="AL78" s="20">
        <f t="shared" si="58"/>
        <v>414.62634322825835</v>
      </c>
      <c r="AM78" s="59">
        <f t="shared" si="59"/>
        <v>707.95967656159166</v>
      </c>
      <c r="AN78" s="59">
        <f ca="1">AVERAGE(OFFSET($AM$3,0,0,'Données projet'!$E$10+1,1))-AVERAGE(OFFSET($H$3,0,0,'Données projet'!$E$10+1,1))</f>
        <v>335.02113791949211</v>
      </c>
      <c r="AO78" s="59">
        <f t="shared" si="90"/>
        <v>222.06886429435099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8.8892509521173046</v>
      </c>
      <c r="AV78" s="21">
        <f>EXP(-LN(2)/25)*AV77+(1-EXP(-LN(2)/25))/(LN(2)/25)*Calculateur!AQ78*Calculateur!AS78*VLOOKUP('Données projet'!$B$10,Paramètres!$A$1:$I$89,3,0)*0.475*44/12</f>
        <v>23.188796318174205</v>
      </c>
      <c r="AW78" s="21">
        <f>EXP(-LN(2)/2)*AW77+(1-EXP(-LN(2)/2))/(LN(2)/2)*AQ78*AT78*VLOOKUP('Données projet'!$B$10,Paramètres!$A$1:$I$89,3,0)*0.475*44/12</f>
        <v>3.8356568382118676</v>
      </c>
      <c r="AX78" s="21">
        <f t="shared" si="60"/>
        <v>35.913704108503374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181.38461538461536</v>
      </c>
      <c r="BB78" s="12">
        <f>VLOOKUP(A78,'Données projet'!$A$87:$I$107,9,0)</f>
        <v>5.6899038461538431</v>
      </c>
      <c r="BC78" s="12">
        <f t="array" ref="BC78">INDEX(BB:BB,MIN(IF(ISNUMBER(BB78:BB274),ROW(BB78:BB274),"")))</f>
        <v>5.6899038461538431</v>
      </c>
      <c r="BD78" s="12">
        <f>IF('Données projet'!$A$88&gt;35,BD77+BC78-BL77,IF(A78&lt;'Données projet'!$A$88,$BA$205^A78,IF(A78='Données projet'!$A$88,'Données projet'!$B$88,BD77+BC78-BL77)))</f>
        <v>181.38461538461533</v>
      </c>
      <c r="BE78" s="13">
        <f>BD78*VLOOKUP('Données projet'!$B$11,Paramètres!$A$1:$I$89,3,0)*VLOOKUP('Données projet'!$B$11,Paramètres!$A$1:$I$89,5,0)</f>
        <v>175.43519999999995</v>
      </c>
      <c r="BF78" s="13">
        <f t="shared" si="91"/>
        <v>44.305088975990508</v>
      </c>
      <c r="BG78" s="20">
        <f t="shared" si="61"/>
        <v>382.71433663318339</v>
      </c>
      <c r="BH78" s="59">
        <f t="shared" si="62"/>
        <v>676.04766996651665</v>
      </c>
      <c r="BI78" s="59">
        <f ca="1">AVERAGE(OFFSET($BH$3,0,0,'Données projet'!$E$11+1,1))-AVERAGE(OFFSET($H$3,0,0,'Données projet'!$E$11+1,1))</f>
        <v>366.51581861366333</v>
      </c>
      <c r="BJ78" s="59">
        <f t="shared" si="92"/>
        <v>225.01415116995503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30.916666666666664</v>
      </c>
      <c r="BM78" s="16">
        <f>IF(ISNA(VLOOKUP(A78,'Données projet'!$A$87:$I$107,5,0)),0%,VLOOKUP(A78,'Données projet'!$A$87:$I$107,5,0)*VLOOKUP('Données projet'!$B$11,Paramètres!$A$1:$I$89,7,0))</f>
        <v>0.30099999999999999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9.9499880098776199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9.9499880098776199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208</v>
      </c>
      <c r="BW78" s="12">
        <f>VLOOKUP(A78,'Données projet'!$A$113:$I$133,9,0)</f>
        <v>4</v>
      </c>
      <c r="BX78" s="12">
        <f t="array" ref="BX78">INDEX(BW:BW,MIN(IF(ISNUMBER(BW78:BW274),ROW(BW78:BW274),"")))</f>
        <v>4</v>
      </c>
      <c r="BY78" s="12">
        <f>IF('Données projet'!$A$114&gt;35,BY77+BX78-CG77,IF(A78&lt;'Données projet'!$A$114,$BV$205^A78,IF(A78='Données projet'!$A$114,'Données projet'!$B$114,BY77+BX78-CG77)))</f>
        <v>208.00000000000011</v>
      </c>
      <c r="BZ78" s="13">
        <f>BY78*VLOOKUP('Données projet'!$B$12,Paramètres!$A$1:$I$89,3,0)*VLOOKUP('Données projet'!$B$12,Paramètres!$A$1:$I$89,5,0)</f>
        <v>136.28160000000008</v>
      </c>
      <c r="CA78" s="13">
        <f t="shared" si="93"/>
        <v>35.443842312892279</v>
      </c>
      <c r="CB78" s="20">
        <f t="shared" si="64"/>
        <v>299.08847869495418</v>
      </c>
      <c r="CC78" s="59">
        <f t="shared" si="65"/>
        <v>592.42181202828749</v>
      </c>
      <c r="CD78" s="59">
        <f ca="1">AVERAGE(OFFSET($CC$3,0,0,'Données projet'!$E$12+1,1))-AVERAGE(OFFSET($H$3,0,0,'Données projet'!$E$12+1,1))</f>
        <v>230.58262378842818</v>
      </c>
      <c r="CE78" s="59">
        <f t="shared" si="94"/>
        <v>235.68746142880792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16</v>
      </c>
      <c r="CH78" s="16">
        <f>IF(ISNA(VLOOKUP(A78,'Données projet'!$A$113:$I$133,5,0)),0%,VLOOKUP(A78,'Données projet'!$A$113:$I$133,5,0)*VLOOKUP('Données projet'!$B$12,Paramètres!$A$1:$I$89,7,0))</f>
        <v>4.3000000000000003E-2</v>
      </c>
      <c r="CI78" s="16">
        <f>IF(ISNA(VLOOKUP(A78,'Données projet'!$A$113:$I$133,6,0)),0%,VLOOKUP(A78,'Données projet'!$A$113:$I$133,6,0)*VLOOKUP('Données projet'!$B$12,Paramètres!$A$1:$I$89,7,0))</f>
        <v>0.17200000000000001</v>
      </c>
      <c r="CJ78" s="16">
        <f>IF(ISNA(VLOOKUP(A78,'Données projet'!$A$113:$I$133,7,0)),0%,VLOOKUP(A78,'Données projet'!$A$113:$I$133,7,0))</f>
        <v>0.3</v>
      </c>
      <c r="CK78" s="21">
        <f>EXP(-LN(2)/35)*CK77+(1-EXP(-LN(2)/35))/(LN(2)/35)*CG78*CH78*VLOOKUP('Données projet'!$B$12,Paramètres!$A$1:$I$89,3,0)*0.475*44/12</f>
        <v>0.97787150062592343</v>
      </c>
      <c r="CL78" s="21">
        <f>EXP(-LN(2)/25)*CL77+(1-EXP(-LN(2)/25))/(LN(2)/25)*Calculateur!CG78*Calculateur!CI78*VLOOKUP('Données projet'!$B$12,Paramètres!$A$1:$I$89,3,0)*0.475*44/12</f>
        <v>9.47624758039548</v>
      </c>
      <c r="CM78" s="21">
        <f>EXP(-LN(2)/2)*CM77+(1-EXP(-LN(2)/2))/(LN(2)/2)*CG78*CJ78*VLOOKUP('Données projet'!$B$12,Paramètres!$A$1:$I$89,3,0)*0.475*44/12</f>
        <v>3.6529311500665096</v>
      </c>
      <c r="CN78" s="22">
        <f t="shared" si="66"/>
        <v>14.107050231087912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1.7053025658242404E-13</v>
      </c>
      <c r="CU78" s="17">
        <f>CT78*VLOOKUP('Données projet'!$B$13,Paramètres!$A$1:$I$89,3,0)*VLOOKUP('Données projet'!$B$13,Paramètres!$A$1:$I$89,5,0)</f>
        <v>1.3301360013429075E-13</v>
      </c>
      <c r="CV78" s="13">
        <f t="shared" si="95"/>
        <v>1.9329766731057041E-12</v>
      </c>
      <c r="CW78" s="20">
        <f t="shared" si="67"/>
        <v>3.5982663925596575E-12</v>
      </c>
      <c r="CX78" s="59">
        <f t="shared" si="68"/>
        <v>293.3333333333369</v>
      </c>
      <c r="CY78" s="59">
        <f ca="1">AVERAGE(OFFSET($CX$3,0,0,'Données projet'!$E$13+1,1))-AVERAGE(OFFSET($H$3,0,0,'Données projet'!$E$13+1,1))</f>
        <v>288.80569134263209</v>
      </c>
      <c r="CZ78" s="59">
        <f t="shared" si="96"/>
        <v>283.48738729114024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72.043672720463306</v>
      </c>
      <c r="DG78" s="21">
        <f>EXP(-LN(2)/25)*DG77+(1-EXP(-LN(2)/25))/(LN(2)/25)*Calculateur!DB78*Calculateur!DD78*VLOOKUP('Données projet'!$B$13,Paramètres!$A$1:$I$89,3,0)*0.475*44/12</f>
        <v>57.75610871779665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129.79978143825997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270</v>
      </c>
      <c r="DM78" s="12">
        <f>VLOOKUP(A78,'Données projet'!$A$165:$I$185,9,0)</f>
        <v>3.4</v>
      </c>
      <c r="DN78" s="12">
        <f t="array" ref="DN78">INDEX(DM:DM,MIN(IF(ISNUMBER(DM78:DM274),ROW(DM78:DM274),"")))</f>
        <v>3.4</v>
      </c>
      <c r="DO78" s="12">
        <f>IF('Données projet'!$A$166&gt;35,DO77+DN78-DW77,IF(A78&lt;'Données projet'!$A$166,$DL$205^A78,IF(A78='Données projet'!$A$166,'Données projet'!$B$166,DO77+DN78-DW77)))</f>
        <v>269.99999999999977</v>
      </c>
      <c r="DP78" s="17">
        <f>DO78*VLOOKUP('Données projet'!$B$14,Paramètres!$A$1:$I$89,3,0)*VLOOKUP('Données projet'!$B$14,Paramètres!$A$1:$I$89,5,0)</f>
        <v>214.81199999999981</v>
      </c>
      <c r="DQ78" s="13">
        <f t="shared" si="97"/>
        <v>52.985738231738011</v>
      </c>
      <c r="DR78" s="20">
        <f t="shared" si="70"/>
        <v>466.41439408694333</v>
      </c>
      <c r="DS78" s="59">
        <f t="shared" si="71"/>
        <v>759.74772742027665</v>
      </c>
      <c r="DT78" s="59">
        <f ca="1">AVERAGE(OFFSET($DS$3,0,0,'Données projet'!$E$14+1,1))-AVERAGE(OFFSET($H$3,0,0,'Données projet'!$E$14+1,1))</f>
        <v>299.10536994156814</v>
      </c>
      <c r="DU78" s="59">
        <f t="shared" si="98"/>
        <v>292.57799203101769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9</v>
      </c>
      <c r="DX78" s="16">
        <f>IF(ISNA(VLOOKUP(A78,'Données projet'!$A$165:$I$185,5,0)),0%,VLOOKUP(A78,'Données projet'!$A$165:$I$185,5,0)*VLOOKUP('Données projet'!$B$14,Paramètres!$A$1:$I$89,7,0))</f>
        <v>0.47170000000000001</v>
      </c>
      <c r="DY78" s="16">
        <f>IF(ISNA(VLOOKUP(A78,'Données projet'!$A$165:$I$185,6,0)),0%,VLOOKUP(A78,'Données projet'!$A$165:$I$185,6,0)*VLOOKUP('Données projet'!$B$14,Paramètres!$A$1:$I$89,7,0))</f>
        <v>5.8300000000000005E-2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28.164976855400631</v>
      </c>
      <c r="EB78" s="21">
        <f>EXP(-LN(2)/25)*EB77+(1-EXP(-LN(2)/25))/(LN(2)/25)*Calculateur!DW78*Calculateur!DY78*VLOOKUP('Données projet'!$B$14,Paramètres!$A$1:$I$89,3,0)*0.475*44/12</f>
        <v>9.0127353814937177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37.177712236894351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7.8425925925925934</v>
      </c>
      <c r="N79" s="13">
        <f>IF('Données projet'!$A$36&gt;35,N78+M79-V78,IF(A79&lt;'Données projet'!$A$36,$K$205^A79,IF(A79='Données projet'!$A$36,'Données projet'!$B$36,N78+M79-V78)))</f>
        <v>242.64245014245034</v>
      </c>
      <c r="O79" s="13">
        <f>N79*VLOOKUP('Données projet'!$B$9,Paramètres!$A$1:$I$89,3,0)*VLOOKUP('Données projet'!$B$9,Paramètres!$A$1:$I$89,5,0)</f>
        <v>219.54288888888908</v>
      </c>
      <c r="P79" s="13">
        <f t="shared" si="87"/>
        <v>54.015522855627488</v>
      </c>
      <c r="Q79" s="20">
        <f t="shared" si="54"/>
        <v>476.44756712169959</v>
      </c>
      <c r="R79" s="59">
        <f t="shared" si="55"/>
        <v>769.78090045503291</v>
      </c>
      <c r="S79" s="59">
        <f ca="1">AVERAGE(OFFSET($R$3,0,0,'Données projet'!$E$9+1,1))-AVERAGE(OFFSET($H$3,0,0,'Données projet'!$E$9+1,1))</f>
        <v>384.05928630855732</v>
      </c>
      <c r="T79" s="59">
        <f t="shared" si="88"/>
        <v>279.93992813630513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20.600506991646569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20.600506991646569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8.017806267806268</v>
      </c>
      <c r="AI79" s="13">
        <f>IF('Données projet'!$A$62&gt;35,AI78+AH79-AQ78,IF(A79&lt;'Données projet'!$A$62,$AF$205^A79,IF(A79='Données projet'!$A$62,'Données projet'!$B$62,AI78+AH79-AQ78)))</f>
        <v>229.96225071225095</v>
      </c>
      <c r="AJ79" s="13">
        <f>AI79*VLOOKUP('Données projet'!$B$10,Paramètres!$A$1:$I$89,3,0)*VLOOKUP('Données projet'!$B$10,Paramètres!$A$1:$I$89,5,0)</f>
        <v>197.30761111111136</v>
      </c>
      <c r="AK79" s="13">
        <f t="shared" si="89"/>
        <v>49.151996206447294</v>
      </c>
      <c r="AL79" s="20">
        <f t="shared" si="58"/>
        <v>429.25048274474801</v>
      </c>
      <c r="AM79" s="59">
        <f t="shared" si="59"/>
        <v>722.58381607808133</v>
      </c>
      <c r="AN79" s="59">
        <f ca="1">AVERAGE(OFFSET($AM$3,0,0,'Données projet'!$E$10+1,1))-AVERAGE(OFFSET($H$3,0,0,'Données projet'!$E$10+1,1))</f>
        <v>335.02113791949211</v>
      </c>
      <c r="AO79" s="59">
        <f t="shared" si="90"/>
        <v>222.06886429435099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8.714938162853997</v>
      </c>
      <c r="AV79" s="21">
        <f>EXP(-LN(2)/25)*AV78+(1-EXP(-LN(2)/25))/(LN(2)/25)*Calculateur!AQ79*Calculateur!AS79*VLOOKUP('Données projet'!$B$10,Paramètres!$A$1:$I$89,3,0)*0.475*44/12</f>
        <v>22.554697463407933</v>
      </c>
      <c r="AW79" s="21">
        <f>EXP(-LN(2)/2)*AW78+(1-EXP(-LN(2)/2))/(LN(2)/2)*AQ79*AT79*VLOOKUP('Données projet'!$B$10,Paramètres!$A$1:$I$89,3,0)*0.475*44/12</f>
        <v>2.7122189606041638</v>
      </c>
      <c r="AX79" s="21">
        <f t="shared" si="60"/>
        <v>33.981854586866092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5.5042735042735051</v>
      </c>
      <c r="BD79" s="12">
        <f>IF('Données projet'!$A$88&gt;35,BD78+BC79-BL78,IF(A79&lt;'Données projet'!$A$88,$BA$205^A79,IF(A79='Données projet'!$A$88,'Données projet'!$B$88,BD78+BC79-BL78)))</f>
        <v>155.97222222222217</v>
      </c>
      <c r="BE79" s="13">
        <f>BD79*VLOOKUP('Données projet'!$B$11,Paramètres!$A$1:$I$89,3,0)*VLOOKUP('Données projet'!$B$11,Paramètres!$A$1:$I$89,5,0)</f>
        <v>150.85633333333328</v>
      </c>
      <c r="BF79" s="13">
        <f t="shared" si="91"/>
        <v>38.773125921762045</v>
      </c>
      <c r="BG79" s="20">
        <f t="shared" si="61"/>
        <v>330.27130820262437</v>
      </c>
      <c r="BH79" s="59">
        <f t="shared" si="62"/>
        <v>623.60464153595763</v>
      </c>
      <c r="BI79" s="59">
        <f ca="1">AVERAGE(OFFSET($BH$3,0,0,'Données projet'!$E$11+1,1))-AVERAGE(OFFSET($H$3,0,0,'Données projet'!$E$11+1,1))</f>
        <v>366.51581861366333</v>
      </c>
      <c r="BJ79" s="59">
        <f t="shared" si="92"/>
        <v>225.01415116995503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9.7548748138973522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9.7548748138973522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3.8</v>
      </c>
      <c r="BY79" s="12">
        <f>IF('Données projet'!$A$114&gt;35,BY78+BX79-CG78,IF(A79&lt;'Données projet'!$A$114,$BV$205^A79,IF(A79='Données projet'!$A$114,'Données projet'!$B$114,BY78+BX79-CG78)))</f>
        <v>195.80000000000013</v>
      </c>
      <c r="BZ79" s="13">
        <f>BY79*VLOOKUP('Données projet'!$B$12,Paramètres!$A$1:$I$89,3,0)*VLOOKUP('Données projet'!$B$12,Paramètres!$A$1:$I$89,5,0)</f>
        <v>128.28816000000009</v>
      </c>
      <c r="CA79" s="13">
        <f t="shared" si="93"/>
        <v>33.600498728056088</v>
      </c>
      <c r="CB79" s="20">
        <f t="shared" si="64"/>
        <v>281.95608061803119</v>
      </c>
      <c r="CC79" s="59">
        <f t="shared" si="65"/>
        <v>575.28941395136451</v>
      </c>
      <c r="CD79" s="59">
        <f ca="1">AVERAGE(OFFSET($CC$3,0,0,'Données projet'!$E$12+1,1))-AVERAGE(OFFSET($H$3,0,0,'Données projet'!$E$12+1,1))</f>
        <v>230.58262378842818</v>
      </c>
      <c r="CE79" s="59">
        <f t="shared" si="94"/>
        <v>235.68746142880792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0.95869603694137062</v>
      </c>
      <c r="CL79" s="21">
        <f>EXP(-LN(2)/25)*CL78+(1-EXP(-LN(2)/25))/(LN(2)/25)*Calculateur!CG79*Calculateur!CI79*VLOOKUP('Données projet'!$B$12,Paramètres!$A$1:$I$89,3,0)*0.475*44/12</f>
        <v>9.2171190919753627</v>
      </c>
      <c r="CM79" s="21">
        <f>EXP(-LN(2)/2)*CM78+(1-EXP(-LN(2)/2))/(LN(2)/2)*CG79*CJ79*VLOOKUP('Données projet'!$B$12,Paramètres!$A$1:$I$89,3,0)*0.475*44/12</f>
        <v>2.5830123874196032</v>
      </c>
      <c r="CN79" s="22">
        <f t="shared" si="66"/>
        <v>12.758827516336336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1.7053025658242404E-13</v>
      </c>
      <c r="CU79" s="17">
        <f>CT79*VLOOKUP('Données projet'!$B$13,Paramètres!$A$1:$I$89,3,0)*VLOOKUP('Données projet'!$B$13,Paramètres!$A$1:$I$89,5,0)</f>
        <v>1.3301360013429075E-13</v>
      </c>
      <c r="CV79" s="13">
        <f t="shared" si="95"/>
        <v>1.9329766731057041E-12</v>
      </c>
      <c r="CW79" s="20">
        <f t="shared" si="67"/>
        <v>3.5982663925596575E-12</v>
      </c>
      <c r="CX79" s="59">
        <f t="shared" si="68"/>
        <v>293.3333333333369</v>
      </c>
      <c r="CY79" s="59">
        <f ca="1">AVERAGE(OFFSET($CX$3,0,0,'Données projet'!$E$13+1,1))-AVERAGE(OFFSET($H$3,0,0,'Données projet'!$E$13+1,1))</f>
        <v>288.80569134263209</v>
      </c>
      <c r="CZ79" s="59">
        <f t="shared" si="96"/>
        <v>283.48738729114024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70.630940240716441</v>
      </c>
      <c r="DG79" s="21">
        <f>EXP(-LN(2)/25)*DG78+(1-EXP(-LN(2)/25))/(LN(2)/25)*Calculateur!DB79*Calculateur!DD79*VLOOKUP('Données projet'!$B$13,Paramètres!$A$1:$I$89,3,0)*0.475*44/12</f>
        <v>56.176764887646748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126.80770512836318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2.8</v>
      </c>
      <c r="DO79" s="12">
        <f>IF('Données projet'!$A$166&gt;35,DO78+DN79-DW78,IF(A79&lt;'Données projet'!$A$166,$DL$205^A79,IF(A79='Données projet'!$A$166,'Données projet'!$B$166,DO78+DN79-DW78)))</f>
        <v>263.79999999999978</v>
      </c>
      <c r="DP79" s="17">
        <f>DO79*VLOOKUP('Données projet'!$B$14,Paramètres!$A$1:$I$89,3,0)*VLOOKUP('Données projet'!$B$14,Paramètres!$A$1:$I$89,5,0)</f>
        <v>209.87927999999985</v>
      </c>
      <c r="DQ79" s="13">
        <f t="shared" si="97"/>
        <v>51.909204458241767</v>
      </c>
      <c r="DR79" s="20">
        <f t="shared" si="70"/>
        <v>455.94827709810414</v>
      </c>
      <c r="DS79" s="59">
        <f t="shared" si="71"/>
        <v>749.28161043143746</v>
      </c>
      <c r="DT79" s="59">
        <f ca="1">AVERAGE(OFFSET($DS$3,0,0,'Données projet'!$E$14+1,1))-AVERAGE(OFFSET($H$3,0,0,'Données projet'!$E$14+1,1))</f>
        <v>299.10536994156814</v>
      </c>
      <c r="DU79" s="59">
        <f t="shared" si="98"/>
        <v>292.57799203101769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27.612678838205827</v>
      </c>
      <c r="EB79" s="21">
        <f>EXP(-LN(2)/25)*EB78+(1-EXP(-LN(2)/25))/(LN(2)/25)*Calculateur!DW79*Calculateur!DY79*VLOOKUP('Données projet'!$B$14,Paramètres!$A$1:$I$89,3,0)*0.475*44/12</f>
        <v>8.7662816585276175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36.378960496733441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7.8425925925925934</v>
      </c>
      <c r="N80" s="13">
        <f>IF('Données projet'!$A$36&gt;35,N79+M80-V79,IF(A80&lt;'Données projet'!$A$36,$K$205^A80,IF(A80='Données projet'!$A$36,'Données projet'!$B$36,N79+M80-V79)))</f>
        <v>250.48504273504292</v>
      </c>
      <c r="O80" s="13">
        <f>N80*VLOOKUP('Données projet'!$B$9,Paramètres!$A$1:$I$89,3,0)*VLOOKUP('Données projet'!$B$9,Paramètres!$A$1:$I$89,5,0)</f>
        <v>226.63886666666684</v>
      </c>
      <c r="P80" s="13">
        <f t="shared" si="87"/>
        <v>55.555304418491261</v>
      </c>
      <c r="Q80" s="20">
        <f t="shared" si="54"/>
        <v>491.4881813066504</v>
      </c>
      <c r="R80" s="59">
        <f t="shared" si="55"/>
        <v>784.82151463998366</v>
      </c>
      <c r="S80" s="59">
        <f ca="1">AVERAGE(OFFSET($R$3,0,0,'Données projet'!$E$9+1,1))-AVERAGE(OFFSET($H$3,0,0,'Données projet'!$E$9+1,1))</f>
        <v>384.05928630855732</v>
      </c>
      <c r="T80" s="59">
        <f t="shared" si="88"/>
        <v>279.93992813630513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20.196543614608945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20.196543614608945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8.017806267806268</v>
      </c>
      <c r="AI80" s="13">
        <f>IF('Données projet'!$A$62&gt;35,AI79+AH80-AQ79,IF(A80&lt;'Données projet'!$A$62,$AF$205^A80,IF(A80='Données projet'!$A$62,'Données projet'!$B$62,AI79+AH80-AQ79)))</f>
        <v>237.98005698005721</v>
      </c>
      <c r="AJ80" s="13">
        <f>AI80*VLOOKUP('Données projet'!$B$10,Paramètres!$A$1:$I$89,3,0)*VLOOKUP('Données projet'!$B$10,Paramètres!$A$1:$I$89,5,0)</f>
        <v>204.18688888888911</v>
      </c>
      <c r="AK80" s="13">
        <f t="shared" si="89"/>
        <v>50.663206718533701</v>
      </c>
      <c r="AL80" s="20">
        <f t="shared" si="58"/>
        <v>443.86391651626144</v>
      </c>
      <c r="AM80" s="59">
        <f t="shared" si="59"/>
        <v>737.19724984959475</v>
      </c>
      <c r="AN80" s="59">
        <f ca="1">AVERAGE(OFFSET($AM$3,0,0,'Données projet'!$E$10+1,1))-AVERAGE(OFFSET($H$3,0,0,'Données projet'!$E$10+1,1))</f>
        <v>335.02113791949211</v>
      </c>
      <c r="AO80" s="59">
        <f t="shared" si="90"/>
        <v>222.06886429435099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8.5440435410678397</v>
      </c>
      <c r="AV80" s="21">
        <f>EXP(-LN(2)/25)*AV79+(1-EXP(-LN(2)/25))/(LN(2)/25)*Calculateur!AQ80*Calculateur!AS80*VLOOKUP('Données projet'!$B$10,Paramètres!$A$1:$I$89,3,0)*0.475*44/12</f>
        <v>21.937938075171054</v>
      </c>
      <c r="AW80" s="21">
        <f>EXP(-LN(2)/2)*AW79+(1-EXP(-LN(2)/2))/(LN(2)/2)*AQ80*AT80*VLOOKUP('Données projet'!$B$10,Paramètres!$A$1:$I$89,3,0)*0.475*44/12</f>
        <v>1.9178284191059338</v>
      </c>
      <c r="AX80" s="21">
        <f t="shared" si="60"/>
        <v>32.399810035344828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5.5042735042735051</v>
      </c>
      <c r="BD80" s="12">
        <f>IF('Données projet'!$A$88&gt;35,BD79+BC80-BL79,IF(A80&lt;'Données projet'!$A$88,$BA$205^A80,IF(A80='Données projet'!$A$88,'Données projet'!$B$88,BD79+BC80-BL79)))</f>
        <v>161.47649572649567</v>
      </c>
      <c r="BE80" s="13">
        <f>BD80*VLOOKUP('Données projet'!$B$11,Paramètres!$A$1:$I$89,3,0)*VLOOKUP('Données projet'!$B$11,Paramètres!$A$1:$I$89,5,0)</f>
        <v>156.18006666666662</v>
      </c>
      <c r="BF80" s="13">
        <f t="shared" si="91"/>
        <v>39.979710818642765</v>
      </c>
      <c r="BG80" s="20">
        <f t="shared" si="61"/>
        <v>341.64494578691387</v>
      </c>
      <c r="BH80" s="59">
        <f t="shared" si="62"/>
        <v>634.97827912024718</v>
      </c>
      <c r="BI80" s="59">
        <f ca="1">AVERAGE(OFFSET($BH$3,0,0,'Données projet'!$E$11+1,1))-AVERAGE(OFFSET($H$3,0,0,'Données projet'!$E$11+1,1))</f>
        <v>366.51581861366333</v>
      </c>
      <c r="BJ80" s="59">
        <f t="shared" si="92"/>
        <v>225.01415116995503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9.5635876686829597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9.5635876686829597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3.8</v>
      </c>
      <c r="BY80" s="12">
        <f>IF('Données projet'!$A$114&gt;35,BY79+BX80-CG79,IF(A80&lt;'Données projet'!$A$114,$BV$205^A80,IF(A80='Données projet'!$A$114,'Données projet'!$B$114,BY79+BX80-CG79)))</f>
        <v>199.60000000000014</v>
      </c>
      <c r="BZ80" s="13">
        <f>BY80*VLOOKUP('Données projet'!$B$12,Paramètres!$A$1:$I$89,3,0)*VLOOKUP('Données projet'!$B$12,Paramètres!$A$1:$I$89,5,0)</f>
        <v>130.77792000000008</v>
      </c>
      <c r="CA80" s="13">
        <f t="shared" si="93"/>
        <v>34.176051340149542</v>
      </c>
      <c r="CB80" s="20">
        <f t="shared" si="64"/>
        <v>287.29483341742724</v>
      </c>
      <c r="CC80" s="59">
        <f t="shared" si="65"/>
        <v>580.62816675076056</v>
      </c>
      <c r="CD80" s="59">
        <f ca="1">AVERAGE(OFFSET($CC$3,0,0,'Données projet'!$E$12+1,1))-AVERAGE(OFFSET($H$3,0,0,'Données projet'!$E$12+1,1))</f>
        <v>230.58262378842818</v>
      </c>
      <c r="CE80" s="59">
        <f t="shared" si="94"/>
        <v>235.68746142880792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0.93989659240379397</v>
      </c>
      <c r="CL80" s="21">
        <f>EXP(-LN(2)/25)*CL79+(1-EXP(-LN(2)/25))/(LN(2)/25)*Calculateur!CG80*Calculateur!CI80*VLOOKUP('Données projet'!$B$12,Paramètres!$A$1:$I$89,3,0)*0.475*44/12</f>
        <v>8.96507648569807</v>
      </c>
      <c r="CM80" s="21">
        <f>EXP(-LN(2)/2)*CM79+(1-EXP(-LN(2)/2))/(LN(2)/2)*CG80*CJ80*VLOOKUP('Données projet'!$B$12,Paramètres!$A$1:$I$89,3,0)*0.475*44/12</f>
        <v>1.8264655750332552</v>
      </c>
      <c r="CN80" s="22">
        <f t="shared" si="66"/>
        <v>11.73143865313512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1.7053025658242404E-13</v>
      </c>
      <c r="CU80" s="17">
        <f>CT80*VLOOKUP('Données projet'!$B$13,Paramètres!$A$1:$I$89,3,0)*VLOOKUP('Données projet'!$B$13,Paramètres!$A$1:$I$89,5,0)</f>
        <v>1.3301360013429075E-13</v>
      </c>
      <c r="CV80" s="13">
        <f t="shared" si="95"/>
        <v>1.9329766731057041E-12</v>
      </c>
      <c r="CW80" s="20">
        <f t="shared" si="67"/>
        <v>3.5982663925596575E-12</v>
      </c>
      <c r="CX80" s="59">
        <f t="shared" si="68"/>
        <v>293.3333333333369</v>
      </c>
      <c r="CY80" s="59">
        <f ca="1">AVERAGE(OFFSET($CX$3,0,0,'Données projet'!$E$13+1,1))-AVERAGE(OFFSET($H$3,0,0,'Données projet'!$E$13+1,1))</f>
        <v>288.80569134263209</v>
      </c>
      <c r="CZ80" s="59">
        <f t="shared" si="96"/>
        <v>283.48738729114024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69.245910583215675</v>
      </c>
      <c r="DG80" s="21">
        <f>EXP(-LN(2)/25)*DG79+(1-EXP(-LN(2)/25))/(LN(2)/25)*Calculateur!DB80*Calculateur!DD80*VLOOKUP('Données projet'!$B$13,Paramètres!$A$1:$I$89,3,0)*0.475*44/12</f>
        <v>54.640608297586375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123.88651888080204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2.8</v>
      </c>
      <c r="DO80" s="12">
        <f>IF('Données projet'!$A$166&gt;35,DO79+DN80-DW79,IF(A80&lt;'Données projet'!$A$166,$DL$205^A80,IF(A80='Données projet'!$A$166,'Données projet'!$B$166,DO79+DN80-DW79)))</f>
        <v>266.5999999999998</v>
      </c>
      <c r="DP80" s="17">
        <f>DO80*VLOOKUP('Données projet'!$B$14,Paramètres!$A$1:$I$89,3,0)*VLOOKUP('Données projet'!$B$14,Paramètres!$A$1:$I$89,5,0)</f>
        <v>212.10695999999984</v>
      </c>
      <c r="DQ80" s="13">
        <f t="shared" si="97"/>
        <v>52.395741612408194</v>
      </c>
      <c r="DR80" s="20">
        <f t="shared" si="70"/>
        <v>460.67553864161067</v>
      </c>
      <c r="DS80" s="59">
        <f t="shared" si="71"/>
        <v>754.00887197494399</v>
      </c>
      <c r="DT80" s="59">
        <f ca="1">AVERAGE(OFFSET($DS$3,0,0,'Données projet'!$E$14+1,1))-AVERAGE(OFFSET($H$3,0,0,'Données projet'!$E$14+1,1))</f>
        <v>299.10536994156814</v>
      </c>
      <c r="DU80" s="59">
        <f t="shared" si="98"/>
        <v>292.57799203101769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27.071211048259684</v>
      </c>
      <c r="EB80" s="21">
        <f>EXP(-LN(2)/25)*EB79+(1-EXP(-LN(2)/25))/(LN(2)/25)*Calculateur!DW80*Calculateur!DY80*VLOOKUP('Données projet'!$B$14,Paramètres!$A$1:$I$89,3,0)*0.475*44/12</f>
        <v>8.5265672255764624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35.597778273836148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7.8425925925925934</v>
      </c>
      <c r="N81" s="13">
        <f>IF('Données projet'!$A$36&gt;35,N80+M81-V80,IF(A81&lt;'Données projet'!$A$36,$K$205^A81,IF(A81='Données projet'!$A$36,'Données projet'!$B$36,N80+M81-V80)))</f>
        <v>258.32763532763551</v>
      </c>
      <c r="O81" s="13">
        <f>N81*VLOOKUP('Données projet'!$B$9,Paramètres!$A$1:$I$89,3,0)*VLOOKUP('Données projet'!$B$9,Paramètres!$A$1:$I$89,5,0)</f>
        <v>233.7348444444446</v>
      </c>
      <c r="P81" s="13">
        <f t="shared" si="87"/>
        <v>57.089483585580787</v>
      </c>
      <c r="Q81" s="20">
        <f t="shared" si="54"/>
        <v>506.51903798562756</v>
      </c>
      <c r="R81" s="59">
        <f t="shared" si="55"/>
        <v>799.85237131896088</v>
      </c>
      <c r="S81" s="59">
        <f ca="1">AVERAGE(OFFSET($R$3,0,0,'Données projet'!$E$9+1,1))-AVERAGE(OFFSET($H$3,0,0,'Données projet'!$E$9+1,1))</f>
        <v>384.05928630855732</v>
      </c>
      <c r="T81" s="59">
        <f t="shared" si="88"/>
        <v>279.93992813630513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19.800501713001701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19.800501713001701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8.017806267806268</v>
      </c>
      <c r="AI81" s="13">
        <f>IF('Données projet'!$A$62&gt;35,AI80+AH81-AQ80,IF(A81&lt;'Données projet'!$A$62,$AF$205^A81,IF(A81='Données projet'!$A$62,'Données projet'!$B$62,AI80+AH81-AQ80)))</f>
        <v>245.99786324786348</v>
      </c>
      <c r="AJ81" s="13">
        <f>AI81*VLOOKUP('Données projet'!$B$10,Paramètres!$A$1:$I$89,3,0)*VLOOKUP('Données projet'!$B$10,Paramètres!$A$1:$I$89,5,0)</f>
        <v>211.0661666666669</v>
      </c>
      <c r="AK81" s="13">
        <f t="shared" si="89"/>
        <v>52.168501226752177</v>
      </c>
      <c r="AL81" s="20">
        <f t="shared" si="58"/>
        <v>458.46704658103823</v>
      </c>
      <c r="AM81" s="59">
        <f t="shared" si="59"/>
        <v>751.80037991437155</v>
      </c>
      <c r="AN81" s="59">
        <f ca="1">AVERAGE(OFFSET($AM$3,0,0,'Données projet'!$E$10+1,1))-AVERAGE(OFFSET($H$3,0,0,'Données projet'!$E$10+1,1))</f>
        <v>335.02113791949211</v>
      </c>
      <c r="AO81" s="59">
        <f t="shared" si="90"/>
        <v>222.06886429435099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8.3765000585794809</v>
      </c>
      <c r="AV81" s="21">
        <f>EXP(-LN(2)/25)*AV80+(1-EXP(-LN(2)/25))/(LN(2)/25)*Calculateur!AQ81*Calculateur!AS81*VLOOKUP('Données projet'!$B$10,Paramètres!$A$1:$I$89,3,0)*0.475*44/12</f>
        <v>21.338044004839478</v>
      </c>
      <c r="AW81" s="21">
        <f>EXP(-LN(2)/2)*AW80+(1-EXP(-LN(2)/2))/(LN(2)/2)*AQ81*AT81*VLOOKUP('Données projet'!$B$10,Paramètres!$A$1:$I$89,3,0)*0.475*44/12</f>
        <v>1.3561094803020819</v>
      </c>
      <c r="AX81" s="21">
        <f t="shared" si="60"/>
        <v>31.07065354372104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5.5042735042735051</v>
      </c>
      <c r="BD81" s="12">
        <f>IF('Données projet'!$A$88&gt;35,BD80+BC81-BL80,IF(A81&lt;'Données projet'!$A$88,$BA$205^A81,IF(A81='Données projet'!$A$88,'Données projet'!$B$88,BD80+BC81-BL80)))</f>
        <v>166.98076923076917</v>
      </c>
      <c r="BE81" s="13">
        <f>BD81*VLOOKUP('Données projet'!$B$11,Paramètres!$A$1:$I$89,3,0)*VLOOKUP('Données projet'!$B$11,Paramètres!$A$1:$I$89,5,0)</f>
        <v>161.50379999999993</v>
      </c>
      <c r="BF81" s="13">
        <f t="shared" si="91"/>
        <v>41.181516802669677</v>
      </c>
      <c r="BG81" s="20">
        <f t="shared" si="61"/>
        <v>353.01026009798289</v>
      </c>
      <c r="BH81" s="59">
        <f t="shared" si="62"/>
        <v>646.34359343131621</v>
      </c>
      <c r="BI81" s="59">
        <f ca="1">AVERAGE(OFFSET($BH$3,0,0,'Données projet'!$E$11+1,1))-AVERAGE(OFFSET($H$3,0,0,'Données projet'!$E$11+1,1))</f>
        <v>366.51581861366333</v>
      </c>
      <c r="BJ81" s="59">
        <f t="shared" si="92"/>
        <v>225.01415116995503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9.3760515477125832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9.3760515477125832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3.8</v>
      </c>
      <c r="BY81" s="12">
        <f>IF('Données projet'!$A$114&gt;35,BY80+BX81-CG80,IF(A81&lt;'Données projet'!$A$114,$BV$205^A81,IF(A81='Données projet'!$A$114,'Données projet'!$B$114,BY80+BX81-CG80)))</f>
        <v>203.40000000000015</v>
      </c>
      <c r="BZ81" s="13">
        <f>BY81*VLOOKUP('Données projet'!$B$12,Paramètres!$A$1:$I$89,3,0)*VLOOKUP('Données projet'!$B$12,Paramètres!$A$1:$I$89,5,0)</f>
        <v>133.2676800000001</v>
      </c>
      <c r="CA81" s="13">
        <f t="shared" si="93"/>
        <v>34.750329840004937</v>
      </c>
      <c r="CB81" s="20">
        <f t="shared" si="64"/>
        <v>292.63136713800878</v>
      </c>
      <c r="CC81" s="59">
        <f t="shared" si="65"/>
        <v>585.9647004713421</v>
      </c>
      <c r="CD81" s="59">
        <f ca="1">AVERAGE(OFFSET($CC$3,0,0,'Données projet'!$E$12+1,1))-AVERAGE(OFFSET($H$3,0,0,'Données projet'!$E$12+1,1))</f>
        <v>230.58262378842818</v>
      </c>
      <c r="CE81" s="59">
        <f t="shared" si="94"/>
        <v>235.68746142880792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0.92146579350707025</v>
      </c>
      <c r="CL81" s="21">
        <f>EXP(-LN(2)/25)*CL80+(1-EXP(-LN(2)/25))/(LN(2)/25)*Calculateur!CG81*Calculateur!CI81*VLOOKUP('Données projet'!$B$12,Paramètres!$A$1:$I$89,3,0)*0.475*44/12</f>
        <v>8.7199259977437737</v>
      </c>
      <c r="CM81" s="21">
        <f>EXP(-LN(2)/2)*CM80+(1-EXP(-LN(2)/2))/(LN(2)/2)*CG81*CJ81*VLOOKUP('Données projet'!$B$12,Paramètres!$A$1:$I$89,3,0)*0.475*44/12</f>
        <v>1.2915061937098018</v>
      </c>
      <c r="CN81" s="22">
        <f t="shared" si="66"/>
        <v>10.932897984960645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1.7053025658242404E-13</v>
      </c>
      <c r="CU81" s="17">
        <f>CT81*VLOOKUP('Données projet'!$B$13,Paramètres!$A$1:$I$89,3,0)*VLOOKUP('Données projet'!$B$13,Paramètres!$A$1:$I$89,5,0)</f>
        <v>1.3301360013429075E-13</v>
      </c>
      <c r="CV81" s="13">
        <f t="shared" si="95"/>
        <v>1.9329766731057041E-12</v>
      </c>
      <c r="CW81" s="20">
        <f t="shared" si="67"/>
        <v>3.5982663925596575E-12</v>
      </c>
      <c r="CX81" s="59">
        <f t="shared" si="68"/>
        <v>293.3333333333369</v>
      </c>
      <c r="CY81" s="59">
        <f ca="1">AVERAGE(OFFSET($CX$3,0,0,'Données projet'!$E$13+1,1))-AVERAGE(OFFSET($H$3,0,0,'Données projet'!$E$13+1,1))</f>
        <v>288.80569134263209</v>
      </c>
      <c r="CZ81" s="59">
        <f t="shared" si="96"/>
        <v>283.48738729114024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67.888040512513825</v>
      </c>
      <c r="DG81" s="21">
        <f>EXP(-LN(2)/25)*DG80+(1-EXP(-LN(2)/25))/(LN(2)/25)*Calculateur!DB81*Calculateur!DD81*VLOOKUP('Données projet'!$B$13,Paramètres!$A$1:$I$89,3,0)*0.475*44/12</f>
        <v>53.146457990264167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121.03449850277799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2.8</v>
      </c>
      <c r="DO81" s="12">
        <f>IF('Données projet'!$A$166&gt;35,DO80+DN81-DW80,IF(A81&lt;'Données projet'!$A$166,$DL$205^A81,IF(A81='Données projet'!$A$166,'Données projet'!$B$166,DO80+DN81-DW80)))</f>
        <v>269.39999999999981</v>
      </c>
      <c r="DP81" s="17">
        <f>DO81*VLOOKUP('Données projet'!$B$14,Paramètres!$A$1:$I$89,3,0)*VLOOKUP('Données projet'!$B$14,Paramètres!$A$1:$I$89,5,0)</f>
        <v>214.33463999999984</v>
      </c>
      <c r="DQ81" s="13">
        <f t="shared" si="97"/>
        <v>52.881684324030282</v>
      </c>
      <c r="DR81" s="20">
        <f t="shared" si="70"/>
        <v>465.40176486435234</v>
      </c>
      <c r="DS81" s="59">
        <f t="shared" si="71"/>
        <v>758.7350981976856</v>
      </c>
      <c r="DT81" s="59">
        <f ca="1">AVERAGE(OFFSET($DS$3,0,0,'Données projet'!$E$14+1,1))-AVERAGE(OFFSET($H$3,0,0,'Données projet'!$E$14+1,1))</f>
        <v>299.10536994156814</v>
      </c>
      <c r="DU81" s="59">
        <f t="shared" si="98"/>
        <v>292.57799203101769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26.540361111411645</v>
      </c>
      <c r="EB81" s="21">
        <f>EXP(-LN(2)/25)*EB80+(1-EXP(-LN(2)/25))/(LN(2)/25)*Calculateur!DW81*Calculateur!DY81*VLOOKUP('Données projet'!$B$14,Paramètres!$A$1:$I$89,3,0)*0.475*44/12</f>
        <v>8.2934077964003912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34.833768907812036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7.8425925925925934</v>
      </c>
      <c r="N82" s="13">
        <f>IF('Données projet'!$A$36&gt;35,N81+M82-V81,IF(A82&lt;'Données projet'!$A$36,$K$205^A82,IF(A82='Données projet'!$A$36,'Données projet'!$B$36,N81+M82-V81)))</f>
        <v>266.17022792022811</v>
      </c>
      <c r="O82" s="13">
        <f>N82*VLOOKUP('Données projet'!$B$9,Paramètres!$A$1:$I$89,3,0)*VLOOKUP('Données projet'!$B$9,Paramètres!$A$1:$I$89,5,0)</f>
        <v>240.83082222222239</v>
      </c>
      <c r="P82" s="13">
        <f t="shared" si="87"/>
        <v>58.618249962252264</v>
      </c>
      <c r="Q82" s="20">
        <f t="shared" si="54"/>
        <v>521.54046738795989</v>
      </c>
      <c r="R82" s="59">
        <f t="shared" si="55"/>
        <v>814.87380072129326</v>
      </c>
      <c r="S82" s="59">
        <f ca="1">AVERAGE(OFFSET($R$3,0,0,'Données projet'!$E$9+1,1))-AVERAGE(OFFSET($H$3,0,0,'Données projet'!$E$9+1,1))</f>
        <v>384.05928630855732</v>
      </c>
      <c r="T82" s="59">
        <f t="shared" si="88"/>
        <v>279.93992813630513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19.412225951523265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19.412225951523265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8.017806267806268</v>
      </c>
      <c r="AI82" s="13">
        <f>IF('Données projet'!$A$62&gt;35,AI81+AH82-AQ81,IF(A82&lt;'Données projet'!$A$62,$AF$205^A82,IF(A82='Données projet'!$A$62,'Données projet'!$B$62,AI81+AH82-AQ81)))</f>
        <v>254.01566951566974</v>
      </c>
      <c r="AJ82" s="13">
        <f>AI82*VLOOKUP('Données projet'!$B$10,Paramètres!$A$1:$I$89,3,0)*VLOOKUP('Données projet'!$B$10,Paramètres!$A$1:$I$89,5,0)</f>
        <v>217.94544444444469</v>
      </c>
      <c r="AK82" s="13">
        <f t="shared" si="89"/>
        <v>53.668094665089377</v>
      </c>
      <c r="AL82" s="20">
        <f t="shared" si="58"/>
        <v>473.06024728243852</v>
      </c>
      <c r="AM82" s="59">
        <f t="shared" si="59"/>
        <v>766.39358061577184</v>
      </c>
      <c r="AN82" s="59">
        <f ca="1">AVERAGE(OFFSET($AM$3,0,0,'Données projet'!$E$10+1,1))-AVERAGE(OFFSET($H$3,0,0,'Données projet'!$E$10+1,1))</f>
        <v>335.02113791949211</v>
      </c>
      <c r="AO82" s="59">
        <f t="shared" si="90"/>
        <v>222.06886429435099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8.2122420015912851</v>
      </c>
      <c r="AV82" s="21">
        <f>EXP(-LN(2)/25)*AV81+(1-EXP(-LN(2)/25))/(LN(2)/25)*Calculateur!AQ82*Calculateur!AS82*VLOOKUP('Données projet'!$B$10,Paramètres!$A$1:$I$89,3,0)*0.475*44/12</f>
        <v>20.754554069408176</v>
      </c>
      <c r="AW82" s="21">
        <f>EXP(-LN(2)/2)*AW81+(1-EXP(-LN(2)/2))/(LN(2)/2)*AQ82*AT82*VLOOKUP('Données projet'!$B$10,Paramètres!$A$1:$I$89,3,0)*0.475*44/12</f>
        <v>0.95891420955296691</v>
      </c>
      <c r="AX82" s="21">
        <f t="shared" si="60"/>
        <v>29.925710280552426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5.5042735042735051</v>
      </c>
      <c r="BD82" s="12">
        <f>IF('Données projet'!$A$88&gt;35,BD81+BC82-BL81,IF(A82&lt;'Données projet'!$A$88,$BA$205^A82,IF(A82='Données projet'!$A$88,'Données projet'!$B$88,BD81+BC82-BL81)))</f>
        <v>172.48504273504267</v>
      </c>
      <c r="BE82" s="13">
        <f>BD82*VLOOKUP('Données projet'!$B$11,Paramètres!$A$1:$I$89,3,0)*VLOOKUP('Données projet'!$B$11,Paramètres!$A$1:$I$89,5,0)</f>
        <v>166.82753333333326</v>
      </c>
      <c r="BF82" s="13">
        <f t="shared" si="91"/>
        <v>42.378719467700897</v>
      </c>
      <c r="BG82" s="20">
        <f t="shared" si="61"/>
        <v>364.3675569618012</v>
      </c>
      <c r="BH82" s="59">
        <f t="shared" si="62"/>
        <v>657.70089029513451</v>
      </c>
      <c r="BI82" s="59">
        <f ca="1">AVERAGE(OFFSET($BH$3,0,0,'Données projet'!$E$11+1,1))-AVERAGE(OFFSET($H$3,0,0,'Données projet'!$E$11+1,1))</f>
        <v>366.51581861366333</v>
      </c>
      <c r="BJ82" s="59">
        <f t="shared" si="92"/>
        <v>225.01415116995503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9.1921928956886969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9.1921928956886969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3.8</v>
      </c>
      <c r="BY82" s="12">
        <f>IF('Données projet'!$A$114&gt;35,BY81+BX82-CG81,IF(A82&lt;'Données projet'!$A$114,$BV$205^A82,IF(A82='Données projet'!$A$114,'Données projet'!$B$114,BY81+BX82-CG81)))</f>
        <v>207.20000000000016</v>
      </c>
      <c r="BZ82" s="13">
        <f>BY82*VLOOKUP('Données projet'!$B$12,Paramètres!$A$1:$I$89,3,0)*VLOOKUP('Données projet'!$B$12,Paramètres!$A$1:$I$89,5,0)</f>
        <v>135.75744000000009</v>
      </c>
      <c r="CA82" s="13">
        <f t="shared" si="93"/>
        <v>35.323360776061499</v>
      </c>
      <c r="CB82" s="20">
        <f t="shared" si="64"/>
        <v>297.96572801830723</v>
      </c>
      <c r="CC82" s="59">
        <f t="shared" si="65"/>
        <v>591.2990613516406</v>
      </c>
      <c r="CD82" s="59">
        <f ca="1">AVERAGE(OFFSET($CC$3,0,0,'Données projet'!$E$12+1,1))-AVERAGE(OFFSET($H$3,0,0,'Données projet'!$E$12+1,1))</f>
        <v>230.58262378842818</v>
      </c>
      <c r="CE82" s="59">
        <f t="shared" si="94"/>
        <v>235.68746142880792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0.9033964113350339</v>
      </c>
      <c r="CL82" s="21">
        <f>EXP(-LN(2)/25)*CL81+(1-EXP(-LN(2)/25))/(LN(2)/25)*Calculateur!CG82*Calculateur!CI82*VLOOKUP('Données projet'!$B$12,Paramètres!$A$1:$I$89,3,0)*0.475*44/12</f>
        <v>8.481479162774491</v>
      </c>
      <c r="CM82" s="21">
        <f>EXP(-LN(2)/2)*CM81+(1-EXP(-LN(2)/2))/(LN(2)/2)*CG82*CJ82*VLOOKUP('Données projet'!$B$12,Paramètres!$A$1:$I$89,3,0)*0.475*44/12</f>
        <v>0.91323278751662773</v>
      </c>
      <c r="CN82" s="22">
        <f t="shared" si="66"/>
        <v>10.298108361626152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1.7053025658242404E-13</v>
      </c>
      <c r="CU82" s="17">
        <f>CT82*VLOOKUP('Données projet'!$B$13,Paramètres!$A$1:$I$89,3,0)*VLOOKUP('Données projet'!$B$13,Paramètres!$A$1:$I$89,5,0)</f>
        <v>1.3301360013429075E-13</v>
      </c>
      <c r="CV82" s="13">
        <f t="shared" si="95"/>
        <v>1.9329766731057041E-12</v>
      </c>
      <c r="CW82" s="20">
        <f t="shared" si="67"/>
        <v>3.5982663925596575E-12</v>
      </c>
      <c r="CX82" s="59">
        <f t="shared" si="68"/>
        <v>293.3333333333369</v>
      </c>
      <c r="CY82" s="59">
        <f ca="1">AVERAGE(OFFSET($CX$3,0,0,'Données projet'!$E$13+1,1))-AVERAGE(OFFSET($H$3,0,0,'Données projet'!$E$13+1,1))</f>
        <v>288.80569134263209</v>
      </c>
      <c r="CZ82" s="59">
        <f t="shared" si="96"/>
        <v>283.48738729114024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66.556797445679479</v>
      </c>
      <c r="DG82" s="21">
        <f>EXP(-LN(2)/25)*DG81+(1-EXP(-LN(2)/25))/(LN(2)/25)*Calculateur!DB82*Calculateur!DD82*VLOOKUP('Données projet'!$B$13,Paramètres!$A$1:$I$89,3,0)*0.475*44/12</f>
        <v>51.693165301669637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118.24996274734912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2.8</v>
      </c>
      <c r="DO82" s="12">
        <f>IF('Données projet'!$A$166&gt;35,DO81+DN82-DW81,IF(A82&lt;'Données projet'!$A$166,$DL$205^A82,IF(A82='Données projet'!$A$166,'Données projet'!$B$166,DO81+DN82-DW81)))</f>
        <v>272.19999999999982</v>
      </c>
      <c r="DP82" s="17">
        <f>DO82*VLOOKUP('Données projet'!$B$14,Paramètres!$A$1:$I$89,3,0)*VLOOKUP('Données projet'!$B$14,Paramètres!$A$1:$I$89,5,0)</f>
        <v>216.56231999999989</v>
      </c>
      <c r="DQ82" s="13">
        <f t="shared" si="97"/>
        <v>53.367039486661959</v>
      </c>
      <c r="DR82" s="20">
        <f t="shared" si="70"/>
        <v>470.12696777260271</v>
      </c>
      <c r="DS82" s="59">
        <f t="shared" si="71"/>
        <v>763.46030110593597</v>
      </c>
      <c r="DT82" s="59">
        <f ca="1">AVERAGE(OFFSET($DS$3,0,0,'Données projet'!$E$14+1,1))-AVERAGE(OFFSET($H$3,0,0,'Données projet'!$E$14+1,1))</f>
        <v>299.10536994156814</v>
      </c>
      <c r="DU82" s="59">
        <f t="shared" si="98"/>
        <v>292.57799203101769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26.019920818038706</v>
      </c>
      <c r="EB82" s="21">
        <f>EXP(-LN(2)/25)*EB81+(1-EXP(-LN(2)/25))/(LN(2)/25)*Calculateur!DW82*Calculateur!DY82*VLOOKUP('Données projet'!$B$14,Paramètres!$A$1:$I$89,3,0)*0.475*44/12</f>
        <v>8.066624124076462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34.086544942115168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274.01282051282055</v>
      </c>
      <c r="L83" s="12">
        <f>VLOOKUP(A83,'Données projet'!$A$35:$I$55,9,0)</f>
        <v>7.8425925925925934</v>
      </c>
      <c r="M83" s="12">
        <f t="array" ref="M83">INDEX(L:L,MIN(IF(ISNUMBER(L83:L279),ROW(L83:L279),"")))</f>
        <v>7.8425925925925934</v>
      </c>
      <c r="N83" s="13">
        <f>IF('Données projet'!$A$36&gt;35,N82+M83-V82,IF(A83&lt;'Données projet'!$A$36,$K$205^A83,IF(A83='Données projet'!$A$36,'Données projet'!$B$36,N82+M83-V82)))</f>
        <v>274.01282051282072</v>
      </c>
      <c r="O83" s="13">
        <f>N83*VLOOKUP('Données projet'!$B$9,Paramètres!$A$1:$I$89,3,0)*VLOOKUP('Données projet'!$B$9,Paramètres!$A$1:$I$89,5,0)</f>
        <v>247.92680000000016</v>
      </c>
      <c r="P83" s="13">
        <f t="shared" si="87"/>
        <v>60.141781345371967</v>
      </c>
      <c r="Q83" s="20">
        <f t="shared" si="54"/>
        <v>536.55277917652313</v>
      </c>
      <c r="R83" s="59">
        <f t="shared" si="55"/>
        <v>829.8861125098565</v>
      </c>
      <c r="S83" s="59">
        <f ca="1">AVERAGE(OFFSET($R$3,0,0,'Données projet'!$E$9+1,1))-AVERAGE(OFFSET($H$3,0,0,'Données projet'!$E$9+1,1))</f>
        <v>384.05928630855732</v>
      </c>
      <c r="T83" s="59">
        <f t="shared" si="88"/>
        <v>279.93992813630513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45.608974358974358</v>
      </c>
      <c r="W83" s="16">
        <f>IF(ISNA(VLOOKUP(A83,'Données projet'!$A$35:$I$55,5,0)),0%,VLOOKUP(A83,'Données projet'!$A$35:$I$55,5,0)*VLOOKUP('Données projet'!$B$9,Paramètres!$A$1:$I$89,7,0))</f>
        <v>0.30099999999999999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32.763017332710646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32.763017332710646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8.017806267806268</v>
      </c>
      <c r="AI83" s="13">
        <f>IF('Données projet'!$A$62&gt;35,AI82+AH83-AQ82,IF(A83&lt;'Données projet'!$A$62,$AF$205^A83,IF(A83='Données projet'!$A$62,'Données projet'!$B$62,AI82+AH83-AQ82)))</f>
        <v>262.03347578347604</v>
      </c>
      <c r="AJ83" s="13">
        <f>AI83*VLOOKUP('Données projet'!$B$10,Paramètres!$A$1:$I$89,3,0)*VLOOKUP('Données projet'!$B$10,Paramètres!$A$1:$I$89,5,0)</f>
        <v>224.82472222222248</v>
      </c>
      <c r="AK83" s="13">
        <f t="shared" si="89"/>
        <v>55.162187628518872</v>
      </c>
      <c r="AL83" s="20">
        <f t="shared" si="58"/>
        <v>487.64386799004114</v>
      </c>
      <c r="AM83" s="59">
        <f t="shared" si="59"/>
        <v>780.9772013233744</v>
      </c>
      <c r="AN83" s="59">
        <f ca="1">AVERAGE(OFFSET($AM$3,0,0,'Données projet'!$E$10+1,1))-AVERAGE(OFFSET($H$3,0,0,'Données projet'!$E$10+1,1))</f>
        <v>335.02113791949211</v>
      </c>
      <c r="AO83" s="59">
        <f t="shared" si="90"/>
        <v>222.06886429435099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8.0512049449131062</v>
      </c>
      <c r="AV83" s="21">
        <f>EXP(-LN(2)/25)*AV82+(1-EXP(-LN(2)/25))/(LN(2)/25)*Calculateur!AQ83*Calculateur!AS83*VLOOKUP('Données projet'!$B$10,Paramètres!$A$1:$I$89,3,0)*0.475*44/12</f>
        <v>20.187019696945647</v>
      </c>
      <c r="AW83" s="21">
        <f>EXP(-LN(2)/2)*AW82+(1-EXP(-LN(2)/2))/(LN(2)/2)*AQ83*AT83*VLOOKUP('Données projet'!$B$10,Paramètres!$A$1:$I$89,3,0)*0.475*44/12</f>
        <v>0.67805474015104095</v>
      </c>
      <c r="AX83" s="21">
        <f t="shared" si="60"/>
        <v>28.916279382009794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5.5042735042735051</v>
      </c>
      <c r="BD83" s="12">
        <f>IF('Données projet'!$A$88&gt;35,BD82+BC83-BL82,IF(A83&lt;'Données projet'!$A$88,$BA$205^A83,IF(A83='Données projet'!$A$88,'Données projet'!$B$88,BD82+BC83-BL82)))</f>
        <v>177.98931623931617</v>
      </c>
      <c r="BE83" s="13">
        <f>BD83*VLOOKUP('Données projet'!$B$11,Paramètres!$A$1:$I$89,3,0)*VLOOKUP('Données projet'!$B$11,Paramètres!$A$1:$I$89,5,0)</f>
        <v>172.1512666666666</v>
      </c>
      <c r="BF83" s="13">
        <f t="shared" si="91"/>
        <v>43.571482564283073</v>
      </c>
      <c r="BG83" s="20">
        <f t="shared" si="61"/>
        <v>375.71712157723732</v>
      </c>
      <c r="BH83" s="59">
        <f t="shared" si="62"/>
        <v>669.05045491057058</v>
      </c>
      <c r="BI83" s="59">
        <f ca="1">AVERAGE(OFFSET($BH$3,0,0,'Données projet'!$E$11+1,1))-AVERAGE(OFFSET($H$3,0,0,'Données projet'!$E$11+1,1))</f>
        <v>366.51581861366333</v>
      </c>
      <c r="BJ83" s="59">
        <f t="shared" si="92"/>
        <v>225.01415116995503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9.0119395996882936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9.0119395996882936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211</v>
      </c>
      <c r="BW83" s="12">
        <f>VLOOKUP(A83,'Données projet'!$A$113:$I$133,9,0)</f>
        <v>3.8</v>
      </c>
      <c r="BX83" s="12">
        <f t="array" ref="BX83">INDEX(BW:BW,MIN(IF(ISNUMBER(BW83:BW279),ROW(BW83:BW279),"")))</f>
        <v>3.8</v>
      </c>
      <c r="BY83" s="12">
        <f>IF('Données projet'!$A$114&gt;35,BY82+BX83-CG82,IF(A83&lt;'Données projet'!$A$114,$BV$205^A83,IF(A83='Données projet'!$A$114,'Données projet'!$B$114,BY82+BX83-CG82)))</f>
        <v>211.00000000000017</v>
      </c>
      <c r="BZ83" s="13">
        <f>BY83*VLOOKUP('Données projet'!$B$12,Paramètres!$A$1:$I$89,3,0)*VLOOKUP('Données projet'!$B$12,Paramètres!$A$1:$I$89,5,0)</f>
        <v>138.24720000000011</v>
      </c>
      <c r="CA83" s="13">
        <f t="shared" si="93"/>
        <v>35.895169667226</v>
      </c>
      <c r="CB83" s="20">
        <f t="shared" si="64"/>
        <v>303.29796050375211</v>
      </c>
      <c r="CC83" s="59">
        <f t="shared" si="65"/>
        <v>596.63129383708542</v>
      </c>
      <c r="CD83" s="59">
        <f ca="1">AVERAGE(OFFSET($CC$3,0,0,'Données projet'!$E$12+1,1))-AVERAGE(OFFSET($H$3,0,0,'Données projet'!$E$12+1,1))</f>
        <v>230.58262378842818</v>
      </c>
      <c r="CE83" s="59">
        <f t="shared" si="94"/>
        <v>235.68746142880792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15</v>
      </c>
      <c r="CH83" s="16">
        <f>IF(ISNA(VLOOKUP(A83,'Données projet'!$A$113:$I$133,5,0)),0%,VLOOKUP(A83,'Données projet'!$A$113:$I$133,5,0)*VLOOKUP('Données projet'!$B$12,Paramètres!$A$1:$I$89,7,0))</f>
        <v>4.3000000000000003E-2</v>
      </c>
      <c r="CI83" s="16">
        <f>IF(ISNA(VLOOKUP(A83,'Données projet'!$A$113:$I$133,6,0)),0%,VLOOKUP(A83,'Données projet'!$A$113:$I$133,6,0)*VLOOKUP('Données projet'!$B$12,Paramètres!$A$1:$I$89,7,0))</f>
        <v>0.17200000000000001</v>
      </c>
      <c r="CJ83" s="16">
        <f>IF(ISNA(VLOOKUP(A83,'Données projet'!$A$113:$I$133,7,0)),0%,VLOOKUP(A83,'Données projet'!$A$113:$I$133,7,0))</f>
        <v>0.3</v>
      </c>
      <c r="CK83" s="21">
        <f>EXP(-LN(2)/35)*CK82+(1-EXP(-LN(2)/35))/(LN(2)/35)*CG83*CH83*VLOOKUP('Données projet'!$B$12,Paramètres!$A$1:$I$89,3,0)*0.475*44/12</f>
        <v>1.3528575629982993</v>
      </c>
      <c r="CL83" s="21">
        <f>EXP(-LN(2)/25)*CL82+(1-EXP(-LN(2)/25))/(LN(2)/25)*Calculateur!CG83*Calculateur!CI83*VLOOKUP('Données projet'!$B$12,Paramètres!$A$1:$I$89,3,0)*0.475*44/12</f>
        <v>10.110899683238154</v>
      </c>
      <c r="CM83" s="21">
        <f>EXP(-LN(2)/2)*CM82+(1-EXP(-LN(2)/2))/(LN(2)/2)*CG83*CJ83*VLOOKUP('Données projet'!$B$12,Paramètres!$A$1:$I$89,3,0)*0.475*44/12</f>
        <v>3.4276478518774272</v>
      </c>
      <c r="CN83" s="22">
        <f t="shared" si="66"/>
        <v>14.89140509811388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1.7053025658242404E-13</v>
      </c>
      <c r="CU83" s="17">
        <f>CT83*VLOOKUP('Données projet'!$B$13,Paramètres!$A$1:$I$89,3,0)*VLOOKUP('Données projet'!$B$13,Paramètres!$A$1:$I$89,5,0)</f>
        <v>1.3301360013429075E-13</v>
      </c>
      <c r="CV83" s="13">
        <f t="shared" si="95"/>
        <v>1.9329766731057041E-12</v>
      </c>
      <c r="CW83" s="20">
        <f t="shared" si="67"/>
        <v>3.5982663925596575E-12</v>
      </c>
      <c r="CX83" s="59">
        <f t="shared" si="68"/>
        <v>293.3333333333369</v>
      </c>
      <c r="CY83" s="59">
        <f ca="1">AVERAGE(OFFSET($CX$3,0,0,'Données projet'!$E$13+1,1))-AVERAGE(OFFSET($H$3,0,0,'Données projet'!$E$13+1,1))</f>
        <v>288.80569134263209</v>
      </c>
      <c r="CZ83" s="59">
        <f t="shared" si="96"/>
        <v>283.48738729114024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65.251659243407659</v>
      </c>
      <c r="DG83" s="21">
        <f>EXP(-LN(2)/25)*DG82+(1-EXP(-LN(2)/25))/(LN(2)/25)*Calculateur!DB83*Calculateur!DD83*VLOOKUP('Données projet'!$B$13,Paramètres!$A$1:$I$89,3,0)*0.475*44/12</f>
        <v>50.279612978070062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115.53127222147772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275</v>
      </c>
      <c r="DM83" s="12">
        <f>VLOOKUP(A83,'Données projet'!$A$165:$I$185,9,0)</f>
        <v>2.8</v>
      </c>
      <c r="DN83" s="12">
        <f t="array" ref="DN83">INDEX(DM:DM,MIN(IF(ISNUMBER(DM83:DM279),ROW(DM83:DM279),"")))</f>
        <v>2.8</v>
      </c>
      <c r="DO83" s="12">
        <f>IF('Données projet'!$A$166&gt;35,DO82+DN83-DW82,IF(A83&lt;'Données projet'!$A$166,$DL$205^A83,IF(A83='Données projet'!$A$166,'Données projet'!$B$166,DO82+DN83-DW82)))</f>
        <v>274.99999999999983</v>
      </c>
      <c r="DP83" s="17">
        <f>DO83*VLOOKUP('Données projet'!$B$14,Paramètres!$A$1:$I$89,3,0)*VLOOKUP('Données projet'!$B$14,Paramètres!$A$1:$I$89,5,0)</f>
        <v>218.78999999999988</v>
      </c>
      <c r="DQ83" s="13">
        <f t="shared" si="97"/>
        <v>53.851813843863468</v>
      </c>
      <c r="DR83" s="20">
        <f t="shared" si="70"/>
        <v>474.85115911139536</v>
      </c>
      <c r="DS83" s="59">
        <f t="shared" si="71"/>
        <v>768.18449244472868</v>
      </c>
      <c r="DT83" s="59">
        <f ca="1">AVERAGE(OFFSET($DS$3,0,0,'Données projet'!$E$14+1,1))-AVERAGE(OFFSET($H$3,0,0,'Données projet'!$E$14+1,1))</f>
        <v>299.10536994156814</v>
      </c>
      <c r="DU83" s="59">
        <f t="shared" si="98"/>
        <v>292.57799203101769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8</v>
      </c>
      <c r="DX83" s="16">
        <f>IF(ISNA(VLOOKUP(A83,'Données projet'!$A$165:$I$185,5,0)),0%,VLOOKUP(A83,'Données projet'!$A$165:$I$185,5,0)*VLOOKUP('Données projet'!$B$14,Paramètres!$A$1:$I$89,7,0))</f>
        <v>0.46640000000000004</v>
      </c>
      <c r="DY83" s="16">
        <f>IF(ISNA(VLOOKUP(A83,'Données projet'!$A$165:$I$185,6,0)),0%,VLOOKUP(A83,'Données projet'!$A$165:$I$185,6,0)*VLOOKUP('Données projet'!$B$14,Paramètres!$A$1:$I$89,7,0))</f>
        <v>6.8900000000000003E-2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28.791322088719753</v>
      </c>
      <c r="EB83" s="21">
        <f>EXP(-LN(2)/25)*EB82+(1-EXP(-LN(2)/25))/(LN(2)/25)*Calculateur!DW83*Calculateur!DY83*VLOOKUP('Données projet'!$B$14,Paramètres!$A$1:$I$89,3,0)*0.475*44/12</f>
        <v>8.3289202148532624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37.120242303573015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7.4950142450142421</v>
      </c>
      <c r="N84" s="13">
        <f>IF('Données projet'!$A$36&gt;35,N83+M84-V83,IF(A84&lt;'Données projet'!$A$36,$K$205^A84,IF(A84='Données projet'!$A$36,'Données projet'!$B$36,N83+M84-V83)))</f>
        <v>235.89886039886062</v>
      </c>
      <c r="O84" s="13">
        <f>N84*VLOOKUP('Données projet'!$B$9,Paramètres!$A$1:$I$89,3,0)*VLOOKUP('Données projet'!$B$9,Paramètres!$A$1:$I$89,5,0)</f>
        <v>213.44128888888909</v>
      </c>
      <c r="P84" s="13">
        <f t="shared" si="87"/>
        <v>52.686881026481977</v>
      </c>
      <c r="Q84" s="20">
        <f t="shared" si="54"/>
        <v>463.50656260260456</v>
      </c>
      <c r="R84" s="59">
        <f t="shared" si="55"/>
        <v>756.83989593593788</v>
      </c>
      <c r="S84" s="59">
        <f ca="1">AVERAGE(OFFSET($R$3,0,0,'Données projet'!$E$9+1,1))-AVERAGE(OFFSET($H$3,0,0,'Données projet'!$E$9+1,1))</f>
        <v>384.05928630855732</v>
      </c>
      <c r="T84" s="59">
        <f t="shared" si="88"/>
        <v>279.93992813630513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32.120554546283557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32.120554546283557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>
        <f>VLOOKUP(A84,'Données projet'!$A$61:$I$81,2,0)</f>
        <v>270.05128205128204</v>
      </c>
      <c r="AG84" s="12">
        <f>VLOOKUP(A84,'Données projet'!$A$61:$I$81,9,0)</f>
        <v>8.017806267806268</v>
      </c>
      <c r="AH84" s="12">
        <f t="array" ref="AH84">INDEX(AG:AG,MIN(IF(ISNUMBER(AG84:AG280),ROW(AG84:AG280),"")))</f>
        <v>8.017806267806268</v>
      </c>
      <c r="AI84" s="13">
        <f>IF('Données projet'!$A$62&gt;35,AI83+AH84-AQ83,IF(A84&lt;'Données projet'!$A$62,$AF$205^A84,IF(A84='Données projet'!$A$62,'Données projet'!$B$62,AI83+AH84-AQ83)))</f>
        <v>270.05128205128233</v>
      </c>
      <c r="AJ84" s="13">
        <f>AI84*VLOOKUP('Données projet'!$B$10,Paramètres!$A$1:$I$89,3,0)*VLOOKUP('Données projet'!$B$10,Paramètres!$A$1:$I$89,5,0)</f>
        <v>231.70400000000026</v>
      </c>
      <c r="AK84" s="13">
        <f t="shared" si="89"/>
        <v>56.65096773875964</v>
      </c>
      <c r="AL84" s="20">
        <f t="shared" si="58"/>
        <v>502.21823547834015</v>
      </c>
      <c r="AM84" s="59">
        <f t="shared" si="59"/>
        <v>795.55156881167341</v>
      </c>
      <c r="AN84" s="59">
        <f ca="1">AVERAGE(OFFSET($AM$3,0,0,'Données projet'!$E$10+1,1))-AVERAGE(OFFSET($H$3,0,0,'Données projet'!$E$10+1,1))</f>
        <v>335.02113791949211</v>
      </c>
      <c r="AO84" s="59">
        <f t="shared" si="90"/>
        <v>222.06886429435099</v>
      </c>
      <c r="AP84" s="15">
        <f>IF(ISNA(VLOOKUP(A84,'Données projet'!$A$61:$I$81,3,0)),0,VLOOKUP(A84,'Données projet'!$A$61:$I$81,3,0))</f>
        <v>6</v>
      </c>
      <c r="AQ84" s="15">
        <f>IF(ISNA(VLOOKUP(A84,'Données projet'!$A$61:$I$81,4,0)),0,VLOOKUP(A84,'Données projet'!$A$61:$I$81,4,0))</f>
        <v>57.38461538461538</v>
      </c>
      <c r="AR84" s="16">
        <f>IF(ISNA(VLOOKUP(A84,'Données projet'!$A$61:$I$81,5,0)),0%,VLOOKUP(A84,'Données projet'!$A$61:$I$81,5,0)*VLOOKUP('Données projet'!$B$10,Paramètres!$A$1:$I$89,7,0))</f>
        <v>0.159</v>
      </c>
      <c r="AS84" s="16">
        <f>IF(ISNA(VLOOKUP(A84,'Données projet'!$A$61:$I$81,6,0)),0%,VLOOKUP(A84,'Données projet'!$A$61:$I$81,6,0)*VLOOKUP('Données projet'!$B$10,Paramètres!$A$1:$I$89,7,0))</f>
        <v>0.159</v>
      </c>
      <c r="AT84" s="16">
        <f>IF(ISNA(VLOOKUP(A84,'Données projet'!$A$61:$I$81,7,0)),0%,VLOOKUP(A84,'Données projet'!$A$61:$I$81,7,0))</f>
        <v>0.2</v>
      </c>
      <c r="AU84" s="21">
        <f>EXP(-LN(2)/35)*AU83+(1-EXP(-LN(2)/35))/(LN(2)/35)*AQ84*AR84*VLOOKUP('Données projet'!$B$10,Paramètres!$A$1:$I$89,3,0)*0.475*44/12</f>
        <v>16.547527124156289</v>
      </c>
      <c r="AV84" s="21">
        <f>EXP(-LN(2)/25)*AV83+(1-EXP(-LN(2)/25))/(LN(2)/25)*Calculateur!AQ84*Calculateur!AS84*VLOOKUP('Données projet'!$B$10,Paramètres!$A$1:$I$89,3,0)*0.475*44/12</f>
        <v>28.255131090795189</v>
      </c>
      <c r="AW84" s="21">
        <f>EXP(-LN(2)/2)*AW83+(1-EXP(-LN(2)/2))/(LN(2)/2)*AQ84*AT84*VLOOKUP('Données projet'!$B$10,Paramètres!$A$1:$I$89,3,0)*0.475*44/12</f>
        <v>9.7705553382786636</v>
      </c>
      <c r="AX84" s="21">
        <f t="shared" si="60"/>
        <v>54.57321355323014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5.5042735042735051</v>
      </c>
      <c r="BD84" s="12">
        <f>IF('Données projet'!$A$88&gt;35,BD83+BC84-BL83,IF(A84&lt;'Données projet'!$A$88,$BA$205^A84,IF(A84='Données projet'!$A$88,'Données projet'!$B$88,BD83+BC84-BL83)))</f>
        <v>183.49358974358967</v>
      </c>
      <c r="BE84" s="13">
        <f>BD84*VLOOKUP('Données projet'!$B$11,Paramètres!$A$1:$I$89,3,0)*VLOOKUP('Données projet'!$B$11,Paramètres!$A$1:$I$89,5,0)</f>
        <v>177.47499999999994</v>
      </c>
      <c r="BF84" s="13">
        <f t="shared" si="91"/>
        <v>44.75995913972482</v>
      </c>
      <c r="BG84" s="20">
        <f t="shared" si="61"/>
        <v>387.05922050168732</v>
      </c>
      <c r="BH84" s="59">
        <f t="shared" si="62"/>
        <v>680.39255383502064</v>
      </c>
      <c r="BI84" s="59">
        <f ca="1">AVERAGE(OFFSET($BH$3,0,0,'Données projet'!$E$11+1,1))-AVERAGE(OFFSET($H$3,0,0,'Données projet'!$E$11+1,1))</f>
        <v>366.51581861366333</v>
      </c>
      <c r="BJ84" s="59">
        <f t="shared" si="92"/>
        <v>225.01415116995503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8.8352209608788037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8.8352209608788037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3.6</v>
      </c>
      <c r="BY84" s="12">
        <f>IF('Données projet'!$A$114&gt;35,BY83+BX84-CG83,IF(A84&lt;'Données projet'!$A$114,$BV$205^A84,IF(A84='Données projet'!$A$114,'Données projet'!$B$114,BY83+BX84-CG83)))</f>
        <v>199.60000000000016</v>
      </c>
      <c r="BZ84" s="13">
        <f>BY84*VLOOKUP('Données projet'!$B$12,Paramètres!$A$1:$I$89,3,0)*VLOOKUP('Données projet'!$B$12,Paramètres!$A$1:$I$89,5,0)</f>
        <v>130.77792000000011</v>
      </c>
      <c r="CA84" s="13">
        <f t="shared" si="93"/>
        <v>34.176051340149542</v>
      </c>
      <c r="CB84" s="20">
        <f t="shared" si="64"/>
        <v>287.2948334174273</v>
      </c>
      <c r="CC84" s="59">
        <f t="shared" si="65"/>
        <v>580.62816675076056</v>
      </c>
      <c r="CD84" s="59">
        <f ca="1">AVERAGE(OFFSET($CC$3,0,0,'Données projet'!$E$12+1,1))-AVERAGE(OFFSET($H$3,0,0,'Données projet'!$E$12+1,1))</f>
        <v>230.58262378842818</v>
      </c>
      <c r="CE84" s="59">
        <f t="shared" si="94"/>
        <v>235.68746142880792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1.3263288513495382</v>
      </c>
      <c r="CL84" s="21">
        <f>EXP(-LN(2)/25)*CL83+(1-EXP(-LN(2)/25))/(LN(2)/25)*Calculateur!CG84*Calculateur!CI84*VLOOKUP('Données projet'!$B$12,Paramètres!$A$1:$I$89,3,0)*0.475*44/12</f>
        <v>9.8344165996909005</v>
      </c>
      <c r="CM84" s="21">
        <f>EXP(-LN(2)/2)*CM83+(1-EXP(-LN(2)/2))/(LN(2)/2)*CG84*CJ84*VLOOKUP('Données projet'!$B$12,Paramètres!$A$1:$I$89,3,0)*0.475*44/12</f>
        <v>2.4237130395820317</v>
      </c>
      <c r="CN84" s="22">
        <f t="shared" si="66"/>
        <v>13.58445849062247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1.7053025658242404E-13</v>
      </c>
      <c r="CU84" s="17">
        <f>CT84*VLOOKUP('Données projet'!$B$13,Paramètres!$A$1:$I$89,3,0)*VLOOKUP('Données projet'!$B$13,Paramètres!$A$1:$I$89,5,0)</f>
        <v>1.3301360013429075E-13</v>
      </c>
      <c r="CV84" s="13">
        <f t="shared" si="95"/>
        <v>1.9329766731057041E-12</v>
      </c>
      <c r="CW84" s="20">
        <f t="shared" si="67"/>
        <v>3.5982663925596575E-12</v>
      </c>
      <c r="CX84" s="59">
        <f t="shared" si="68"/>
        <v>293.3333333333369</v>
      </c>
      <c r="CY84" s="59">
        <f ca="1">AVERAGE(OFFSET($CX$3,0,0,'Données projet'!$E$13+1,1))-AVERAGE(OFFSET($H$3,0,0,'Données projet'!$E$13+1,1))</f>
        <v>288.80569134263209</v>
      </c>
      <c r="CZ84" s="59">
        <f t="shared" si="96"/>
        <v>283.48738729114024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63.972114005226693</v>
      </c>
      <c r="DG84" s="21">
        <f>EXP(-LN(2)/25)*DG83+(1-EXP(-LN(2)/25))/(LN(2)/25)*Calculateur!DB84*Calculateur!DD84*VLOOKUP('Données projet'!$B$13,Paramètres!$A$1:$I$89,3,0)*0.475*44/12</f>
        <v>48.904714317094808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112.8768283223215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266.99999999999983</v>
      </c>
      <c r="DP84" s="17">
        <f>DO84*VLOOKUP('Données projet'!$B$14,Paramètres!$A$1:$I$89,3,0)*VLOOKUP('Données projet'!$B$14,Paramètres!$A$1:$I$89,5,0)</f>
        <v>212.42519999999985</v>
      </c>
      <c r="DQ84" s="13">
        <f t="shared" si="97"/>
        <v>52.465198231787184</v>
      </c>
      <c r="DR84" s="20">
        <f t="shared" si="70"/>
        <v>461.35077692036231</v>
      </c>
      <c r="DS84" s="59">
        <f t="shared" si="71"/>
        <v>754.68411025369562</v>
      </c>
      <c r="DT84" s="59">
        <f ca="1">AVERAGE(OFFSET($DS$3,0,0,'Données projet'!$E$14+1,1))-AVERAGE(OFFSET($H$3,0,0,'Données projet'!$E$14+1,1))</f>
        <v>299.10536994156814</v>
      </c>
      <c r="DU84" s="59">
        <f t="shared" si="98"/>
        <v>292.57799203101769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28.226741823532429</v>
      </c>
      <c r="EB84" s="21">
        <f>EXP(-LN(2)/25)*EB83+(1-EXP(-LN(2)/25))/(LN(2)/25)*Calculateur!DW84*Calculateur!DY84*VLOOKUP('Données projet'!$B$14,Paramètres!$A$1:$I$89,3,0)*0.475*44/12</f>
        <v>8.1011654535792221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36.327907277111649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7.4950142450142421</v>
      </c>
      <c r="N85" s="13">
        <f>IF('Données projet'!$A$36&gt;35,N84+M85-V84,IF(A85&lt;'Données projet'!$A$36,$K$205^A85,IF(A85='Données projet'!$A$36,'Données projet'!$B$36,N84+M85-V84)))</f>
        <v>243.39387464387485</v>
      </c>
      <c r="O85" s="13">
        <f>N85*VLOOKUP('Données projet'!$B$9,Paramètres!$A$1:$I$89,3,0)*VLOOKUP('Données projet'!$B$9,Paramètres!$A$1:$I$89,5,0)</f>
        <v>220.22277777777796</v>
      </c>
      <c r="P85" s="13">
        <f t="shared" si="87"/>
        <v>54.163302517364365</v>
      </c>
      <c r="Q85" s="20">
        <f t="shared" si="54"/>
        <v>477.88908984737282</v>
      </c>
      <c r="R85" s="59">
        <f t="shared" si="55"/>
        <v>771.22242318070607</v>
      </c>
      <c r="S85" s="59">
        <f ca="1">AVERAGE(OFFSET($R$3,0,0,'Données projet'!$E$9+1,1))-AVERAGE(OFFSET($H$3,0,0,'Données projet'!$E$9+1,1))</f>
        <v>384.05928630855732</v>
      </c>
      <c r="T85" s="59">
        <f t="shared" si="88"/>
        <v>279.93992813630513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31.490690063234698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31.490690063234698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7.172364672364675</v>
      </c>
      <c r="AI85" s="13">
        <f>IF('Données projet'!$A$62&gt;35,AI84+AH85-AQ84,IF(A85&lt;'Données projet'!$A$62,$AF$205^A85,IF(A85='Données projet'!$A$62,'Données projet'!$B$62,AI84+AH85-AQ84)))</f>
        <v>219.83903133903161</v>
      </c>
      <c r="AJ85" s="13">
        <f>AI85*VLOOKUP('Données projet'!$B$10,Paramètres!$A$1:$I$89,3,0)*VLOOKUP('Données projet'!$B$10,Paramètres!$A$1:$I$89,5,0)</f>
        <v>188.62188888888915</v>
      </c>
      <c r="AK85" s="13">
        <f t="shared" si="89"/>
        <v>47.235143085683291</v>
      </c>
      <c r="AL85" s="20">
        <f t="shared" si="58"/>
        <v>410.78433068904695</v>
      </c>
      <c r="AM85" s="59">
        <f t="shared" si="59"/>
        <v>704.11766402238027</v>
      </c>
      <c r="AN85" s="59">
        <f ca="1">AVERAGE(OFFSET($AM$3,0,0,'Données projet'!$E$10+1,1))-AVERAGE(OFFSET($H$3,0,0,'Données projet'!$E$10+1,1))</f>
        <v>335.02113791949211</v>
      </c>
      <c r="AO85" s="59">
        <f t="shared" si="90"/>
        <v>222.06886429435099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16.223040210246531</v>
      </c>
      <c r="AV85" s="21">
        <f>EXP(-LN(2)/25)*AV84+(1-EXP(-LN(2)/25))/(LN(2)/25)*Calculateur!AQ85*Calculateur!AS85*VLOOKUP('Données projet'!$B$10,Paramètres!$A$1:$I$89,3,0)*0.475*44/12</f>
        <v>27.482493045244627</v>
      </c>
      <c r="AW85" s="21">
        <f>EXP(-LN(2)/2)*AW84+(1-EXP(-LN(2)/2))/(LN(2)/2)*AQ85*AT85*VLOOKUP('Données projet'!$B$10,Paramètres!$A$1:$I$89,3,0)*0.475*44/12</f>
        <v>6.9088259356552655</v>
      </c>
      <c r="AX85" s="21">
        <f t="shared" si="60"/>
        <v>50.614359191146427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5.5042735042735051</v>
      </c>
      <c r="BD85" s="12">
        <f>IF('Données projet'!$A$88&gt;35,BD84+BC85-BL84,IF(A85&lt;'Données projet'!$A$88,$BA$205^A85,IF(A85='Données projet'!$A$88,'Données projet'!$B$88,BD84+BC85-BL84)))</f>
        <v>188.99786324786317</v>
      </c>
      <c r="BE85" s="13">
        <f>BD85*VLOOKUP('Données projet'!$B$11,Paramètres!$A$1:$I$89,3,0)*VLOOKUP('Données projet'!$B$11,Paramètres!$A$1:$I$89,5,0)</f>
        <v>182.79873333333327</v>
      </c>
      <c r="BF85" s="13">
        <f t="shared" si="91"/>
        <v>45.944292537531553</v>
      </c>
      <c r="BG85" s="20">
        <f t="shared" si="61"/>
        <v>398.39410339175623</v>
      </c>
      <c r="BH85" s="59">
        <f t="shared" si="62"/>
        <v>691.72743672508955</v>
      </c>
      <c r="BI85" s="59">
        <f ca="1">AVERAGE(OFFSET($BH$3,0,0,'Données projet'!$E$11+1,1))-AVERAGE(OFFSET($H$3,0,0,'Données projet'!$E$11+1,1))</f>
        <v>366.51581861366333</v>
      </c>
      <c r="BJ85" s="59">
        <f t="shared" si="92"/>
        <v>225.01415116995503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8.6619676667886409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8.6619676667886409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3.6</v>
      </c>
      <c r="BY85" s="12">
        <f>IF('Données projet'!$A$114&gt;35,BY84+BX85-CG84,IF(A85&lt;'Données projet'!$A$114,$BV$205^A85,IF(A85='Données projet'!$A$114,'Données projet'!$B$114,BY84+BX85-CG84)))</f>
        <v>203.20000000000016</v>
      </c>
      <c r="BZ85" s="13">
        <f>BY85*VLOOKUP('Données projet'!$B$12,Paramètres!$A$1:$I$89,3,0)*VLOOKUP('Données projet'!$B$12,Paramètres!$A$1:$I$89,5,0)</f>
        <v>133.13664000000011</v>
      </c>
      <c r="CA85" s="13">
        <f t="shared" si="93"/>
        <v>34.720135986247172</v>
      </c>
      <c r="CB85" s="20">
        <f t="shared" si="64"/>
        <v>292.35055150938069</v>
      </c>
      <c r="CC85" s="59">
        <f t="shared" si="65"/>
        <v>585.68388484271395</v>
      </c>
      <c r="CD85" s="59">
        <f ca="1">AVERAGE(OFFSET($CC$3,0,0,'Données projet'!$E$12+1,1))-AVERAGE(OFFSET($H$3,0,0,'Données projet'!$E$12+1,1))</f>
        <v>230.58262378842818</v>
      </c>
      <c r="CE85" s="59">
        <f t="shared" si="94"/>
        <v>235.68746142880792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1.3003203515552928</v>
      </c>
      <c r="CL85" s="21">
        <f>EXP(-LN(2)/25)*CL84+(1-EXP(-LN(2)/25))/(LN(2)/25)*Calculateur!CG85*Calculateur!CI85*VLOOKUP('Données projet'!$B$12,Paramètres!$A$1:$I$89,3,0)*0.475*44/12</f>
        <v>9.5654939606028613</v>
      </c>
      <c r="CM85" s="21">
        <f>EXP(-LN(2)/2)*CM84+(1-EXP(-LN(2)/2))/(LN(2)/2)*CG85*CJ85*VLOOKUP('Données projet'!$B$12,Paramètres!$A$1:$I$89,3,0)*0.475*44/12</f>
        <v>1.7138239259387138</v>
      </c>
      <c r="CN85" s="22">
        <f t="shared" si="66"/>
        <v>12.579638238096868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1.7053025658242404E-13</v>
      </c>
      <c r="CU85" s="17">
        <f>CT85*VLOOKUP('Données projet'!$B$13,Paramètres!$A$1:$I$89,3,0)*VLOOKUP('Données projet'!$B$13,Paramètres!$A$1:$I$89,5,0)</f>
        <v>1.3301360013429075E-13</v>
      </c>
      <c r="CV85" s="13">
        <f t="shared" si="95"/>
        <v>1.9329766731057041E-12</v>
      </c>
      <c r="CW85" s="20">
        <f t="shared" si="67"/>
        <v>3.5982663925596575E-12</v>
      </c>
      <c r="CX85" s="59">
        <f t="shared" si="68"/>
        <v>293.3333333333369</v>
      </c>
      <c r="CY85" s="59">
        <f ca="1">AVERAGE(OFFSET($CX$3,0,0,'Données projet'!$E$13+1,1))-AVERAGE(OFFSET($H$3,0,0,'Données projet'!$E$13+1,1))</f>
        <v>288.80569134263209</v>
      </c>
      <c r="CZ85" s="59">
        <f t="shared" si="96"/>
        <v>283.48738729114024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62.717659868720922</v>
      </c>
      <c r="DG85" s="21">
        <f>EXP(-LN(2)/25)*DG84+(1-EXP(-LN(2)/25))/(LN(2)/25)*Calculateur!DB85*Calculateur!DD85*VLOOKUP('Données projet'!$B$13,Paramètres!$A$1:$I$89,3,0)*0.475*44/12</f>
        <v>47.567412332306695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110.28507220102762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266.99999999999983</v>
      </c>
      <c r="DP85" s="17">
        <f>DO85*VLOOKUP('Données projet'!$B$14,Paramètres!$A$1:$I$89,3,0)*VLOOKUP('Données projet'!$B$14,Paramètres!$A$1:$I$89,5,0)</f>
        <v>212.42519999999985</v>
      </c>
      <c r="DQ85" s="13">
        <f t="shared" si="97"/>
        <v>52.465198231787184</v>
      </c>
      <c r="DR85" s="20">
        <f t="shared" si="70"/>
        <v>461.35077692036231</v>
      </c>
      <c r="DS85" s="59">
        <f t="shared" si="71"/>
        <v>754.68411025369562</v>
      </c>
      <c r="DT85" s="59">
        <f ca="1">AVERAGE(OFFSET($DS$3,0,0,'Données projet'!$E$14+1,1))-AVERAGE(OFFSET($H$3,0,0,'Données projet'!$E$14+1,1))</f>
        <v>299.10536994156814</v>
      </c>
      <c r="DU85" s="59">
        <f t="shared" si="98"/>
        <v>292.57799203101769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27.673232632985471</v>
      </c>
      <c r="EB85" s="21">
        <f>EXP(-LN(2)/25)*EB84+(1-EXP(-LN(2)/25))/(LN(2)/25)*Calculateur!DW85*Calculateur!DY85*VLOOKUP('Données projet'!$B$14,Paramètres!$A$1:$I$89,3,0)*0.475*44/12</f>
        <v>7.8796386582293225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35.552871291214792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7.4950142450142421</v>
      </c>
      <c r="N86" s="13">
        <f>IF('Données projet'!$A$36&gt;35,N85+M86-V85,IF(A86&lt;'Données projet'!$A$36,$K$205^A86,IF(A86='Données projet'!$A$36,'Données projet'!$B$36,N85+M86-V85)))</f>
        <v>250.88888888888908</v>
      </c>
      <c r="O86" s="13">
        <f>N86*VLOOKUP('Données projet'!$B$9,Paramètres!$A$1:$I$89,3,0)*VLOOKUP('Données projet'!$B$9,Paramètres!$A$1:$I$89,5,0)</f>
        <v>227.00426666666684</v>
      </c>
      <c r="P86" s="13">
        <f t="shared" si="87"/>
        <v>55.634440522110118</v>
      </c>
      <c r="Q86" s="20">
        <f t="shared" si="54"/>
        <v>492.26241502045315</v>
      </c>
      <c r="R86" s="59">
        <f t="shared" si="55"/>
        <v>785.59574835378646</v>
      </c>
      <c r="S86" s="59">
        <f ca="1">AVERAGE(OFFSET($R$3,0,0,'Données projet'!$E$9+1,1))-AVERAGE(OFFSET($H$3,0,0,'Données projet'!$E$9+1,1))</f>
        <v>384.05928630855732</v>
      </c>
      <c r="T86" s="59">
        <f t="shared" si="88"/>
        <v>279.93992813630513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30.873176838519029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30.873176838519029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7.172364672364675</v>
      </c>
      <c r="AI86" s="13">
        <f>IF('Données projet'!$A$62&gt;35,AI85+AH86-AQ85,IF(A86&lt;'Données projet'!$A$62,$AF$205^A86,IF(A86='Données projet'!$A$62,'Données projet'!$B$62,AI85+AH86-AQ85)))</f>
        <v>227.01139601139627</v>
      </c>
      <c r="AJ86" s="13">
        <f>AI86*VLOOKUP('Données projet'!$B$10,Paramètres!$A$1:$I$89,3,0)*VLOOKUP('Données projet'!$B$10,Paramètres!$A$1:$I$89,5,0)</f>
        <v>194.77577777777805</v>
      </c>
      <c r="AK86" s="13">
        <f t="shared" si="89"/>
        <v>48.594279160553441</v>
      </c>
      <c r="AL86" s="20">
        <f t="shared" si="58"/>
        <v>423.86951583426065</v>
      </c>
      <c r="AM86" s="59">
        <f t="shared" si="59"/>
        <v>717.20284916759397</v>
      </c>
      <c r="AN86" s="59">
        <f ca="1">AVERAGE(OFFSET($AM$3,0,0,'Données projet'!$E$10+1,1))-AVERAGE(OFFSET($H$3,0,0,'Données projet'!$E$10+1,1))</f>
        <v>335.02113791949211</v>
      </c>
      <c r="AO86" s="59">
        <f t="shared" si="90"/>
        <v>222.06886429435099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15.904916286801067</v>
      </c>
      <c r="AV86" s="21">
        <f>EXP(-LN(2)/25)*AV85+(1-EXP(-LN(2)/25))/(LN(2)/25)*Calculateur!AQ86*Calculateur!AS86*VLOOKUP('Données projet'!$B$10,Paramètres!$A$1:$I$89,3,0)*0.475*44/12</f>
        <v>26.730982827680915</v>
      </c>
      <c r="AW86" s="21">
        <f>EXP(-LN(2)/2)*AW85+(1-EXP(-LN(2)/2))/(LN(2)/2)*AQ86*AT86*VLOOKUP('Données projet'!$B$10,Paramètres!$A$1:$I$89,3,0)*0.475*44/12</f>
        <v>4.8852776691393327</v>
      </c>
      <c r="AX86" s="21">
        <f t="shared" si="60"/>
        <v>47.521176783621314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5.5042735042735051</v>
      </c>
      <c r="BD86" s="12">
        <f>IF('Données projet'!$A$88&gt;35,BD85+BC86-BL85,IF(A86&lt;'Données projet'!$A$88,$BA$205^A86,IF(A86='Données projet'!$A$88,'Données projet'!$B$88,BD85+BC86-BL85)))</f>
        <v>194.50213675213666</v>
      </c>
      <c r="BE86" s="13">
        <f>BD86*VLOOKUP('Données projet'!$B$11,Paramètres!$A$1:$I$89,3,0)*VLOOKUP('Données projet'!$B$11,Paramètres!$A$1:$I$89,5,0)</f>
        <v>188.12246666666658</v>
      </c>
      <c r="BF86" s="13">
        <f t="shared" si="91"/>
        <v>47.124617277140104</v>
      </c>
      <c r="BG86" s="20">
        <f t="shared" si="61"/>
        <v>409.72200453546321</v>
      </c>
      <c r="BH86" s="59">
        <f t="shared" si="62"/>
        <v>703.05533786879653</v>
      </c>
      <c r="BI86" s="59">
        <f ca="1">AVERAGE(OFFSET($BH$3,0,0,'Données projet'!$E$11+1,1))-AVERAGE(OFFSET($H$3,0,0,'Données projet'!$E$11+1,1))</f>
        <v>366.51581861366333</v>
      </c>
      <c r="BJ86" s="59">
        <f t="shared" si="92"/>
        <v>225.01415116995503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8.4921117641215123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8.4921117641215123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3.6</v>
      </c>
      <c r="BY86" s="12">
        <f>IF('Données projet'!$A$114&gt;35,BY85+BX86-CG85,IF(A86&lt;'Données projet'!$A$114,$BV$205^A86,IF(A86='Données projet'!$A$114,'Données projet'!$B$114,BY85+BX86-CG85)))</f>
        <v>206.80000000000015</v>
      </c>
      <c r="BZ86" s="13">
        <f>BY86*VLOOKUP('Données projet'!$B$12,Paramètres!$A$1:$I$89,3,0)*VLOOKUP('Données projet'!$B$12,Paramètres!$A$1:$I$89,5,0)</f>
        <v>135.49536000000012</v>
      </c>
      <c r="CA86" s="13">
        <f t="shared" si="93"/>
        <v>35.263099712541788</v>
      </c>
      <c r="CB86" s="20">
        <f t="shared" si="64"/>
        <v>297.40431733267718</v>
      </c>
      <c r="CC86" s="59">
        <f t="shared" si="65"/>
        <v>590.7376506660105</v>
      </c>
      <c r="CD86" s="59">
        <f ca="1">AVERAGE(OFFSET($CC$3,0,0,'Données projet'!$E$12+1,1))-AVERAGE(OFFSET($H$3,0,0,'Données projet'!$E$12+1,1))</f>
        <v>230.58262378842818</v>
      </c>
      <c r="CE86" s="59">
        <f t="shared" si="94"/>
        <v>235.68746142880792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1.2748218625783942</v>
      </c>
      <c r="CL86" s="21">
        <f>EXP(-LN(2)/25)*CL85+(1-EXP(-LN(2)/25))/(LN(2)/25)*Calculateur!CG86*Calculateur!CI86*VLOOKUP('Données projet'!$B$12,Paramètres!$A$1:$I$89,3,0)*0.475*44/12</f>
        <v>9.3039250252227106</v>
      </c>
      <c r="CM86" s="21">
        <f>EXP(-LN(2)/2)*CM85+(1-EXP(-LN(2)/2))/(LN(2)/2)*CG86*CJ86*VLOOKUP('Données projet'!$B$12,Paramètres!$A$1:$I$89,3,0)*0.475*44/12</f>
        <v>1.2118565197910161</v>
      </c>
      <c r="CN86" s="22">
        <f t="shared" si="66"/>
        <v>11.790603407592121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1.7053025658242404E-13</v>
      </c>
      <c r="CU86" s="17">
        <f>CT86*VLOOKUP('Données projet'!$B$13,Paramètres!$A$1:$I$89,3,0)*VLOOKUP('Données projet'!$B$13,Paramètres!$A$1:$I$89,5,0)</f>
        <v>1.3301360013429075E-13</v>
      </c>
      <c r="CV86" s="13">
        <f t="shared" si="95"/>
        <v>1.9329766731057041E-12</v>
      </c>
      <c r="CW86" s="20">
        <f t="shared" si="67"/>
        <v>3.5982663925596575E-12</v>
      </c>
      <c r="CX86" s="59">
        <f t="shared" si="68"/>
        <v>293.3333333333369</v>
      </c>
      <c r="CY86" s="59">
        <f ca="1">AVERAGE(OFFSET($CX$3,0,0,'Données projet'!$E$13+1,1))-AVERAGE(OFFSET($H$3,0,0,'Données projet'!$E$13+1,1))</f>
        <v>288.80569134263209</v>
      </c>
      <c r="CZ86" s="59">
        <f t="shared" si="96"/>
        <v>283.48738729114024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61.487804812690555</v>
      </c>
      <c r="DG86" s="21">
        <f>EXP(-LN(2)/25)*DG85+(1-EXP(-LN(2)/25))/(LN(2)/25)*Calculateur!DB86*Calculateur!DD86*VLOOKUP('Données projet'!$B$13,Paramètres!$A$1:$I$89,3,0)*0.475*44/12</f>
        <v>46.26667894061827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107.75448375330882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266.99999999999983</v>
      </c>
      <c r="DP86" s="17">
        <f>DO86*VLOOKUP('Données projet'!$B$14,Paramètres!$A$1:$I$89,3,0)*VLOOKUP('Données projet'!$B$14,Paramètres!$A$1:$I$89,5,0)</f>
        <v>212.42519999999985</v>
      </c>
      <c r="DQ86" s="13">
        <f t="shared" si="97"/>
        <v>52.465198231787184</v>
      </c>
      <c r="DR86" s="20">
        <f t="shared" si="70"/>
        <v>461.35077692036231</v>
      </c>
      <c r="DS86" s="59">
        <f t="shared" si="71"/>
        <v>754.68411025369562</v>
      </c>
      <c r="DT86" s="59">
        <f ca="1">AVERAGE(OFFSET($DS$3,0,0,'Données projet'!$E$14+1,1))-AVERAGE(OFFSET($H$3,0,0,'Données projet'!$E$14+1,1))</f>
        <v>299.10536994156814</v>
      </c>
      <c r="DU86" s="59">
        <f t="shared" si="98"/>
        <v>292.57799203101769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27.130577420057868</v>
      </c>
      <c r="EB86" s="21">
        <f>EXP(-LN(2)/25)*EB85+(1-EXP(-LN(2)/25))/(LN(2)/25)*Calculateur!DW86*Calculateur!DY86*VLOOKUP('Données projet'!$B$14,Paramètres!$A$1:$I$89,3,0)*0.475*44/12</f>
        <v>7.6641695247478534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34.794746944805723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7.4950142450142421</v>
      </c>
      <c r="N87" s="13">
        <f>IF('Données projet'!$A$36&gt;35,N86+M87-V86,IF(A87&lt;'Données projet'!$A$36,$K$205^A87,IF(A87='Données projet'!$A$36,'Données projet'!$B$36,N86+M87-V86)))</f>
        <v>258.38390313390335</v>
      </c>
      <c r="O87" s="13">
        <f>N87*VLOOKUP('Données projet'!$B$9,Paramètres!$A$1:$I$89,3,0)*VLOOKUP('Données projet'!$B$9,Paramètres!$A$1:$I$89,5,0)</f>
        <v>233.78575555555574</v>
      </c>
      <c r="P87" s="13">
        <f t="shared" si="87"/>
        <v>57.10047099813341</v>
      </c>
      <c r="Q87" s="20">
        <f t="shared" si="54"/>
        <v>506.62684458100858</v>
      </c>
      <c r="R87" s="59">
        <f t="shared" si="55"/>
        <v>799.9601779143419</v>
      </c>
      <c r="S87" s="59">
        <f ca="1">AVERAGE(OFFSET($R$3,0,0,'Données projet'!$E$9+1,1))-AVERAGE(OFFSET($H$3,0,0,'Données projet'!$E$9+1,1))</f>
        <v>384.05928630855732</v>
      </c>
      <c r="T87" s="59">
        <f t="shared" si="88"/>
        <v>279.93992813630513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30.267772671494157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30.267772671494157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7.172364672364675</v>
      </c>
      <c r="AI87" s="13">
        <f>IF('Données projet'!$A$62&gt;35,AI86+AH87-AQ86,IF(A87&lt;'Données projet'!$A$62,$AF$205^A87,IF(A87='Données projet'!$A$62,'Données projet'!$B$62,AI86+AH87-AQ86)))</f>
        <v>234.18376068376094</v>
      </c>
      <c r="AJ87" s="13">
        <f>AI87*VLOOKUP('Données projet'!$B$10,Paramètres!$A$1:$I$89,3,0)*VLOOKUP('Données projet'!$B$10,Paramètres!$A$1:$I$89,5,0)</f>
        <v>200.92966666666689</v>
      </c>
      <c r="AK87" s="13">
        <f t="shared" si="89"/>
        <v>49.948425142583524</v>
      </c>
      <c r="AL87" s="20">
        <f t="shared" si="58"/>
        <v>436.94600990111115</v>
      </c>
      <c r="AM87" s="59">
        <f t="shared" si="59"/>
        <v>730.27934323444447</v>
      </c>
      <c r="AN87" s="59">
        <f ca="1">AVERAGE(OFFSET($AM$3,0,0,'Données projet'!$E$10+1,1))-AVERAGE(OFFSET($H$3,0,0,'Données projet'!$E$10+1,1))</f>
        <v>335.02113791949211</v>
      </c>
      <c r="AO87" s="59">
        <f t="shared" si="90"/>
        <v>222.06886429435099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15.593030579457935</v>
      </c>
      <c r="AV87" s="21">
        <f>EXP(-LN(2)/25)*AV86+(1-EXP(-LN(2)/25))/(LN(2)/25)*Calculateur!AQ87*Calculateur!AS87*VLOOKUP('Données projet'!$B$10,Paramètres!$A$1:$I$89,3,0)*0.475*44/12</f>
        <v>26.000022696536689</v>
      </c>
      <c r="AW87" s="21">
        <f>EXP(-LN(2)/2)*AW86+(1-EXP(-LN(2)/2))/(LN(2)/2)*AQ87*AT87*VLOOKUP('Données projet'!$B$10,Paramètres!$A$1:$I$89,3,0)*0.475*44/12</f>
        <v>3.4544129678276332</v>
      </c>
      <c r="AX87" s="21">
        <f t="shared" si="60"/>
        <v>45.047466243822257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200.00641025641025</v>
      </c>
      <c r="BB87" s="12">
        <f>VLOOKUP(A87,'Données projet'!$A$87:$I$107,9,0)</f>
        <v>5.5042735042735051</v>
      </c>
      <c r="BC87" s="12">
        <f t="array" ref="BC87">INDEX(BB:BB,MIN(IF(ISNUMBER(BB87:BB283),ROW(BB87:BB283),"")))</f>
        <v>5.5042735042735051</v>
      </c>
      <c r="BD87" s="12">
        <f>IF('Données projet'!$A$88&gt;35,BD86+BC87-BL86,IF(A87&lt;'Données projet'!$A$88,$BA$205^A87,IF(A87='Données projet'!$A$88,'Données projet'!$B$88,BD86+BC87-BL86)))</f>
        <v>200.00641025641016</v>
      </c>
      <c r="BE87" s="13">
        <f>BD87*VLOOKUP('Données projet'!$B$11,Paramètres!$A$1:$I$89,3,0)*VLOOKUP('Données projet'!$B$11,Paramètres!$A$1:$I$89,5,0)</f>
        <v>193.44619999999992</v>
      </c>
      <c r="BF87" s="13">
        <f t="shared" si="91"/>
        <v>48.301059831270564</v>
      </c>
      <c r="BG87" s="20">
        <f t="shared" si="61"/>
        <v>421.0431442061294</v>
      </c>
      <c r="BH87" s="59">
        <f t="shared" si="62"/>
        <v>714.37647753946271</v>
      </c>
      <c r="BI87" s="59">
        <f ca="1">AVERAGE(OFFSET($BH$3,0,0,'Données projet'!$E$11+1,1))-AVERAGE(OFFSET($H$3,0,0,'Données projet'!$E$11+1,1))</f>
        <v>366.51581861366333</v>
      </c>
      <c r="BJ87" s="59">
        <f t="shared" si="92"/>
        <v>225.01415116995503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35.083333333333329</v>
      </c>
      <c r="BM87" s="16">
        <f>IF(ISNA(VLOOKUP(A87,'Données projet'!$A$87:$I$107,5,0)),0%,VLOOKUP(A87,'Données projet'!$A$87:$I$107,5,0)*VLOOKUP('Données projet'!$B$11,Paramètres!$A$1:$I$89,7,0))</f>
        <v>0.30099999999999999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19.616543376466289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19.616543376466289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3.6</v>
      </c>
      <c r="BY87" s="12">
        <f>IF('Données projet'!$A$114&gt;35,BY86+BX87-CG86,IF(A87&lt;'Données projet'!$A$114,$BV$205^A87,IF(A87='Données projet'!$A$114,'Données projet'!$B$114,BY86+BX87-CG86)))</f>
        <v>210.40000000000015</v>
      </c>
      <c r="BZ87" s="13">
        <f>BY87*VLOOKUP('Données projet'!$B$12,Paramètres!$A$1:$I$89,3,0)*VLOOKUP('Données projet'!$B$12,Paramètres!$A$1:$I$89,5,0)</f>
        <v>137.8540800000001</v>
      </c>
      <c r="CA87" s="13">
        <f t="shared" si="93"/>
        <v>35.804964283629992</v>
      </c>
      <c r="CB87" s="20">
        <f t="shared" si="64"/>
        <v>302.45616879398909</v>
      </c>
      <c r="CC87" s="59">
        <f t="shared" si="65"/>
        <v>595.78950212732241</v>
      </c>
      <c r="CD87" s="59">
        <f ca="1">AVERAGE(OFFSET($CC$3,0,0,'Données projet'!$E$12+1,1))-AVERAGE(OFFSET($H$3,0,0,'Données projet'!$E$12+1,1))</f>
        <v>230.58262378842818</v>
      </c>
      <c r="CE87" s="59">
        <f t="shared" si="94"/>
        <v>235.68746142880792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1.2498233834177901</v>
      </c>
      <c r="CL87" s="21">
        <f>EXP(-LN(2)/25)*CL86+(1-EXP(-LN(2)/25))/(LN(2)/25)*Calculateur!CG87*Calculateur!CI87*VLOOKUP('Données projet'!$B$12,Paramètres!$A$1:$I$89,3,0)*0.475*44/12</f>
        <v>9.0495087061358426</v>
      </c>
      <c r="CM87" s="21">
        <f>EXP(-LN(2)/2)*CM86+(1-EXP(-LN(2)/2))/(LN(2)/2)*CG87*CJ87*VLOOKUP('Données projet'!$B$12,Paramètres!$A$1:$I$89,3,0)*0.475*44/12</f>
        <v>0.85691196296935701</v>
      </c>
      <c r="CN87" s="22">
        <f t="shared" si="66"/>
        <v>11.156244052522991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1.7053025658242404E-13</v>
      </c>
      <c r="CU87" s="17">
        <f>CT87*VLOOKUP('Données projet'!$B$13,Paramètres!$A$1:$I$89,3,0)*VLOOKUP('Données projet'!$B$13,Paramètres!$A$1:$I$89,5,0)</f>
        <v>1.3301360013429075E-13</v>
      </c>
      <c r="CV87" s="13">
        <f t="shared" si="95"/>
        <v>1.9329766731057041E-12</v>
      </c>
      <c r="CW87" s="20">
        <f t="shared" si="67"/>
        <v>3.5982663925596575E-12</v>
      </c>
      <c r="CX87" s="59">
        <f t="shared" si="68"/>
        <v>293.3333333333369</v>
      </c>
      <c r="CY87" s="59">
        <f ca="1">AVERAGE(OFFSET($CX$3,0,0,'Données projet'!$E$13+1,1))-AVERAGE(OFFSET($H$3,0,0,'Données projet'!$E$13+1,1))</f>
        <v>288.80569134263209</v>
      </c>
      <c r="CZ87" s="59">
        <f t="shared" si="96"/>
        <v>283.48738729114024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60.282066464171429</v>
      </c>
      <c r="DG87" s="21">
        <f>EXP(-LN(2)/25)*DG86+(1-EXP(-LN(2)/25))/(LN(2)/25)*Calculateur!DB87*Calculateur!DD87*VLOOKUP('Données projet'!$B$13,Paramètres!$A$1:$I$89,3,0)*0.475*44/12</f>
        <v>45.001514171928164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105.2835806360996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266.99999999999983</v>
      </c>
      <c r="DP87" s="17">
        <f>DO87*VLOOKUP('Données projet'!$B$14,Paramètres!$A$1:$I$89,3,0)*VLOOKUP('Données projet'!$B$14,Paramètres!$A$1:$I$89,5,0)</f>
        <v>212.42519999999985</v>
      </c>
      <c r="DQ87" s="13">
        <f t="shared" si="97"/>
        <v>52.465198231787184</v>
      </c>
      <c r="DR87" s="20">
        <f t="shared" si="70"/>
        <v>461.35077692036231</v>
      </c>
      <c r="DS87" s="59">
        <f t="shared" si="71"/>
        <v>754.68411025369562</v>
      </c>
      <c r="DT87" s="59">
        <f ca="1">AVERAGE(OFFSET($DS$3,0,0,'Données projet'!$E$14+1,1))-AVERAGE(OFFSET($H$3,0,0,'Données projet'!$E$14+1,1))</f>
        <v>299.10536994156814</v>
      </c>
      <c r="DU87" s="59">
        <f t="shared" si="98"/>
        <v>292.57799203101769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26.598563344868779</v>
      </c>
      <c r="EB87" s="21">
        <f>EXP(-LN(2)/25)*EB86+(1-EXP(-LN(2)/25))/(LN(2)/25)*Calculateur!DW87*Calculateur!DY87*VLOOKUP('Données projet'!$B$14,Paramètres!$A$1:$I$89,3,0)*0.475*44/12</f>
        <v>7.4545924060524644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34.053155750921242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7.4950142450142421</v>
      </c>
      <c r="N88" s="13">
        <f>IF('Données projet'!$A$36&gt;35,N87+M88-V87,IF(A88&lt;'Données projet'!$A$36,$K$205^A88,IF(A88='Données projet'!$A$36,'Données projet'!$B$36,N87+M88-V87)))</f>
        <v>265.87891737891761</v>
      </c>
      <c r="O88" s="13">
        <f>N88*VLOOKUP('Données projet'!$B$9,Paramètres!$A$1:$I$89,3,0)*VLOOKUP('Données projet'!$B$9,Paramètres!$A$1:$I$89,5,0)</f>
        <v>240.56724444444464</v>
      </c>
      <c r="P88" s="13">
        <f t="shared" si="87"/>
        <v>58.5615591142816</v>
      </c>
      <c r="Q88" s="20">
        <f t="shared" si="54"/>
        <v>520.98266619811488</v>
      </c>
      <c r="R88" s="59">
        <f t="shared" si="55"/>
        <v>814.31599953144814</v>
      </c>
      <c r="S88" s="59">
        <f ca="1">AVERAGE(OFFSET($R$3,0,0,'Données projet'!$E$9+1,1))-AVERAGE(OFFSET($H$3,0,0,'Données projet'!$E$9+1,1))</f>
        <v>384.05928630855732</v>
      </c>
      <c r="T88" s="59">
        <f t="shared" si="88"/>
        <v>279.93992813630513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29.674240110924561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29.674240110924561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7.172364672364675</v>
      </c>
      <c r="AI88" s="13">
        <f>IF('Données projet'!$A$62&gt;35,AI87+AH88-AQ87,IF(A88&lt;'Données projet'!$A$62,$AF$205^A88,IF(A88='Données projet'!$A$62,'Données projet'!$B$62,AI87+AH88-AQ87)))</f>
        <v>241.3561253561256</v>
      </c>
      <c r="AJ88" s="13">
        <f>AI88*VLOOKUP('Données projet'!$B$10,Paramètres!$A$1:$I$89,3,0)*VLOOKUP('Données projet'!$B$10,Paramètres!$A$1:$I$89,5,0)</f>
        <v>207.08355555555579</v>
      </c>
      <c r="AK88" s="13">
        <f t="shared" si="89"/>
        <v>51.297751403643488</v>
      </c>
      <c r="AL88" s="20">
        <f t="shared" si="58"/>
        <v>450.01410962060532</v>
      </c>
      <c r="AM88" s="59">
        <f t="shared" si="59"/>
        <v>743.34744295393864</v>
      </c>
      <c r="AN88" s="59">
        <f ca="1">AVERAGE(OFFSET($AM$3,0,0,'Données projet'!$E$10+1,1))-AVERAGE(OFFSET($H$3,0,0,'Données projet'!$E$10+1,1))</f>
        <v>335.02113791949211</v>
      </c>
      <c r="AO88" s="59">
        <f t="shared" si="90"/>
        <v>222.06886429435099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15.287260760604303</v>
      </c>
      <c r="AV88" s="21">
        <f>EXP(-LN(2)/25)*AV87+(1-EXP(-LN(2)/25))/(LN(2)/25)*Calculateur!AQ88*Calculateur!AS88*VLOOKUP('Données projet'!$B$10,Paramètres!$A$1:$I$89,3,0)*0.475*44/12</f>
        <v>25.289050708618124</v>
      </c>
      <c r="AW88" s="21">
        <f>EXP(-LN(2)/2)*AW87+(1-EXP(-LN(2)/2))/(LN(2)/2)*AQ88*AT88*VLOOKUP('Données projet'!$B$10,Paramètres!$A$1:$I$89,3,0)*0.475*44/12</f>
        <v>2.4426388345696668</v>
      </c>
      <c r="AX88" s="21">
        <f t="shared" si="60"/>
        <v>43.018950303792089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5.2606837606837598</v>
      </c>
      <c r="BD88" s="12">
        <f>IF('Données projet'!$A$88&gt;35,BD87+BC88-BL87,IF(A88&lt;'Données projet'!$A$88,$BA$205^A88,IF(A88='Données projet'!$A$88,'Données projet'!$B$88,BD87+BC88-BL87)))</f>
        <v>170.18376068376057</v>
      </c>
      <c r="BE88" s="13">
        <f>BD88*VLOOKUP('Données projet'!$B$11,Paramètres!$A$1:$I$89,3,0)*VLOOKUP('Données projet'!$B$11,Paramètres!$A$1:$I$89,5,0)</f>
        <v>164.60173333333324</v>
      </c>
      <c r="BF88" s="13">
        <f t="shared" si="91"/>
        <v>41.878730144777855</v>
      </c>
      <c r="BG88" s="20">
        <f t="shared" si="61"/>
        <v>359.6201405577101</v>
      </c>
      <c r="BH88" s="59">
        <f t="shared" si="62"/>
        <v>652.95347389104336</v>
      </c>
      <c r="BI88" s="59">
        <f ca="1">AVERAGE(OFFSET($BH$3,0,0,'Données projet'!$E$11+1,1))-AVERAGE(OFFSET($H$3,0,0,'Données projet'!$E$11+1,1))</f>
        <v>366.51581861366333</v>
      </c>
      <c r="BJ88" s="59">
        <f t="shared" si="92"/>
        <v>225.01415116995503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19.231874925763808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19.231874925763808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214</v>
      </c>
      <c r="BW88" s="12">
        <f>VLOOKUP(A88,'Données projet'!$A$113:$I$133,9,0)</f>
        <v>3.6</v>
      </c>
      <c r="BX88" s="12">
        <f t="array" ref="BX88">INDEX(BW:BW,MIN(IF(ISNUMBER(BW88:BW284),ROW(BW88:BW284),"")))</f>
        <v>3.6</v>
      </c>
      <c r="BY88" s="12">
        <f>IF('Données projet'!$A$114&gt;35,BY87+BX88-CG87,IF(A88&lt;'Données projet'!$A$114,$BV$205^A88,IF(A88='Données projet'!$A$114,'Données projet'!$B$114,BY87+BX88-CG87)))</f>
        <v>214.00000000000014</v>
      </c>
      <c r="BZ88" s="13">
        <f>BY88*VLOOKUP('Données projet'!$B$12,Paramètres!$A$1:$I$89,3,0)*VLOOKUP('Données projet'!$B$12,Paramètres!$A$1:$I$89,5,0)</f>
        <v>140.21280000000007</v>
      </c>
      <c r="CA88" s="13">
        <f t="shared" si="93"/>
        <v>36.345750676634587</v>
      </c>
      <c r="CB88" s="20">
        <f t="shared" si="64"/>
        <v>307.50614242847206</v>
      </c>
      <c r="CC88" s="59">
        <f t="shared" si="65"/>
        <v>600.83947576180537</v>
      </c>
      <c r="CD88" s="59">
        <f ca="1">AVERAGE(OFFSET($CC$3,0,0,'Données projet'!$E$12+1,1))-AVERAGE(OFFSET($H$3,0,0,'Données projet'!$E$12+1,1))</f>
        <v>230.58262378842818</v>
      </c>
      <c r="CE88" s="59">
        <f t="shared" si="94"/>
        <v>235.68746142880792</v>
      </c>
      <c r="CF88" s="15">
        <f>IF(ISNA(VLOOKUP(A88,'Données projet'!$A$113:$I$133,3,0)),0,VLOOKUP(A88,'Données projet'!$A$113:$I$133,3,0))</f>
        <v>16</v>
      </c>
      <c r="CG88" s="15">
        <f>IF(ISNA(VLOOKUP(A88,'Données projet'!$A$113:$I$133,4,0)),0,VLOOKUP(A88,'Données projet'!$A$113:$I$133,4,0))</f>
        <v>14</v>
      </c>
      <c r="CH88" s="16">
        <f>IF(ISNA(VLOOKUP(A88,'Données projet'!$A$113:$I$133,5,0)),0%,VLOOKUP(A88,'Données projet'!$A$113:$I$133,5,0)*VLOOKUP('Données projet'!$B$12,Paramètres!$A$1:$I$89,7,0))</f>
        <v>4.3000000000000003E-2</v>
      </c>
      <c r="CI88" s="16">
        <f>IF(ISNA(VLOOKUP(A88,'Données projet'!$A$113:$I$133,6,0)),0%,VLOOKUP(A88,'Données projet'!$A$113:$I$133,6,0)*VLOOKUP('Données projet'!$B$12,Paramètres!$A$1:$I$89,7,0))</f>
        <v>0.17200000000000001</v>
      </c>
      <c r="CJ88" s="16">
        <f>IF(ISNA(VLOOKUP(A88,'Données projet'!$A$113:$I$133,7,0)),0%,VLOOKUP(A88,'Données projet'!$A$113:$I$133,7,0))</f>
        <v>0.3</v>
      </c>
      <c r="CK88" s="21">
        <f>EXP(-LN(2)/35)*CK87+(1-EXP(-LN(2)/35))/(LN(2)/35)*CG88*CH88*VLOOKUP('Données projet'!$B$12,Paramètres!$A$1:$I$89,3,0)*0.475*44/12</f>
        <v>1.661346233173292</v>
      </c>
      <c r="CL88" s="21">
        <f>EXP(-LN(2)/25)*CL87+(1-EXP(-LN(2)/25))/(LN(2)/25)*Calculateur!CG88*Calculateur!CI88*VLOOKUP('Données projet'!$B$12,Paramètres!$A$1:$I$89,3,0)*0.475*44/12</f>
        <v>10.539306627918824</v>
      </c>
      <c r="CM88" s="21">
        <f>EXP(-LN(2)/2)*CM87+(1-EXP(-LN(2)/2))/(LN(2)/2)*CG88*CJ88*VLOOKUP('Données projet'!$B$12,Paramètres!$A$1:$I$89,3,0)*0.475*44/12</f>
        <v>3.2023633645831997</v>
      </c>
      <c r="CN88" s="22">
        <f t="shared" si="66"/>
        <v>15.403016225675316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1.7053025658242404E-13</v>
      </c>
      <c r="CU88" s="17">
        <f>CT88*VLOOKUP('Données projet'!$B$13,Paramètres!$A$1:$I$89,3,0)*VLOOKUP('Données projet'!$B$13,Paramètres!$A$1:$I$89,5,0)</f>
        <v>1.3301360013429075E-13</v>
      </c>
      <c r="CV88" s="13">
        <f t="shared" si="95"/>
        <v>1.9329766731057041E-12</v>
      </c>
      <c r="CW88" s="20">
        <f t="shared" si="67"/>
        <v>3.5982663925596575E-12</v>
      </c>
      <c r="CX88" s="59">
        <f t="shared" si="68"/>
        <v>293.3333333333369</v>
      </c>
      <c r="CY88" s="59">
        <f ca="1">AVERAGE(OFFSET($CX$3,0,0,'Données projet'!$E$13+1,1))-AVERAGE(OFFSET($H$3,0,0,'Données projet'!$E$13+1,1))</f>
        <v>288.80569134263209</v>
      </c>
      <c r="CZ88" s="59">
        <f t="shared" si="96"/>
        <v>283.48738729114024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59.099971909238988</v>
      </c>
      <c r="DG88" s="21">
        <f>EXP(-LN(2)/25)*DG87+(1-EXP(-LN(2)/25))/(LN(2)/25)*Calculateur!DB88*Calculateur!DD88*VLOOKUP('Données projet'!$B$13,Paramètres!$A$1:$I$89,3,0)*0.475*44/12</f>
        <v>43.77094540037001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102.870917309609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266.99999999999983</v>
      </c>
      <c r="DP88" s="17">
        <f>DO88*VLOOKUP('Données projet'!$B$14,Paramètres!$A$1:$I$89,3,0)*VLOOKUP('Données projet'!$B$14,Paramètres!$A$1:$I$89,5,0)</f>
        <v>212.42519999999985</v>
      </c>
      <c r="DQ88" s="13">
        <f t="shared" si="97"/>
        <v>52.465198231787184</v>
      </c>
      <c r="DR88" s="20">
        <f t="shared" si="70"/>
        <v>461.35077692036231</v>
      </c>
      <c r="DS88" s="59">
        <f t="shared" si="71"/>
        <v>754.68411025369562</v>
      </c>
      <c r="DT88" s="59">
        <f ca="1">AVERAGE(OFFSET($DS$3,0,0,'Données projet'!$E$14+1,1))-AVERAGE(OFFSET($H$3,0,0,'Données projet'!$E$14+1,1))</f>
        <v>299.10536994156814</v>
      </c>
      <c r="DU88" s="59">
        <f t="shared" si="98"/>
        <v>292.57799203101769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26.076981741197603</v>
      </c>
      <c r="EB88" s="21">
        <f>EXP(-LN(2)/25)*EB87+(1-EXP(-LN(2)/25))/(LN(2)/25)*Calculateur!DW88*Calculateur!DY88*VLOOKUP('Données projet'!$B$14,Paramètres!$A$1:$I$89,3,0)*0.475*44/12</f>
        <v>7.2507461846889827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33.327727925886585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7.4950142450142421</v>
      </c>
      <c r="N89" s="13">
        <f>IF('Données projet'!$A$36&gt;35,N88+M89-V88,IF(A89&lt;'Données projet'!$A$36,$K$205^A89,IF(A89='Données projet'!$A$36,'Données projet'!$B$36,N88+M89-V88)))</f>
        <v>273.37393162393187</v>
      </c>
      <c r="O89" s="13">
        <f>N89*VLOOKUP('Données projet'!$B$9,Paramètres!$A$1:$I$89,3,0)*VLOOKUP('Données projet'!$B$9,Paramètres!$A$1:$I$89,5,0)</f>
        <v>247.34873333333351</v>
      </c>
      <c r="P89" s="13">
        <f t="shared" si="87"/>
        <v>60.017860197565874</v>
      </c>
      <c r="Q89" s="20">
        <f t="shared" si="54"/>
        <v>535.33015039964971</v>
      </c>
      <c r="R89" s="59">
        <f t="shared" si="55"/>
        <v>828.66348373298297</v>
      </c>
      <c r="S89" s="59">
        <f ca="1">AVERAGE(OFFSET($R$3,0,0,'Données projet'!$E$9+1,1))-AVERAGE(OFFSET($H$3,0,0,'Données projet'!$E$9+1,1))</f>
        <v>384.05928630855732</v>
      </c>
      <c r="T89" s="59">
        <f t="shared" si="88"/>
        <v>279.93992813630513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29.09234636184862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29.09234636184862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7.172364672364675</v>
      </c>
      <c r="AI89" s="13">
        <f>IF('Données projet'!$A$62&gt;35,AI88+AH89-AQ88,IF(A89&lt;'Données projet'!$A$62,$AF$205^A89,IF(A89='Données projet'!$A$62,'Données projet'!$B$62,AI88+AH89-AQ88)))</f>
        <v>248.52849002849027</v>
      </c>
      <c r="AJ89" s="13">
        <f>AI89*VLOOKUP('Données projet'!$B$10,Paramètres!$A$1:$I$89,3,0)*VLOOKUP('Données projet'!$B$10,Paramètres!$A$1:$I$89,5,0)</f>
        <v>213.23744444444469</v>
      </c>
      <c r="AK89" s="13">
        <f t="shared" si="89"/>
        <v>52.642417614157523</v>
      </c>
      <c r="AL89" s="20">
        <f t="shared" si="58"/>
        <v>463.07409308539883</v>
      </c>
      <c r="AM89" s="59">
        <f t="shared" si="59"/>
        <v>756.40742641873214</v>
      </c>
      <c r="AN89" s="59">
        <f ca="1">AVERAGE(OFFSET($AM$3,0,0,'Données projet'!$E$10+1,1))-AVERAGE(OFFSET($H$3,0,0,'Données projet'!$E$10+1,1))</f>
        <v>335.02113791949211</v>
      </c>
      <c r="AO89" s="59">
        <f t="shared" si="90"/>
        <v>222.06886429435099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14.987486901397217</v>
      </c>
      <c r="AV89" s="21">
        <f>EXP(-LN(2)/25)*AV88+(1-EXP(-LN(2)/25))/(LN(2)/25)*Calculateur!AQ89*Calculateur!AS89*VLOOKUP('Données projet'!$B$10,Paramètres!$A$1:$I$89,3,0)*0.475*44/12</f>
        <v>24.597520287097584</v>
      </c>
      <c r="AW89" s="21">
        <f>EXP(-LN(2)/2)*AW88+(1-EXP(-LN(2)/2))/(LN(2)/2)*AQ89*AT89*VLOOKUP('Données projet'!$B$10,Paramètres!$A$1:$I$89,3,0)*0.475*44/12</f>
        <v>1.727206483913817</v>
      </c>
      <c r="AX89" s="21">
        <f t="shared" si="60"/>
        <v>41.312213672408618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5.2606837606837598</v>
      </c>
      <c r="BD89" s="12">
        <f>IF('Données projet'!$A$88&gt;35,BD88+BC89-BL88,IF(A89&lt;'Données projet'!$A$88,$BA$205^A89,IF(A89='Données projet'!$A$88,'Données projet'!$B$88,BD88+BC89-BL88)))</f>
        <v>175.44444444444431</v>
      </c>
      <c r="BE89" s="13">
        <f>BD89*VLOOKUP('Données projet'!$B$11,Paramètres!$A$1:$I$89,3,0)*VLOOKUP('Données projet'!$B$11,Paramètres!$A$1:$I$89,5,0)</f>
        <v>169.68986666666655</v>
      </c>
      <c r="BF89" s="13">
        <f t="shared" si="91"/>
        <v>43.020556655548141</v>
      </c>
      <c r="BG89" s="20">
        <f t="shared" si="61"/>
        <v>370.47065395285722</v>
      </c>
      <c r="BH89" s="59">
        <f t="shared" si="62"/>
        <v>663.80398728619048</v>
      </c>
      <c r="BI89" s="59">
        <f ca="1">AVERAGE(OFFSET($BH$3,0,0,'Données projet'!$E$11+1,1))-AVERAGE(OFFSET($H$3,0,0,'Données projet'!$E$11+1,1))</f>
        <v>366.51581861366333</v>
      </c>
      <c r="BJ89" s="59">
        <f t="shared" si="92"/>
        <v>225.01415116995503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18.854749588755016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18.854749588755016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3.4</v>
      </c>
      <c r="BY89" s="12">
        <f>IF('Données projet'!$A$114&gt;35,BY88+BX89-CG88,IF(A89&lt;'Données projet'!$A$114,$BV$205^A89,IF(A89='Données projet'!$A$114,'Données projet'!$B$114,BY88+BX89-CG88)))</f>
        <v>203.40000000000015</v>
      </c>
      <c r="BZ89" s="13">
        <f>BY89*VLOOKUP('Données projet'!$B$12,Paramètres!$A$1:$I$89,3,0)*VLOOKUP('Données projet'!$B$12,Paramètres!$A$1:$I$89,5,0)</f>
        <v>133.2676800000001</v>
      </c>
      <c r="CA89" s="13">
        <f t="shared" si="93"/>
        <v>34.750329840004937</v>
      </c>
      <c r="CB89" s="20">
        <f t="shared" si="64"/>
        <v>292.63136713800878</v>
      </c>
      <c r="CC89" s="59">
        <f t="shared" si="65"/>
        <v>585.9647004713421</v>
      </c>
      <c r="CD89" s="59">
        <f ca="1">AVERAGE(OFFSET($CC$3,0,0,'Données projet'!$E$12+1,1))-AVERAGE(OFFSET($H$3,0,0,'Données projet'!$E$12+1,1))</f>
        <v>230.58262378842818</v>
      </c>
      <c r="CE89" s="59">
        <f t="shared" si="94"/>
        <v>235.68746142880792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1.6287682468619089</v>
      </c>
      <c r="CL89" s="21">
        <f>EXP(-LN(2)/25)*CL88+(1-EXP(-LN(2)/25))/(LN(2)/25)*Calculateur!CG89*Calculateur!CI89*VLOOKUP('Données projet'!$B$12,Paramètres!$A$1:$I$89,3,0)*0.475*44/12</f>
        <v>10.251108733940336</v>
      </c>
      <c r="CM89" s="21">
        <f>EXP(-LN(2)/2)*CM88+(1-EXP(-LN(2)/2))/(LN(2)/2)*CG89*CJ89*VLOOKUP('Données projet'!$B$12,Paramètres!$A$1:$I$89,3,0)*0.475*44/12</f>
        <v>2.2644128509201487</v>
      </c>
      <c r="CN89" s="22">
        <f t="shared" si="66"/>
        <v>14.144289831722395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1.7053025658242404E-13</v>
      </c>
      <c r="CU89" s="17">
        <f>CT89*VLOOKUP('Données projet'!$B$13,Paramètres!$A$1:$I$89,3,0)*VLOOKUP('Données projet'!$B$13,Paramètres!$A$1:$I$89,5,0)</f>
        <v>1.3301360013429075E-13</v>
      </c>
      <c r="CV89" s="13">
        <f t="shared" si="95"/>
        <v>1.9329766731057041E-12</v>
      </c>
      <c r="CW89" s="20">
        <f t="shared" si="67"/>
        <v>3.5982663925596575E-12</v>
      </c>
      <c r="CX89" s="59">
        <f t="shared" si="68"/>
        <v>293.3333333333369</v>
      </c>
      <c r="CY89" s="59">
        <f ca="1">AVERAGE(OFFSET($CX$3,0,0,'Données projet'!$E$13+1,1))-AVERAGE(OFFSET($H$3,0,0,'Données projet'!$E$13+1,1))</f>
        <v>288.80569134263209</v>
      </c>
      <c r="CZ89" s="59">
        <f t="shared" si="96"/>
        <v>283.48738729114024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57.941057507522288</v>
      </c>
      <c r="DG89" s="21">
        <f>EXP(-LN(2)/25)*DG88+(1-EXP(-LN(2)/25))/(LN(2)/25)*Calculateur!DB89*Calculateur!DD89*VLOOKUP('Données projet'!$B$13,Paramètres!$A$1:$I$89,3,0)*0.475*44/12</f>
        <v>42.574026596582911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100.5150841041052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266.99999999999983</v>
      </c>
      <c r="DP89" s="17">
        <f>DO89*VLOOKUP('Données projet'!$B$14,Paramètres!$A$1:$I$89,3,0)*VLOOKUP('Données projet'!$B$14,Paramètres!$A$1:$I$89,5,0)</f>
        <v>212.42519999999985</v>
      </c>
      <c r="DQ89" s="13">
        <f t="shared" si="97"/>
        <v>52.465198231787184</v>
      </c>
      <c r="DR89" s="20">
        <f t="shared" si="70"/>
        <v>461.35077692036231</v>
      </c>
      <c r="DS89" s="59">
        <f t="shared" si="71"/>
        <v>754.68411025369562</v>
      </c>
      <c r="DT89" s="59">
        <f ca="1">AVERAGE(OFFSET($DS$3,0,0,'Données projet'!$E$14+1,1))-AVERAGE(OFFSET($H$3,0,0,'Données projet'!$E$14+1,1))</f>
        <v>299.10536994156814</v>
      </c>
      <c r="DU89" s="59">
        <f t="shared" si="98"/>
        <v>292.57799203101769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25.565628034641055</v>
      </c>
      <c r="EB89" s="21">
        <f>EXP(-LN(2)/25)*EB88+(1-EXP(-LN(2)/25))/(LN(2)/25)*Calculateur!DW89*Calculateur!DY89*VLOOKUP('Données projet'!$B$14,Paramètres!$A$1:$I$89,3,0)*0.475*44/12</f>
        <v>7.0524741489684928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32.618102183609551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7.4950142450142421</v>
      </c>
      <c r="N90" s="13">
        <f>IF('Données projet'!$A$36&gt;35,N89+M90-V89,IF(A90&lt;'Données projet'!$A$36,$K$205^A90,IF(A90='Données projet'!$A$36,'Données projet'!$B$36,N89+M90-V89)))</f>
        <v>280.86894586894613</v>
      </c>
      <c r="O90" s="13">
        <f>N90*VLOOKUP('Données projet'!$B$9,Paramètres!$A$1:$I$89,3,0)*VLOOKUP('Données projet'!$B$9,Paramètres!$A$1:$I$89,5,0)</f>
        <v>254.13022222222247</v>
      </c>
      <c r="P90" s="13">
        <f t="shared" si="87"/>
        <v>61.469520573147591</v>
      </c>
      <c r="Q90" s="20">
        <f t="shared" si="54"/>
        <v>549.66955203526948</v>
      </c>
      <c r="R90" s="59">
        <f t="shared" si="55"/>
        <v>843.00288536860285</v>
      </c>
      <c r="S90" s="59">
        <f ca="1">AVERAGE(OFFSET($R$3,0,0,'Données projet'!$E$9+1,1))-AVERAGE(OFFSET($H$3,0,0,'Données projet'!$E$9+1,1))</f>
        <v>384.05928630855732</v>
      </c>
      <c r="T90" s="59">
        <f t="shared" si="88"/>
        <v>279.93992813630513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28.521863194271916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28.521863194271916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7.172364672364675</v>
      </c>
      <c r="AI90" s="13">
        <f>IF('Données projet'!$A$62&gt;35,AI89+AH90-AQ89,IF(A90&lt;'Données projet'!$A$62,$AF$205^A90,IF(A90='Données projet'!$A$62,'Données projet'!$B$62,AI89+AH90-AQ89)))</f>
        <v>255.70085470085493</v>
      </c>
      <c r="AJ90" s="13">
        <f>AI90*VLOOKUP('Données projet'!$B$10,Paramètres!$A$1:$I$89,3,0)*VLOOKUP('Données projet'!$B$10,Paramètres!$A$1:$I$89,5,0)</f>
        <v>219.39133333333353</v>
      </c>
      <c r="AK90" s="13">
        <f t="shared" si="89"/>
        <v>53.982573704489013</v>
      </c>
      <c r="AL90" s="20">
        <f t="shared" si="58"/>
        <v>476.12622142420764</v>
      </c>
      <c r="AM90" s="59">
        <f t="shared" si="59"/>
        <v>769.4595547575409</v>
      </c>
      <c r="AN90" s="59">
        <f ca="1">AVERAGE(OFFSET($AM$3,0,0,'Données projet'!$E$10+1,1))-AVERAGE(OFFSET($H$3,0,0,'Données projet'!$E$10+1,1))</f>
        <v>335.02113791949211</v>
      </c>
      <c r="AO90" s="59">
        <f t="shared" si="90"/>
        <v>222.06886429435099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14.693591424725183</v>
      </c>
      <c r="AV90" s="21">
        <f>EXP(-LN(2)/25)*AV89+(1-EXP(-LN(2)/25))/(LN(2)/25)*Calculateur!AQ90*Calculateur!AS90*VLOOKUP('Données projet'!$B$10,Paramètres!$A$1:$I$89,3,0)*0.475*44/12</f>
        <v>23.924899801319526</v>
      </c>
      <c r="AW90" s="21">
        <f>EXP(-LN(2)/2)*AW89+(1-EXP(-LN(2)/2))/(LN(2)/2)*AQ90*AT90*VLOOKUP('Données projet'!$B$10,Paramètres!$A$1:$I$89,3,0)*0.475*44/12</f>
        <v>1.2213194172848336</v>
      </c>
      <c r="AX90" s="21">
        <f t="shared" si="60"/>
        <v>39.839810643329542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5.2606837606837598</v>
      </c>
      <c r="BD90" s="12">
        <f>IF('Données projet'!$A$88&gt;35,BD89+BC90-BL89,IF(A90&lt;'Données projet'!$A$88,$BA$205^A90,IF(A90='Données projet'!$A$88,'Données projet'!$B$88,BD89+BC90-BL89)))</f>
        <v>180.70512820512806</v>
      </c>
      <c r="BE90" s="13">
        <f>BD90*VLOOKUP('Données projet'!$B$11,Paramètres!$A$1:$I$89,3,0)*VLOOKUP('Données projet'!$B$11,Paramètres!$A$1:$I$89,5,0)</f>
        <v>174.77799999999988</v>
      </c>
      <c r="BF90" s="13">
        <f t="shared" si="91"/>
        <v>44.158404232020459</v>
      </c>
      <c r="BG90" s="20">
        <f t="shared" si="61"/>
        <v>381.31423737076875</v>
      </c>
      <c r="BH90" s="59">
        <f t="shared" si="62"/>
        <v>674.64757070410201</v>
      </c>
      <c r="BI90" s="59">
        <f ca="1">AVERAGE(OFFSET($BH$3,0,0,'Données projet'!$E$11+1,1))-AVERAGE(OFFSET($H$3,0,0,'Données projet'!$E$11+1,1))</f>
        <v>366.51581861366333</v>
      </c>
      <c r="BJ90" s="59">
        <f t="shared" si="92"/>
        <v>225.01415116995503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18.485019449581223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18.485019449581223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3.4</v>
      </c>
      <c r="BY90" s="12">
        <f>IF('Données projet'!$A$114&gt;35,BY89+BX90-CG89,IF(A90&lt;'Données projet'!$A$114,$BV$205^A90,IF(A90='Données projet'!$A$114,'Données projet'!$B$114,BY89+BX90-CG89)))</f>
        <v>206.80000000000015</v>
      </c>
      <c r="BZ90" s="13">
        <f>BY90*VLOOKUP('Données projet'!$B$12,Paramètres!$A$1:$I$89,3,0)*VLOOKUP('Données projet'!$B$12,Paramètres!$A$1:$I$89,5,0)</f>
        <v>135.49536000000012</v>
      </c>
      <c r="CA90" s="13">
        <f t="shared" si="93"/>
        <v>35.263099712541788</v>
      </c>
      <c r="CB90" s="20">
        <f t="shared" si="64"/>
        <v>297.40431733267718</v>
      </c>
      <c r="CC90" s="59">
        <f t="shared" si="65"/>
        <v>590.7376506660105</v>
      </c>
      <c r="CD90" s="59">
        <f ca="1">AVERAGE(OFFSET($CC$3,0,0,'Données projet'!$E$12+1,1))-AVERAGE(OFFSET($H$3,0,0,'Données projet'!$E$12+1,1))</f>
        <v>230.58262378842818</v>
      </c>
      <c r="CE90" s="59">
        <f t="shared" si="94"/>
        <v>235.68746142880792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1.5968290949914823</v>
      </c>
      <c r="CL90" s="21">
        <f>EXP(-LN(2)/25)*CL89+(1-EXP(-LN(2)/25))/(LN(2)/25)*Calculateur!CG90*Calculateur!CI90*VLOOKUP('Données projet'!$B$12,Paramètres!$A$1:$I$89,3,0)*0.475*44/12</f>
        <v>9.9707916265283583</v>
      </c>
      <c r="CM90" s="21">
        <f>EXP(-LN(2)/2)*CM89+(1-EXP(-LN(2)/2))/(LN(2)/2)*CG90*CJ90*VLOOKUP('Données projet'!$B$12,Paramètres!$A$1:$I$89,3,0)*0.475*44/12</f>
        <v>1.6011816822915999</v>
      </c>
      <c r="CN90" s="22">
        <f t="shared" si="66"/>
        <v>13.168802403811441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1.7053025658242404E-13</v>
      </c>
      <c r="CU90" s="17">
        <f>CT90*VLOOKUP('Données projet'!$B$13,Paramètres!$A$1:$I$89,3,0)*VLOOKUP('Données projet'!$B$13,Paramètres!$A$1:$I$89,5,0)</f>
        <v>1.3301360013429075E-13</v>
      </c>
      <c r="CV90" s="13">
        <f t="shared" si="95"/>
        <v>1.9329766731057041E-12</v>
      </c>
      <c r="CW90" s="20">
        <f t="shared" si="67"/>
        <v>3.5982663925596575E-12</v>
      </c>
      <c r="CX90" s="59">
        <f t="shared" si="68"/>
        <v>293.3333333333369</v>
      </c>
      <c r="CY90" s="59">
        <f ca="1">AVERAGE(OFFSET($CX$3,0,0,'Données projet'!$E$13+1,1))-AVERAGE(OFFSET($H$3,0,0,'Données projet'!$E$13+1,1))</f>
        <v>288.80569134263209</v>
      </c>
      <c r="CZ90" s="59">
        <f t="shared" si="96"/>
        <v>283.48738729114024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56.804868710355265</v>
      </c>
      <c r="DG90" s="21">
        <f>EXP(-LN(2)/25)*DG89+(1-EXP(-LN(2)/25))/(LN(2)/25)*Calculateur!DB90*Calculateur!DD90*VLOOKUP('Données projet'!$B$13,Paramètres!$A$1:$I$89,3,0)*0.475*44/12</f>
        <v>41.409837600428595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98.214706310783868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266.99999999999983</v>
      </c>
      <c r="DP90" s="17">
        <f>DO90*VLOOKUP('Données projet'!$B$14,Paramètres!$A$1:$I$89,3,0)*VLOOKUP('Données projet'!$B$14,Paramètres!$A$1:$I$89,5,0)</f>
        <v>212.42519999999985</v>
      </c>
      <c r="DQ90" s="13">
        <f t="shared" si="97"/>
        <v>52.465198231787184</v>
      </c>
      <c r="DR90" s="20">
        <f t="shared" si="70"/>
        <v>461.35077692036231</v>
      </c>
      <c r="DS90" s="59">
        <f t="shared" si="71"/>
        <v>754.68411025369562</v>
      </c>
      <c r="DT90" s="59">
        <f ca="1">AVERAGE(OFFSET($DS$3,0,0,'Données projet'!$E$14+1,1))-AVERAGE(OFFSET($H$3,0,0,'Données projet'!$E$14+1,1))</f>
        <v>299.10536994156814</v>
      </c>
      <c r="DU90" s="59">
        <f t="shared" si="98"/>
        <v>292.57799203101769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25.064301662375115</v>
      </c>
      <c r="EB90" s="21">
        <f>EXP(-LN(2)/25)*EB89+(1-EXP(-LN(2)/25))/(LN(2)/25)*Calculateur!DW90*Calculateur!DY90*VLOOKUP('Données projet'!$B$14,Paramètres!$A$1:$I$89,3,0)*0.475*44/12</f>
        <v>6.8596238724914524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31.923925534866569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7.4950142450142421</v>
      </c>
      <c r="N91" s="13">
        <f>IF('Données projet'!$A$36&gt;35,N90+M91-V90,IF(A91&lt;'Données projet'!$A$36,$K$205^A91,IF(A91='Données projet'!$A$36,'Données projet'!$B$36,N90+M91-V90)))</f>
        <v>288.36396011396039</v>
      </c>
      <c r="O91" s="13">
        <f>N91*VLOOKUP('Données projet'!$B$9,Paramètres!$A$1:$I$89,3,0)*VLOOKUP('Données projet'!$B$9,Paramètres!$A$1:$I$89,5,0)</f>
        <v>260.91171111111134</v>
      </c>
      <c r="P91" s="13">
        <f t="shared" si="87"/>
        <v>62.916678312142118</v>
      </c>
      <c r="Q91" s="20">
        <f t="shared" si="54"/>
        <v>564.00111157883305</v>
      </c>
      <c r="R91" s="59">
        <f t="shared" si="55"/>
        <v>857.33444491216642</v>
      </c>
      <c r="S91" s="59">
        <f ca="1">AVERAGE(OFFSET($R$3,0,0,'Données projet'!$E$9+1,1))-AVERAGE(OFFSET($H$3,0,0,'Données projet'!$E$9+1,1))</f>
        <v>384.05928630855732</v>
      </c>
      <c r="T91" s="59">
        <f t="shared" si="88"/>
        <v>279.93992813630513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27.962566853651019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27.962566853651019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7.172364672364675</v>
      </c>
      <c r="AI91" s="13">
        <f>IF('Données projet'!$A$62&gt;35,AI90+AH91-AQ90,IF(A91&lt;'Données projet'!$A$62,$AF$205^A91,IF(A91='Données projet'!$A$62,'Données projet'!$B$62,AI90+AH91-AQ90)))</f>
        <v>262.87321937321963</v>
      </c>
      <c r="AJ91" s="13">
        <f>AI91*VLOOKUP('Données projet'!$B$10,Paramètres!$A$1:$I$89,3,0)*VLOOKUP('Données projet'!$B$10,Paramètres!$A$1:$I$89,5,0)</f>
        <v>225.54522222222243</v>
      </c>
      <c r="AK91" s="13">
        <f t="shared" si="89"/>
        <v>55.318360715426529</v>
      </c>
      <c r="AL91" s="20">
        <f t="shared" si="58"/>
        <v>489.17074028307201</v>
      </c>
      <c r="AM91" s="59">
        <f t="shared" si="59"/>
        <v>782.50407361640532</v>
      </c>
      <c r="AN91" s="59">
        <f ca="1">AVERAGE(OFFSET($AM$3,0,0,'Données projet'!$E$10+1,1))-AVERAGE(OFFSET($H$3,0,0,'Données projet'!$E$10+1,1))</f>
        <v>335.02113791949211</v>
      </c>
      <c r="AO91" s="59">
        <f t="shared" si="90"/>
        <v>222.06886429435099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14.405459059092147</v>
      </c>
      <c r="AV91" s="21">
        <f>EXP(-LN(2)/25)*AV90+(1-EXP(-LN(2)/25))/(LN(2)/25)*Calculateur!AQ91*Calculateur!AS91*VLOOKUP('Données projet'!$B$10,Paramètres!$A$1:$I$89,3,0)*0.475*44/12</f>
        <v>23.270672158096644</v>
      </c>
      <c r="AW91" s="21">
        <f>EXP(-LN(2)/2)*AW90+(1-EXP(-LN(2)/2))/(LN(2)/2)*AQ91*AT91*VLOOKUP('Données projet'!$B$10,Paramètres!$A$1:$I$89,3,0)*0.475*44/12</f>
        <v>0.86360324195690863</v>
      </c>
      <c r="AX91" s="21">
        <f t="shared" si="60"/>
        <v>38.539734459145699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5.2606837606837598</v>
      </c>
      <c r="BD91" s="12">
        <f>IF('Données projet'!$A$88&gt;35,BD90+BC91-BL90,IF(A91&lt;'Données projet'!$A$88,$BA$205^A91,IF(A91='Données projet'!$A$88,'Données projet'!$B$88,BD90+BC91-BL90)))</f>
        <v>185.96581196581181</v>
      </c>
      <c r="BE91" s="13">
        <f>BD91*VLOOKUP('Données projet'!$B$11,Paramètres!$A$1:$I$89,3,0)*VLOOKUP('Données projet'!$B$11,Paramètres!$A$1:$I$89,5,0)</f>
        <v>179.86613333333318</v>
      </c>
      <c r="BF91" s="13">
        <f t="shared" si="91"/>
        <v>45.292402010112326</v>
      </c>
      <c r="BG91" s="20">
        <f t="shared" si="61"/>
        <v>392.15111572316761</v>
      </c>
      <c r="BH91" s="59">
        <f t="shared" si="62"/>
        <v>685.48444905650092</v>
      </c>
      <c r="BI91" s="59">
        <f ca="1">AVERAGE(OFFSET($BH$3,0,0,'Données projet'!$E$11+1,1))-AVERAGE(OFFSET($H$3,0,0,'Données projet'!$E$11+1,1))</f>
        <v>366.51581861366333</v>
      </c>
      <c r="BJ91" s="59">
        <f t="shared" si="92"/>
        <v>225.01415116995503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18.122539492923512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18.122539492923512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3.4</v>
      </c>
      <c r="BY91" s="12">
        <f>IF('Données projet'!$A$114&gt;35,BY90+BX91-CG90,IF(A91&lt;'Données projet'!$A$114,$BV$205^A91,IF(A91='Données projet'!$A$114,'Données projet'!$B$114,BY90+BX91-CG90)))</f>
        <v>210.20000000000016</v>
      </c>
      <c r="BZ91" s="13">
        <f>BY91*VLOOKUP('Données projet'!$B$12,Paramètres!$A$1:$I$89,3,0)*VLOOKUP('Données projet'!$B$12,Paramètres!$A$1:$I$89,5,0)</f>
        <v>137.72304000000011</v>
      </c>
      <c r="CA91" s="13">
        <f t="shared" si="93"/>
        <v>35.774889172094717</v>
      </c>
      <c r="CB91" s="20">
        <f t="shared" si="64"/>
        <v>302.17555997473181</v>
      </c>
      <c r="CC91" s="59">
        <f t="shared" si="65"/>
        <v>595.50889330806513</v>
      </c>
      <c r="CD91" s="59">
        <f ca="1">AVERAGE(OFFSET($CC$3,0,0,'Données projet'!$E$12+1,1))-AVERAGE(OFFSET($H$3,0,0,'Données projet'!$E$12+1,1))</f>
        <v>230.58262378842818</v>
      </c>
      <c r="CE91" s="59">
        <f t="shared" si="94"/>
        <v>235.68746142880792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1.5655162504082758</v>
      </c>
      <c r="CL91" s="21">
        <f>EXP(-LN(2)/25)*CL90+(1-EXP(-LN(2)/25))/(LN(2)/25)*Calculateur!CG91*Calculateur!CI91*VLOOKUP('Données projet'!$B$12,Paramètres!$A$1:$I$89,3,0)*0.475*44/12</f>
        <v>9.6981398051597978</v>
      </c>
      <c r="CM91" s="21">
        <f>EXP(-LN(2)/2)*CM90+(1-EXP(-LN(2)/2))/(LN(2)/2)*CG91*CJ91*VLOOKUP('Données projet'!$B$12,Paramètres!$A$1:$I$89,3,0)*0.475*44/12</f>
        <v>1.1322064254600743</v>
      </c>
      <c r="CN91" s="22">
        <f t="shared" si="66"/>
        <v>12.395862481028148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1.7053025658242404E-13</v>
      </c>
      <c r="CU91" s="17">
        <f>CT91*VLOOKUP('Données projet'!$B$13,Paramètres!$A$1:$I$89,3,0)*VLOOKUP('Données projet'!$B$13,Paramètres!$A$1:$I$89,5,0)</f>
        <v>1.3301360013429075E-13</v>
      </c>
      <c r="CV91" s="13">
        <f t="shared" si="95"/>
        <v>1.9329766731057041E-12</v>
      </c>
      <c r="CW91" s="20">
        <f t="shared" si="67"/>
        <v>3.5982663925596575E-12</v>
      </c>
      <c r="CX91" s="59">
        <f t="shared" si="68"/>
        <v>293.3333333333369</v>
      </c>
      <c r="CY91" s="59">
        <f ca="1">AVERAGE(OFFSET($CX$3,0,0,'Données projet'!$E$13+1,1))-AVERAGE(OFFSET($H$3,0,0,'Données projet'!$E$13+1,1))</f>
        <v>288.80569134263209</v>
      </c>
      <c r="CZ91" s="59">
        <f t="shared" si="96"/>
        <v>283.48738729114024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55.690959882493949</v>
      </c>
      <c r="DG91" s="21">
        <f>EXP(-LN(2)/25)*DG90+(1-EXP(-LN(2)/25))/(LN(2)/25)*Calculateur!DB91*Calculateur!DD91*VLOOKUP('Données projet'!$B$13,Paramètres!$A$1:$I$89,3,0)*0.475*44/12</f>
        <v>40.277483413596158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95.968443296090101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266.99999999999983</v>
      </c>
      <c r="DP91" s="17">
        <f>DO91*VLOOKUP('Données projet'!$B$14,Paramètres!$A$1:$I$89,3,0)*VLOOKUP('Données projet'!$B$14,Paramètres!$A$1:$I$89,5,0)</f>
        <v>212.42519999999985</v>
      </c>
      <c r="DQ91" s="13">
        <f t="shared" si="97"/>
        <v>52.465198231787184</v>
      </c>
      <c r="DR91" s="20">
        <f t="shared" si="70"/>
        <v>461.35077692036231</v>
      </c>
      <c r="DS91" s="59">
        <f t="shared" si="71"/>
        <v>754.68411025369562</v>
      </c>
      <c r="DT91" s="59">
        <f ca="1">AVERAGE(OFFSET($DS$3,0,0,'Données projet'!$E$14+1,1))-AVERAGE(OFFSET($H$3,0,0,'Données projet'!$E$14+1,1))</f>
        <v>299.10536994156814</v>
      </c>
      <c r="DU91" s="59">
        <f t="shared" si="98"/>
        <v>292.57799203101769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24.572805994490416</v>
      </c>
      <c r="EB91" s="21">
        <f>EXP(-LN(2)/25)*EB90+(1-EXP(-LN(2)/25))/(LN(2)/25)*Calculateur!DW91*Calculateur!DY91*VLOOKUP('Données projet'!$B$14,Paramètres!$A$1:$I$89,3,0)*0.475*44/12</f>
        <v>6.6720470969662324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31.244853091456648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295.85897435897436</v>
      </c>
      <c r="L92" s="12">
        <f>VLOOKUP(A92,'Données projet'!$A$35:$I$55,9,0)</f>
        <v>7.4950142450142421</v>
      </c>
      <c r="M92" s="12">
        <f t="array" ref="M92">INDEX(L:L,MIN(IF(ISNUMBER(L92:L288),ROW(L92:L288),"")))</f>
        <v>7.4950142450142421</v>
      </c>
      <c r="N92" s="13">
        <f>IF('Données projet'!$A$36&gt;35,N91+M92-V91,IF(A92&lt;'Données projet'!$A$36,$K$205^A92,IF(A92='Données projet'!$A$36,'Données projet'!$B$36,N91+M92-V91)))</f>
        <v>295.85897435897465</v>
      </c>
      <c r="O92" s="13">
        <f>N92*VLOOKUP('Données projet'!$B$9,Paramètres!$A$1:$I$89,3,0)*VLOOKUP('Données projet'!$B$9,Paramètres!$A$1:$I$89,5,0)</f>
        <v>267.69320000000022</v>
      </c>
      <c r="P92" s="13">
        <f t="shared" si="87"/>
        <v>64.359463899490166</v>
      </c>
      <c r="Q92" s="20">
        <f t="shared" si="54"/>
        <v>578.32505629161233</v>
      </c>
      <c r="R92" s="59">
        <f t="shared" si="55"/>
        <v>871.65838962494558</v>
      </c>
      <c r="S92" s="59">
        <f ca="1">AVERAGE(OFFSET($R$3,0,0,'Données projet'!$E$9+1,1))-AVERAGE(OFFSET($H$3,0,0,'Données projet'!$E$9+1,1))</f>
        <v>384.05928630855732</v>
      </c>
      <c r="T92" s="59">
        <f t="shared" si="88"/>
        <v>279.93992813630513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49.391025641025635</v>
      </c>
      <c r="W92" s="16">
        <f>IF(ISNA(VLOOKUP(A92,'Données projet'!$A$35:$I$55,5,0)),0%,VLOOKUP(A92,'Données projet'!$A$35:$I$55,5,0)*VLOOKUP('Données projet'!$B$9,Paramètres!$A$1:$I$89,7,0))</f>
        <v>0.30099999999999999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42.284350076207964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42.284350076207964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7.172364672364675</v>
      </c>
      <c r="AI92" s="13">
        <f>IF('Données projet'!$A$62&gt;35,AI91+AH92-AQ91,IF(A92&lt;'Données projet'!$A$62,$AF$205^A92,IF(A92='Données projet'!$A$62,'Données projet'!$B$62,AI91+AH92-AQ91)))</f>
        <v>270.04558404558429</v>
      </c>
      <c r="AJ92" s="13">
        <f>AI92*VLOOKUP('Données projet'!$B$10,Paramètres!$A$1:$I$89,3,0)*VLOOKUP('Données projet'!$B$10,Paramètres!$A$1:$I$89,5,0)</f>
        <v>231.69911111111134</v>
      </c>
      <c r="AK92" s="13">
        <f t="shared" si="89"/>
        <v>56.649911553238972</v>
      </c>
      <c r="AL92" s="20">
        <f t="shared" si="58"/>
        <v>502.20788114041005</v>
      </c>
      <c r="AM92" s="59">
        <f t="shared" si="59"/>
        <v>795.54121447374337</v>
      </c>
      <c r="AN92" s="59">
        <f ca="1">AVERAGE(OFFSET($AM$3,0,0,'Données projet'!$E$10+1,1))-AVERAGE(OFFSET($H$3,0,0,'Données projet'!$E$10+1,1))</f>
        <v>335.02113791949211</v>
      </c>
      <c r="AO92" s="59">
        <f t="shared" si="90"/>
        <v>222.06886429435099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14.122976793405785</v>
      </c>
      <c r="AV92" s="21">
        <f>EXP(-LN(2)/25)*AV91+(1-EXP(-LN(2)/25))/(LN(2)/25)*Calculateur!AQ92*Calculateur!AS92*VLOOKUP('Données projet'!$B$10,Paramètres!$A$1:$I$89,3,0)*0.475*44/12</f>
        <v>22.634334404182027</v>
      </c>
      <c r="AW92" s="21">
        <f>EXP(-LN(2)/2)*AW91+(1-EXP(-LN(2)/2))/(LN(2)/2)*AQ92*AT92*VLOOKUP('Données projet'!$B$10,Paramètres!$A$1:$I$89,3,0)*0.475*44/12</f>
        <v>0.61065970864241692</v>
      </c>
      <c r="AX92" s="21">
        <f t="shared" si="60"/>
        <v>37.367970906230227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5.2606837606837598</v>
      </c>
      <c r="BD92" s="12">
        <f>IF('Données projet'!$A$88&gt;35,BD91+BC92-BL91,IF(A92&lt;'Données projet'!$A$88,$BA$205^A92,IF(A92='Données projet'!$A$88,'Données projet'!$B$88,BD91+BC92-BL91)))</f>
        <v>191.22649572649556</v>
      </c>
      <c r="BE92" s="13">
        <f>BD92*VLOOKUP('Données projet'!$B$11,Paramètres!$A$1:$I$89,3,0)*VLOOKUP('Données projet'!$B$11,Paramètres!$A$1:$I$89,5,0)</f>
        <v>184.95426666666651</v>
      </c>
      <c r="BF92" s="13">
        <f t="shared" si="91"/>
        <v>46.422671404016612</v>
      </c>
      <c r="BG92" s="20">
        <f t="shared" si="61"/>
        <v>402.98150047310645</v>
      </c>
      <c r="BH92" s="59">
        <f t="shared" si="62"/>
        <v>696.31483380643976</v>
      </c>
      <c r="BI92" s="59">
        <f ca="1">AVERAGE(OFFSET($BH$3,0,0,'Données projet'!$E$11+1,1))-AVERAGE(OFFSET($H$3,0,0,'Données projet'!$E$11+1,1))</f>
        <v>366.51581861366333</v>
      </c>
      <c r="BJ92" s="59">
        <f t="shared" si="92"/>
        <v>225.01415116995503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17.767167547124913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17.767167547124913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3.4</v>
      </c>
      <c r="BY92" s="12">
        <f>IF('Données projet'!$A$114&gt;35,BY91+BX92-CG91,IF(A92&lt;'Données projet'!$A$114,$BV$205^A92,IF(A92='Données projet'!$A$114,'Données projet'!$B$114,BY91+BX92-CG91)))</f>
        <v>213.60000000000016</v>
      </c>
      <c r="BZ92" s="13">
        <f>BY92*VLOOKUP('Données projet'!$B$12,Paramètres!$A$1:$I$89,3,0)*VLOOKUP('Données projet'!$B$12,Paramètres!$A$1:$I$89,5,0)</f>
        <v>139.9507200000001</v>
      </c>
      <c r="CA92" s="13">
        <f t="shared" si="93"/>
        <v>36.285715907711953</v>
      </c>
      <c r="CB92" s="20">
        <f t="shared" si="64"/>
        <v>306.94512587259851</v>
      </c>
      <c r="CC92" s="59">
        <f t="shared" si="65"/>
        <v>600.27845920593177</v>
      </c>
      <c r="CD92" s="59">
        <f ca="1">AVERAGE(OFFSET($CC$3,0,0,'Données projet'!$E$12+1,1))-AVERAGE(OFFSET($H$3,0,0,'Données projet'!$E$12+1,1))</f>
        <v>230.58262378842818</v>
      </c>
      <c r="CE92" s="59">
        <f t="shared" si="94"/>
        <v>235.68746142880792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1.5348174316083967</v>
      </c>
      <c r="CL92" s="21">
        <f>EXP(-LN(2)/25)*CL91+(1-EXP(-LN(2)/25))/(LN(2)/25)*Calculateur!CG92*Calculateur!CI92*VLOOKUP('Données projet'!$B$12,Paramètres!$A$1:$I$89,3,0)*0.475*44/12</f>
        <v>9.4329436621846963</v>
      </c>
      <c r="CM92" s="21">
        <f>EXP(-LN(2)/2)*CM91+(1-EXP(-LN(2)/2))/(LN(2)/2)*CG92*CJ92*VLOOKUP('Données projet'!$B$12,Paramètres!$A$1:$I$89,3,0)*0.475*44/12</f>
        <v>0.80059084114579993</v>
      </c>
      <c r="CN92" s="22">
        <f t="shared" si="66"/>
        <v>11.768351934938893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1.7053025658242404E-13</v>
      </c>
      <c r="CU92" s="17">
        <f>CT92*VLOOKUP('Données projet'!$B$13,Paramètres!$A$1:$I$89,3,0)*VLOOKUP('Données projet'!$B$13,Paramètres!$A$1:$I$89,5,0)</f>
        <v>1.3301360013429075E-13</v>
      </c>
      <c r="CV92" s="13">
        <f t="shared" si="95"/>
        <v>1.9329766731057041E-12</v>
      </c>
      <c r="CW92" s="20">
        <f t="shared" si="67"/>
        <v>3.5982663925596575E-12</v>
      </c>
      <c r="CX92" s="59">
        <f t="shared" si="68"/>
        <v>293.3333333333369</v>
      </c>
      <c r="CY92" s="59">
        <f ca="1">AVERAGE(OFFSET($CX$3,0,0,'Données projet'!$E$13+1,1))-AVERAGE(OFFSET($H$3,0,0,'Données projet'!$E$13+1,1))</f>
        <v>288.80569134263209</v>
      </c>
      <c r="CZ92" s="59">
        <f t="shared" si="96"/>
        <v>283.48738729114024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54.5988941273297</v>
      </c>
      <c r="DG92" s="21">
        <f>EXP(-LN(2)/25)*DG91+(1-EXP(-LN(2)/25))/(LN(2)/25)*Calculateur!DB92*Calculateur!DD92*VLOOKUP('Données projet'!$B$13,Paramètres!$A$1:$I$89,3,0)*0.475*44/12</f>
        <v>39.176093511550576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93.774987638880276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266.99999999999983</v>
      </c>
      <c r="DP92" s="17">
        <f>DO92*VLOOKUP('Données projet'!$B$14,Paramètres!$A$1:$I$89,3,0)*VLOOKUP('Données projet'!$B$14,Paramètres!$A$1:$I$89,5,0)</f>
        <v>212.42519999999985</v>
      </c>
      <c r="DQ92" s="13">
        <f t="shared" si="97"/>
        <v>52.465198231787184</v>
      </c>
      <c r="DR92" s="20">
        <f t="shared" si="70"/>
        <v>461.35077692036231</v>
      </c>
      <c r="DS92" s="59">
        <f t="shared" si="71"/>
        <v>754.68411025369562</v>
      </c>
      <c r="DT92" s="59">
        <f ca="1">AVERAGE(OFFSET($DS$3,0,0,'Données projet'!$E$14+1,1))-AVERAGE(OFFSET($H$3,0,0,'Données projet'!$E$14+1,1))</f>
        <v>299.10536994156814</v>
      </c>
      <c r="DU92" s="59">
        <f t="shared" si="98"/>
        <v>292.57799203101769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24.090948256870181</v>
      </c>
      <c r="EB92" s="21">
        <f>EXP(-LN(2)/25)*EB91+(1-EXP(-LN(2)/25))/(LN(2)/25)*Calculateur!DW92*Calculateur!DY92*VLOOKUP('Données projet'!$B$14,Paramètres!$A$1:$I$89,3,0)*0.475*44/12</f>
        <v>6.4895996182319831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30.580547875102162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7.1782051282051267</v>
      </c>
      <c r="N93" s="13">
        <f>IF('Données projet'!$A$36&gt;35,N92+M93-V92,IF(A93&lt;'Données projet'!$A$36,$K$205^A93,IF(A93='Données projet'!$A$36,'Données projet'!$B$36,N92+M93-V92)))</f>
        <v>253.64615384615416</v>
      </c>
      <c r="O93" s="13">
        <f>N93*VLOOKUP('Données projet'!$B$9,Paramètres!$A$1:$I$89,3,0)*VLOOKUP('Données projet'!$B$9,Paramètres!$A$1:$I$89,5,0)</f>
        <v>229.49904000000029</v>
      </c>
      <c r="P93" s="13">
        <f t="shared" si="87"/>
        <v>56.174348524497042</v>
      </c>
      <c r="Q93" s="20">
        <f t="shared" si="54"/>
        <v>497.54781834683286</v>
      </c>
      <c r="R93" s="59">
        <f t="shared" si="55"/>
        <v>790.88115168016611</v>
      </c>
      <c r="S93" s="59">
        <f ca="1">AVERAGE(OFFSET($R$3,0,0,'Données projet'!$E$9+1,1))-AVERAGE(OFFSET($H$3,0,0,'Données projet'!$E$9+1,1))</f>
        <v>384.05928630855732</v>
      </c>
      <c r="T93" s="59">
        <f t="shared" si="88"/>
        <v>279.93992813630513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41.45517976212043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41.45517976212043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277.21794871794873</v>
      </c>
      <c r="AG93" s="12">
        <f>VLOOKUP(A93,'Données projet'!$A$61:$I$81,9,0)</f>
        <v>7.172364672364675</v>
      </c>
      <c r="AH93" s="12">
        <f t="array" ref="AH93">INDEX(AG:AG,MIN(IF(ISNUMBER(AG93:AG289),ROW(AG93:AG289),"")))</f>
        <v>7.172364672364675</v>
      </c>
      <c r="AI93" s="13">
        <f>IF('Données projet'!$A$62&gt;35,AI92+AH93-AQ92,IF(A93&lt;'Données projet'!$A$62,$AF$205^A93,IF(A93='Données projet'!$A$62,'Données projet'!$B$62,AI92+AH93-AQ92)))</f>
        <v>277.21794871794896</v>
      </c>
      <c r="AJ93" s="13">
        <f>AI93*VLOOKUP('Données projet'!$B$10,Paramètres!$A$1:$I$89,3,0)*VLOOKUP('Données projet'!$B$10,Paramètres!$A$1:$I$89,5,0)</f>
        <v>237.85300000000024</v>
      </c>
      <c r="AK93" s="13">
        <f t="shared" si="89"/>
        <v>57.977351662259011</v>
      </c>
      <c r="AL93" s="20">
        <f t="shared" si="58"/>
        <v>515.23786247843486</v>
      </c>
      <c r="AM93" s="59">
        <f t="shared" si="59"/>
        <v>808.57119581176812</v>
      </c>
      <c r="AN93" s="59">
        <f ca="1">AVERAGE(OFFSET($AM$3,0,0,'Données projet'!$E$10+1,1))-AVERAGE(OFFSET($H$3,0,0,'Données projet'!$E$10+1,1))</f>
        <v>335.02113791949211</v>
      </c>
      <c r="AO93" s="59">
        <f t="shared" si="90"/>
        <v>222.06886429435099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52.782051282051285</v>
      </c>
      <c r="AR93" s="16">
        <f>IF(ISNA(VLOOKUP(A93,'Données projet'!$A$61:$I$81,5,0)),0%,VLOOKUP(A93,'Données projet'!$A$61:$I$81,5,0)*VLOOKUP('Données projet'!$B$10,Paramètres!$A$1:$I$89,7,0))</f>
        <v>0.1855</v>
      </c>
      <c r="AS93" s="16">
        <f>IF(ISNA(VLOOKUP(A93,'Données projet'!$A$61:$I$81,6,0)),0%,VLOOKUP(A93,'Données projet'!$A$61:$I$81,6,0)*VLOOKUP('Données projet'!$B$10,Paramètres!$A$1:$I$89,7,0))</f>
        <v>0.1855</v>
      </c>
      <c r="AT93" s="16">
        <f>IF(ISNA(VLOOKUP(A93,'Données projet'!$A$61:$I$81,7,0)),0%,VLOOKUP(A93,'Données projet'!$A$61:$I$81,7,0))</f>
        <v>0.2</v>
      </c>
      <c r="AU93" s="21">
        <f>EXP(-LN(2)/35)*AU92+(1-EXP(-LN(2)/35))/(LN(2)/35)*AQ93*AR93*VLOOKUP('Données projet'!$B$10,Paramètres!$A$1:$I$89,3,0)*0.475*44/12</f>
        <v>23.132801410604429</v>
      </c>
      <c r="AV93" s="21">
        <f>EXP(-LN(2)/25)*AV92+(1-EXP(-LN(2)/25))/(LN(2)/25)*Calculateur!AQ93*Calculateur!AS93*VLOOKUP('Données projet'!$B$10,Paramètres!$A$1:$I$89,3,0)*0.475*44/12</f>
        <v>31.265599375073563</v>
      </c>
      <c r="AW93" s="21">
        <f>EXP(-LN(2)/2)*AW92+(1-EXP(-LN(2)/2))/(LN(2)/2)*AQ93*AT93*VLOOKUP('Données projet'!$B$10,Paramètres!$A$1:$I$89,3,0)*0.475*44/12</f>
        <v>8.9777022973252993</v>
      </c>
      <c r="AX93" s="21">
        <f t="shared" si="60"/>
        <v>63.376103083003294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5.2606837606837598</v>
      </c>
      <c r="BD93" s="12">
        <f>IF('Données projet'!$A$88&gt;35,BD92+BC93-BL92,IF(A93&lt;'Données projet'!$A$88,$BA$205^A93,IF(A93='Données projet'!$A$88,'Données projet'!$B$88,BD92+BC93-BL92)))</f>
        <v>196.4871794871793</v>
      </c>
      <c r="BE93" s="13">
        <f>BD93*VLOOKUP('Données projet'!$B$11,Paramètres!$A$1:$I$89,3,0)*VLOOKUP('Données projet'!$B$11,Paramètres!$A$1:$I$89,5,0)</f>
        <v>190.04239999999982</v>
      </c>
      <c r="BF93" s="13">
        <f t="shared" si="91"/>
        <v>47.54932676748583</v>
      </c>
      <c r="BG93" s="20">
        <f t="shared" si="61"/>
        <v>413.80559078670422</v>
      </c>
      <c r="BH93" s="59">
        <f t="shared" si="62"/>
        <v>707.13892412003747</v>
      </c>
      <c r="BI93" s="59">
        <f ca="1">AVERAGE(OFFSET($BH$3,0,0,'Données projet'!$E$11+1,1))-AVERAGE(OFFSET($H$3,0,0,'Données projet'!$E$11+1,1))</f>
        <v>366.51581861366333</v>
      </c>
      <c r="BJ93" s="59">
        <f t="shared" si="92"/>
        <v>225.01415116995503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17.418764228427943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17.418764228427943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217</v>
      </c>
      <c r="BW93" s="12">
        <f>VLOOKUP(A93,'Données projet'!$A$113:$I$133,9,0)</f>
        <v>3.4</v>
      </c>
      <c r="BX93" s="12">
        <f t="array" ref="BX93">INDEX(BW:BW,MIN(IF(ISNUMBER(BW93:BW289),ROW(BW93:BW289),"")))</f>
        <v>3.4</v>
      </c>
      <c r="BY93" s="12">
        <f>IF('Données projet'!$A$114&gt;35,BY92+BX93-CG92,IF(A93&lt;'Données projet'!$A$114,$BV$205^A93,IF(A93='Données projet'!$A$114,'Données projet'!$B$114,BY92+BX93-CG92)))</f>
        <v>217.00000000000017</v>
      </c>
      <c r="BZ93" s="13">
        <f>BY93*VLOOKUP('Données projet'!$B$12,Paramètres!$A$1:$I$89,3,0)*VLOOKUP('Données projet'!$B$12,Paramètres!$A$1:$I$89,5,0)</f>
        <v>142.17840000000012</v>
      </c>
      <c r="CA93" s="13">
        <f t="shared" si="93"/>
        <v>36.795597013009385</v>
      </c>
      <c r="CB93" s="20">
        <f t="shared" si="64"/>
        <v>311.71304479765826</v>
      </c>
      <c r="CC93" s="59">
        <f t="shared" si="65"/>
        <v>605.04637813099157</v>
      </c>
      <c r="CD93" s="59">
        <f ca="1">AVERAGE(OFFSET($CC$3,0,0,'Données projet'!$E$12+1,1))-AVERAGE(OFFSET($H$3,0,0,'Données projet'!$E$12+1,1))</f>
        <v>230.58262378842818</v>
      </c>
      <c r="CE93" s="59">
        <f t="shared" si="94"/>
        <v>235.68746142880792</v>
      </c>
      <c r="CF93" s="15">
        <f>IF(ISNA(VLOOKUP(A93,'Données projet'!$A$113:$I$133,3,0)),0,VLOOKUP(A93,'Données projet'!$A$113:$I$133,3,0))</f>
        <v>17</v>
      </c>
      <c r="CG93" s="15">
        <f>IF(ISNA(VLOOKUP(A93,'Données projet'!$A$113:$I$133,4,0)),0,VLOOKUP(A93,'Données projet'!$A$113:$I$133,4,0))</f>
        <v>13</v>
      </c>
      <c r="CH93" s="16">
        <f>IF(ISNA(VLOOKUP(A93,'Données projet'!$A$113:$I$133,5,0)),0%,VLOOKUP(A93,'Données projet'!$A$113:$I$133,5,0)*VLOOKUP('Données projet'!$B$12,Paramètres!$A$1:$I$89,7,0))</f>
        <v>4.3000000000000003E-2</v>
      </c>
      <c r="CI93" s="16">
        <f>IF(ISNA(VLOOKUP(A93,'Données projet'!$A$113:$I$133,6,0)),0%,VLOOKUP(A93,'Données projet'!$A$113:$I$133,6,0)*VLOOKUP('Données projet'!$B$12,Paramètres!$A$1:$I$89,7,0))</f>
        <v>0.17200000000000001</v>
      </c>
      <c r="CJ93" s="16">
        <f>IF(ISNA(VLOOKUP(A93,'Données projet'!$A$113:$I$133,7,0)),0%,VLOOKUP(A93,'Données projet'!$A$113:$I$133,7,0))</f>
        <v>0.3</v>
      </c>
      <c r="CK93" s="21">
        <f>EXP(-LN(2)/35)*CK92+(1-EXP(-LN(2)/35))/(LN(2)/35)*CG93*CH93*VLOOKUP('Données projet'!$B$12,Paramètres!$A$1:$I$89,3,0)*0.475*44/12</f>
        <v>1.9096066416232764</v>
      </c>
      <c r="CL93" s="21">
        <f>EXP(-LN(2)/25)*CL92+(1-EXP(-LN(2)/25))/(LN(2)/25)*Calculateur!CG93*Calculateur!CI93*VLOOKUP('Données projet'!$B$12,Paramètres!$A$1:$I$89,3,0)*0.475*44/12</f>
        <v>10.788166733984465</v>
      </c>
      <c r="CM93" s="21">
        <f>EXP(-LN(2)/2)*CM92+(1-EXP(-LN(2)/2))/(LN(2)/2)*CG93*CJ93*VLOOKUP('Données projet'!$B$12,Paramètres!$A$1:$I$89,3,0)*0.475*44/12</f>
        <v>2.9770786670828935</v>
      </c>
      <c r="CN93" s="22">
        <f t="shared" si="66"/>
        <v>15.674852042690635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1.7053025658242404E-13</v>
      </c>
      <c r="CU93" s="17">
        <f>CT93*VLOOKUP('Données projet'!$B$13,Paramètres!$A$1:$I$89,3,0)*VLOOKUP('Données projet'!$B$13,Paramètres!$A$1:$I$89,5,0)</f>
        <v>1.3301360013429075E-13</v>
      </c>
      <c r="CV93" s="13">
        <f t="shared" si="95"/>
        <v>1.9329766731057041E-12</v>
      </c>
      <c r="CW93" s="20">
        <f t="shared" si="67"/>
        <v>3.5982663925596575E-12</v>
      </c>
      <c r="CX93" s="59">
        <f t="shared" si="68"/>
        <v>293.3333333333369</v>
      </c>
      <c r="CY93" s="59">
        <f ca="1">AVERAGE(OFFSET($CX$3,0,0,'Données projet'!$E$13+1,1))-AVERAGE(OFFSET($H$3,0,0,'Données projet'!$E$13+1,1))</f>
        <v>288.80569134263209</v>
      </c>
      <c r="CZ93" s="59">
        <f t="shared" si="96"/>
        <v>283.48738729114024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53.528243115529882</v>
      </c>
      <c r="DG93" s="21">
        <f>EXP(-LN(2)/25)*DG92+(1-EXP(-LN(2)/25))/(LN(2)/25)*Calculateur!DB93*Calculateur!DD93*VLOOKUP('Données projet'!$B$13,Paramètres!$A$1:$I$89,3,0)*0.475*44/12</f>
        <v>38.104821174296006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91.633064289825882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266.99999999999983</v>
      </c>
      <c r="DP93" s="17">
        <f>DO93*VLOOKUP('Données projet'!$B$14,Paramètres!$A$1:$I$89,3,0)*VLOOKUP('Données projet'!$B$14,Paramètres!$A$1:$I$89,5,0)</f>
        <v>212.42519999999985</v>
      </c>
      <c r="DQ93" s="13">
        <f t="shared" si="97"/>
        <v>52.465198231787184</v>
      </c>
      <c r="DR93" s="20">
        <f t="shared" si="70"/>
        <v>461.35077692036231</v>
      </c>
      <c r="DS93" s="59">
        <f t="shared" si="71"/>
        <v>754.68411025369562</v>
      </c>
      <c r="DT93" s="59">
        <f ca="1">AVERAGE(OFFSET($DS$3,0,0,'Données projet'!$E$14+1,1))-AVERAGE(OFFSET($H$3,0,0,'Données projet'!$E$14+1,1))</f>
        <v>299.10536994156814</v>
      </c>
      <c r="DU93" s="59">
        <f t="shared" si="98"/>
        <v>292.57799203101769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23.618539455580478</v>
      </c>
      <c r="EB93" s="21">
        <f>EXP(-LN(2)/25)*EB92+(1-EXP(-LN(2)/25))/(LN(2)/25)*Calculateur!DW93*Calculateur!DY93*VLOOKUP('Données projet'!$B$14,Paramètres!$A$1:$I$89,3,0)*0.475*44/12</f>
        <v>6.3121411753982182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29.930680630978696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7.1782051282051267</v>
      </c>
      <c r="N94" s="13">
        <f>IF('Données projet'!$A$36&gt;35,N93+M94-V93,IF(A94&lt;'Données projet'!$A$36,$K$205^A94,IF(A94='Données projet'!$A$36,'Données projet'!$B$36,N93+M94-V93)))</f>
        <v>260.82435897435931</v>
      </c>
      <c r="O94" s="13">
        <f>N94*VLOOKUP('Données projet'!$B$9,Paramètres!$A$1:$I$89,3,0)*VLOOKUP('Données projet'!$B$9,Paramètres!$A$1:$I$89,5,0)</f>
        <v>235.99388000000027</v>
      </c>
      <c r="P94" s="13">
        <f t="shared" si="87"/>
        <v>57.57675164364376</v>
      </c>
      <c r="Q94" s="20">
        <f t="shared" si="54"/>
        <v>511.30218344601343</v>
      </c>
      <c r="R94" s="59">
        <f t="shared" si="55"/>
        <v>804.63551677934674</v>
      </c>
      <c r="S94" s="59">
        <f ca="1">AVERAGE(OFFSET($R$3,0,0,'Données projet'!$E$9+1,1))-AVERAGE(OFFSET($H$3,0,0,'Données projet'!$E$9+1,1))</f>
        <v>384.05928630855732</v>
      </c>
      <c r="T94" s="59">
        <f t="shared" si="88"/>
        <v>279.93992813630513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40.642268972148202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40.642268972148202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6.4031339031338979</v>
      </c>
      <c r="AI94" s="13">
        <f>IF('Données projet'!$A$62&gt;35,AI93+AH94-AQ93,IF(A94&lt;'Données projet'!$A$62,$AF$205^A94,IF(A94='Données projet'!$A$62,'Données projet'!$B$62,AI93+AH94-AQ93)))</f>
        <v>230.83903133903158</v>
      </c>
      <c r="AJ94" s="13">
        <f>AI94*VLOOKUP('Données projet'!$B$10,Paramètres!$A$1:$I$89,3,0)*VLOOKUP('Données projet'!$B$10,Paramètres!$A$1:$I$89,5,0)</f>
        <v>198.05988888888913</v>
      </c>
      <c r="AK94" s="13">
        <f t="shared" si="89"/>
        <v>49.317548429963487</v>
      </c>
      <c r="AL94" s="20">
        <f t="shared" si="58"/>
        <v>430.8490366636683</v>
      </c>
      <c r="AM94" s="59">
        <f t="shared" si="59"/>
        <v>724.18236999700162</v>
      </c>
      <c r="AN94" s="59">
        <f ca="1">AVERAGE(OFFSET($AM$3,0,0,'Données projet'!$E$10+1,1))-AVERAGE(OFFSET($H$3,0,0,'Données projet'!$E$10+1,1))</f>
        <v>335.02113791949211</v>
      </c>
      <c r="AO94" s="59">
        <f t="shared" si="90"/>
        <v>222.06886429435099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22.67918128455813</v>
      </c>
      <c r="AV94" s="21">
        <f>EXP(-LN(2)/25)*AV93+(1-EXP(-LN(2)/25))/(LN(2)/25)*Calculateur!AQ94*Calculateur!AS94*VLOOKUP('Données projet'!$B$10,Paramètres!$A$1:$I$89,3,0)*0.475*44/12</f>
        <v>30.410639915975764</v>
      </c>
      <c r="AW94" s="21">
        <f>EXP(-LN(2)/2)*AW93+(1-EXP(-LN(2)/2))/(LN(2)/2)*AQ94*AT94*VLOOKUP('Données projet'!$B$10,Paramètres!$A$1:$I$89,3,0)*0.475*44/12</f>
        <v>6.3481941739127663</v>
      </c>
      <c r="AX94" s="21">
        <f t="shared" si="60"/>
        <v>59.438015374446657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5.2606837606837598</v>
      </c>
      <c r="BD94" s="12">
        <f>IF('Données projet'!$A$88&gt;35,BD93+BC94-BL93,IF(A94&lt;'Données projet'!$A$88,$BA$205^A94,IF(A94='Données projet'!$A$88,'Données projet'!$B$88,BD93+BC94-BL93)))</f>
        <v>201.74786324786305</v>
      </c>
      <c r="BE94" s="13">
        <f>BD94*VLOOKUP('Données projet'!$B$11,Paramètres!$A$1:$I$89,3,0)*VLOOKUP('Données projet'!$B$11,Paramètres!$A$1:$I$89,5,0)</f>
        <v>195.13053333333315</v>
      </c>
      <c r="BF94" s="13">
        <f t="shared" si="91"/>
        <v>48.672475982305059</v>
      </c>
      <c r="BG94" s="20">
        <f t="shared" si="61"/>
        <v>424.62357455806983</v>
      </c>
      <c r="BH94" s="59">
        <f t="shared" si="62"/>
        <v>717.95690789140315</v>
      </c>
      <c r="BI94" s="59">
        <f ca="1">AVERAGE(OFFSET($BH$3,0,0,'Données projet'!$E$11+1,1))-AVERAGE(OFFSET($H$3,0,0,'Données projet'!$E$11+1,1))</f>
        <v>366.51581861366333</v>
      </c>
      <c r="BJ94" s="59">
        <f t="shared" si="92"/>
        <v>225.01415116995503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17.077192886305578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17.077192886305578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204.00000000000017</v>
      </c>
      <c r="BZ94" s="13">
        <f>BY94*VLOOKUP('Données projet'!$B$12,Paramètres!$A$1:$I$89,3,0)*VLOOKUP('Données projet'!$B$12,Paramètres!$A$1:$I$89,5,0)</f>
        <v>133.66080000000011</v>
      </c>
      <c r="CA94" s="13">
        <f t="shared" si="93"/>
        <v>34.840890682716783</v>
      </c>
      <c r="CB94" s="20">
        <f t="shared" si="64"/>
        <v>293.4737779390652</v>
      </c>
      <c r="CC94" s="59">
        <f t="shared" si="65"/>
        <v>586.80711127239852</v>
      </c>
      <c r="CD94" s="59">
        <f ca="1">AVERAGE(OFFSET($CC$3,0,0,'Données projet'!$E$12+1,1))-AVERAGE(OFFSET($H$3,0,0,'Données projet'!$E$12+1,1))</f>
        <v>230.58262378842818</v>
      </c>
      <c r="CE94" s="59">
        <f t="shared" si="94"/>
        <v>235.68746142880792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1.8721604201260864</v>
      </c>
      <c r="CL94" s="21">
        <f>EXP(-LN(2)/25)*CL93+(1-EXP(-LN(2)/25))/(LN(2)/25)*Calculateur!CG94*Calculateur!CI94*VLOOKUP('Données projet'!$B$12,Paramètres!$A$1:$I$89,3,0)*0.475*44/12</f>
        <v>10.493163747318627</v>
      </c>
      <c r="CM94" s="21">
        <f>EXP(-LN(2)/2)*CM93+(1-EXP(-LN(2)/2))/(LN(2)/2)*CG94*CJ94*VLOOKUP('Données projet'!$B$12,Paramètres!$A$1:$I$89,3,0)*0.475*44/12</f>
        <v>2.1051125136201221</v>
      </c>
      <c r="CN94" s="22">
        <f t="shared" si="66"/>
        <v>14.470436681064836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1.7053025658242404E-13</v>
      </c>
      <c r="CU94" s="17">
        <f>CT94*VLOOKUP('Données projet'!$B$13,Paramètres!$A$1:$I$89,3,0)*VLOOKUP('Données projet'!$B$13,Paramètres!$A$1:$I$89,5,0)</f>
        <v>1.3301360013429075E-13</v>
      </c>
      <c r="CV94" s="13">
        <f t="shared" si="95"/>
        <v>1.9329766731057041E-12</v>
      </c>
      <c r="CW94" s="20">
        <f t="shared" si="67"/>
        <v>3.5982663925596575E-12</v>
      </c>
      <c r="CX94" s="59">
        <f t="shared" si="68"/>
        <v>293.3333333333369</v>
      </c>
      <c r="CY94" s="59">
        <f ca="1">AVERAGE(OFFSET($CX$3,0,0,'Données projet'!$E$13+1,1))-AVERAGE(OFFSET($H$3,0,0,'Données projet'!$E$13+1,1))</f>
        <v>288.80569134263209</v>
      </c>
      <c r="CZ94" s="59">
        <f t="shared" si="96"/>
        <v>283.48738729114024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52.478586917038818</v>
      </c>
      <c r="DG94" s="21">
        <f>EXP(-LN(2)/25)*DG93+(1-EXP(-LN(2)/25))/(LN(2)/25)*Calculateur!DB94*Calculateur!DD94*VLOOKUP('Données projet'!$B$13,Paramètres!$A$1:$I$89,3,0)*0.475*44/12</f>
        <v>37.062842835439426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89.541429752478251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266.99999999999983</v>
      </c>
      <c r="DP94" s="17">
        <f>DO94*VLOOKUP('Données projet'!$B$14,Paramètres!$A$1:$I$89,3,0)*VLOOKUP('Données projet'!$B$14,Paramètres!$A$1:$I$89,5,0)</f>
        <v>212.42519999999985</v>
      </c>
      <c r="DQ94" s="13">
        <f t="shared" si="97"/>
        <v>52.465198231787184</v>
      </c>
      <c r="DR94" s="20">
        <f t="shared" si="70"/>
        <v>461.35077692036231</v>
      </c>
      <c r="DS94" s="59">
        <f t="shared" si="71"/>
        <v>754.68411025369562</v>
      </c>
      <c r="DT94" s="59">
        <f ca="1">AVERAGE(OFFSET($DS$3,0,0,'Données projet'!$E$14+1,1))-AVERAGE(OFFSET($H$3,0,0,'Données projet'!$E$14+1,1))</f>
        <v>299.10536994156814</v>
      </c>
      <c r="DU94" s="59">
        <f t="shared" si="98"/>
        <v>292.57799203101769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23.155394302743151</v>
      </c>
      <c r="EB94" s="21">
        <f>EXP(-LN(2)/25)*EB93+(1-EXP(-LN(2)/25))/(LN(2)/25)*Calculateur!DW94*Calculateur!DY94*VLOOKUP('Données projet'!$B$14,Paramètres!$A$1:$I$89,3,0)*0.475*44/12</f>
        <v>6.1395353430158757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29.294929645759026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7.1782051282051267</v>
      </c>
      <c r="N95" s="13">
        <f>IF('Données projet'!$A$36&gt;35,N94+M95-V94,IF(A95&lt;'Données projet'!$A$36,$K$205^A95,IF(A95='Données projet'!$A$36,'Données projet'!$B$36,N94+M95-V94)))</f>
        <v>268.00256410256446</v>
      </c>
      <c r="O95" s="13">
        <f>N95*VLOOKUP('Données projet'!$B$9,Paramètres!$A$1:$I$89,3,0)*VLOOKUP('Données projet'!$B$9,Paramètres!$A$1:$I$89,5,0)</f>
        <v>242.48872000000031</v>
      </c>
      <c r="P95" s="13">
        <f t="shared" si="87"/>
        <v>58.974668795914049</v>
      </c>
      <c r="Q95" s="20">
        <f t="shared" si="54"/>
        <v>525.04873548621742</v>
      </c>
      <c r="R95" s="59">
        <f t="shared" si="55"/>
        <v>818.3820688195508</v>
      </c>
      <c r="S95" s="59">
        <f ca="1">AVERAGE(OFFSET($R$3,0,0,'Données projet'!$E$9+1,1))-AVERAGE(OFFSET($H$3,0,0,'Données projet'!$E$9+1,1))</f>
        <v>384.05928630855732</v>
      </c>
      <c r="T95" s="59">
        <f t="shared" si="88"/>
        <v>279.93992813630513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39.845298866940702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39.845298866940702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6.4031339031338979</v>
      </c>
      <c r="AI95" s="13">
        <f>IF('Données projet'!$A$62&gt;35,AI94+AH95-AQ94,IF(A95&lt;'Données projet'!$A$62,$AF$205^A95,IF(A95='Données projet'!$A$62,'Données projet'!$B$62,AI94+AH95-AQ94)))</f>
        <v>237.24216524216547</v>
      </c>
      <c r="AJ95" s="13">
        <f>AI95*VLOOKUP('Données projet'!$B$10,Paramètres!$A$1:$I$89,3,0)*VLOOKUP('Données projet'!$B$10,Paramètres!$A$1:$I$89,5,0)</f>
        <v>203.55377777777798</v>
      </c>
      <c r="AK95" s="13">
        <f t="shared" si="89"/>
        <v>50.524378125989195</v>
      </c>
      <c r="AL95" s="20">
        <f t="shared" si="58"/>
        <v>442.51945486572777</v>
      </c>
      <c r="AM95" s="59">
        <f t="shared" si="59"/>
        <v>735.85278819906102</v>
      </c>
      <c r="AN95" s="59">
        <f ca="1">AVERAGE(OFFSET($AM$3,0,0,'Données projet'!$E$10+1,1))-AVERAGE(OFFSET($H$3,0,0,'Données projet'!$E$10+1,1))</f>
        <v>335.02113791949211</v>
      </c>
      <c r="AO95" s="59">
        <f t="shared" si="90"/>
        <v>222.06886429435099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22.234456372502638</v>
      </c>
      <c r="AV95" s="21">
        <f>EXP(-LN(2)/25)*AV94+(1-EXP(-LN(2)/25))/(LN(2)/25)*Calculateur!AQ95*Calculateur!AS95*VLOOKUP('Données projet'!$B$10,Paramètres!$A$1:$I$89,3,0)*0.475*44/12</f>
        <v>29.579059368247357</v>
      </c>
      <c r="AW95" s="21">
        <f>EXP(-LN(2)/2)*AW94+(1-EXP(-LN(2)/2))/(LN(2)/2)*AQ95*AT95*VLOOKUP('Données projet'!$B$10,Paramètres!$A$1:$I$89,3,0)*0.475*44/12</f>
        <v>4.4888511486626506</v>
      </c>
      <c r="AX95" s="21">
        <f t="shared" si="60"/>
        <v>56.302366889412639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5.2606837606837598</v>
      </c>
      <c r="BD95" s="12">
        <f>IF('Données projet'!$A$88&gt;35,BD94+BC95-BL94,IF(A95&lt;'Données projet'!$A$88,$BA$205^A95,IF(A95='Données projet'!$A$88,'Données projet'!$B$88,BD94+BC95-BL94)))</f>
        <v>207.0085470085468</v>
      </c>
      <c r="BE95" s="13">
        <f>BD95*VLOOKUP('Données projet'!$B$11,Paramètres!$A$1:$I$89,3,0)*VLOOKUP('Données projet'!$B$11,Paramètres!$A$1:$I$89,5,0)</f>
        <v>200.21866666666645</v>
      </c>
      <c r="BF95" s="13">
        <f t="shared" si="91"/>
        <v>49.792220983658822</v>
      </c>
      <c r="BG95" s="20">
        <f t="shared" si="61"/>
        <v>435.43562932431655</v>
      </c>
      <c r="BH95" s="59">
        <f t="shared" si="62"/>
        <v>728.76896265764981</v>
      </c>
      <c r="BI95" s="59">
        <f ca="1">AVERAGE(OFFSET($BH$3,0,0,'Données projet'!$E$11+1,1))-AVERAGE(OFFSET($H$3,0,0,'Données projet'!$E$11+1,1))</f>
        <v>366.51581861366333</v>
      </c>
      <c r="BJ95" s="59">
        <f t="shared" si="92"/>
        <v>225.01415116995503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16.742319549864288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16.742319549864288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204.00000000000017</v>
      </c>
      <c r="BZ95" s="13">
        <f>BY95*VLOOKUP('Données projet'!$B$12,Paramètres!$A$1:$I$89,3,0)*VLOOKUP('Données projet'!$B$12,Paramètres!$A$1:$I$89,5,0)</f>
        <v>133.66080000000011</v>
      </c>
      <c r="CA95" s="13">
        <f t="shared" si="93"/>
        <v>34.840890682716783</v>
      </c>
      <c r="CB95" s="20">
        <f t="shared" si="64"/>
        <v>293.4737779390652</v>
      </c>
      <c r="CC95" s="59">
        <f t="shared" si="65"/>
        <v>586.80711127239852</v>
      </c>
      <c r="CD95" s="59">
        <f ca="1">AVERAGE(OFFSET($CC$3,0,0,'Données projet'!$E$12+1,1))-AVERAGE(OFFSET($H$3,0,0,'Données projet'!$E$12+1,1))</f>
        <v>230.58262378842818</v>
      </c>
      <c r="CE95" s="59">
        <f t="shared" si="94"/>
        <v>235.68746142880792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1.8354484961925164</v>
      </c>
      <c r="CL95" s="21">
        <f>EXP(-LN(2)/25)*CL94+(1-EXP(-LN(2)/25))/(LN(2)/25)*Calculateur!CG95*Calculateur!CI95*VLOOKUP('Données projet'!$B$12,Paramètres!$A$1:$I$89,3,0)*0.475*44/12</f>
        <v>10.206227632836701</v>
      </c>
      <c r="CM95" s="21">
        <f>EXP(-LN(2)/2)*CM94+(1-EXP(-LN(2)/2))/(LN(2)/2)*CG95*CJ95*VLOOKUP('Données projet'!$B$12,Paramètres!$A$1:$I$89,3,0)*0.475*44/12</f>
        <v>1.4885393335414467</v>
      </c>
      <c r="CN95" s="22">
        <f t="shared" si="66"/>
        <v>13.530215462570663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1.7053025658242404E-13</v>
      </c>
      <c r="CU95" s="17">
        <f>CT95*VLOOKUP('Données projet'!$B$13,Paramètres!$A$1:$I$89,3,0)*VLOOKUP('Données projet'!$B$13,Paramètres!$A$1:$I$89,5,0)</f>
        <v>1.3301360013429075E-13</v>
      </c>
      <c r="CV95" s="13">
        <f t="shared" si="95"/>
        <v>1.9329766731057041E-12</v>
      </c>
      <c r="CW95" s="20">
        <f t="shared" si="67"/>
        <v>3.5982663925596575E-12</v>
      </c>
      <c r="CX95" s="59">
        <f t="shared" si="68"/>
        <v>293.3333333333369</v>
      </c>
      <c r="CY95" s="59">
        <f ca="1">AVERAGE(OFFSET($CX$3,0,0,'Données projet'!$E$13+1,1))-AVERAGE(OFFSET($H$3,0,0,'Données projet'!$E$13+1,1))</f>
        <v>288.80569134263209</v>
      </c>
      <c r="CZ95" s="59">
        <f t="shared" si="96"/>
        <v>283.48738729114024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51.4495138363731</v>
      </c>
      <c r="DG95" s="21">
        <f>EXP(-LN(2)/25)*DG94+(1-EXP(-LN(2)/25))/(LN(2)/25)*Calculateur!DB95*Calculateur!DD95*VLOOKUP('Données projet'!$B$13,Paramètres!$A$1:$I$89,3,0)*0.475*44/12</f>
        <v>36.049357449054135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87.498871285427242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266.99999999999983</v>
      </c>
      <c r="DP95" s="17">
        <f>DO95*VLOOKUP('Données projet'!$B$14,Paramètres!$A$1:$I$89,3,0)*VLOOKUP('Données projet'!$B$14,Paramètres!$A$1:$I$89,5,0)</f>
        <v>212.42519999999985</v>
      </c>
      <c r="DQ95" s="13">
        <f t="shared" si="97"/>
        <v>52.465198231787184</v>
      </c>
      <c r="DR95" s="20">
        <f t="shared" si="70"/>
        <v>461.35077692036231</v>
      </c>
      <c r="DS95" s="59">
        <f t="shared" si="71"/>
        <v>754.68411025369562</v>
      </c>
      <c r="DT95" s="59">
        <f ca="1">AVERAGE(OFFSET($DS$3,0,0,'Données projet'!$E$14+1,1))-AVERAGE(OFFSET($H$3,0,0,'Données projet'!$E$14+1,1))</f>
        <v>299.10536994156814</v>
      </c>
      <c r="DU95" s="59">
        <f t="shared" si="98"/>
        <v>292.57799203101769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22.701331143862312</v>
      </c>
      <c r="EB95" s="21">
        <f>EXP(-LN(2)/25)*EB94+(1-EXP(-LN(2)/25))/(LN(2)/25)*Calculateur!DW95*Calculateur!DY95*VLOOKUP('Données projet'!$B$14,Paramètres!$A$1:$I$89,3,0)*0.475*44/12</f>
        <v>5.9716494261969748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28.672980570059288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7.1782051282051267</v>
      </c>
      <c r="N96" s="13">
        <f>IF('Données projet'!$A$36&gt;35,N95+M96-V95,IF(A96&lt;'Données projet'!$A$36,$K$205^A96,IF(A96='Données projet'!$A$36,'Données projet'!$B$36,N95+M96-V95)))</f>
        <v>275.18076923076961</v>
      </c>
      <c r="O96" s="13">
        <f>N96*VLOOKUP('Données projet'!$B$9,Paramètres!$A$1:$I$89,3,0)*VLOOKUP('Données projet'!$B$9,Paramètres!$A$1:$I$89,5,0)</f>
        <v>248.98356000000032</v>
      </c>
      <c r="P96" s="13">
        <f t="shared" si="87"/>
        <v>60.368233943158614</v>
      </c>
      <c r="Q96" s="20">
        <f t="shared" si="54"/>
        <v>538.78770778433511</v>
      </c>
      <c r="R96" s="59">
        <f t="shared" si="55"/>
        <v>832.12104111766848</v>
      </c>
      <c r="S96" s="59">
        <f ca="1">AVERAGE(OFFSET($R$3,0,0,'Données projet'!$E$9+1,1))-AVERAGE(OFFSET($H$3,0,0,'Données projet'!$E$9+1,1))</f>
        <v>384.05928630855732</v>
      </c>
      <c r="T96" s="59">
        <f t="shared" si="88"/>
        <v>279.93992813630513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39.063956859392562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39.063956859392562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6.4031339031338979</v>
      </c>
      <c r="AI96" s="13">
        <f>IF('Données projet'!$A$62&gt;35,AI95+AH96-AQ95,IF(A96&lt;'Données projet'!$A$62,$AF$205^A96,IF(A96='Données projet'!$A$62,'Données projet'!$B$62,AI95+AH96-AQ95)))</f>
        <v>243.64529914529936</v>
      </c>
      <c r="AJ96" s="13">
        <f>AI96*VLOOKUP('Données projet'!$B$10,Paramètres!$A$1:$I$89,3,0)*VLOOKUP('Données projet'!$B$10,Paramètres!$A$1:$I$89,5,0)</f>
        <v>209.04766666666688</v>
      </c>
      <c r="AK96" s="13">
        <f t="shared" si="89"/>
        <v>51.72742188504369</v>
      </c>
      <c r="AL96" s="20">
        <f t="shared" si="58"/>
        <v>454.18327922756254</v>
      </c>
      <c r="AM96" s="59">
        <f t="shared" si="59"/>
        <v>747.51661256089585</v>
      </c>
      <c r="AN96" s="59">
        <f ca="1">AVERAGE(OFFSET($AM$3,0,0,'Données projet'!$E$10+1,1))-AVERAGE(OFFSET($H$3,0,0,'Données projet'!$E$10+1,1))</f>
        <v>335.02113791949211</v>
      </c>
      <c r="AO96" s="59">
        <f t="shared" si="90"/>
        <v>222.06886429435099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21.798452244717144</v>
      </c>
      <c r="AV96" s="21">
        <f>EXP(-LN(2)/25)*AV95+(1-EXP(-LN(2)/25))/(LN(2)/25)*Calculateur!AQ96*Calculateur!AS96*VLOOKUP('Données projet'!$B$10,Paramètres!$A$1:$I$89,3,0)*0.475*44/12</f>
        <v>28.770218434327504</v>
      </c>
      <c r="AW96" s="21">
        <f>EXP(-LN(2)/2)*AW95+(1-EXP(-LN(2)/2))/(LN(2)/2)*AQ96*AT96*VLOOKUP('Données projet'!$B$10,Paramètres!$A$1:$I$89,3,0)*0.475*44/12</f>
        <v>3.1740970869563836</v>
      </c>
      <c r="AX96" s="21">
        <f t="shared" si="60"/>
        <v>53.74276776600103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212.26923076923075</v>
      </c>
      <c r="BB96" s="12">
        <f>VLOOKUP(A96,'Données projet'!$A$87:$I$107,9,0)</f>
        <v>5.2606837606837598</v>
      </c>
      <c r="BC96" s="12">
        <f t="array" ref="BC96">INDEX(BB:BB,MIN(IF(ISNUMBER(BB96:BB292),ROW(BB96:BB292),"")))</f>
        <v>5.2606837606837598</v>
      </c>
      <c r="BD96" s="12">
        <f>IF('Données projet'!$A$88&gt;35,BD95+BC96-BL95,IF(A96&lt;'Données projet'!$A$88,$BA$205^A96,IF(A96='Données projet'!$A$88,'Données projet'!$B$88,BD95+BC96-BL95)))</f>
        <v>212.26923076923055</v>
      </c>
      <c r="BE96" s="13">
        <f>BD96*VLOOKUP('Données projet'!$B$11,Paramètres!$A$1:$I$89,3,0)*VLOOKUP('Données projet'!$B$11,Paramètres!$A$1:$I$89,5,0)</f>
        <v>205.30679999999978</v>
      </c>
      <c r="BF96" s="13">
        <f t="shared" si="91"/>
        <v>50.908658230590753</v>
      </c>
      <c r="BG96" s="20">
        <f t="shared" si="61"/>
        <v>446.24192308494509</v>
      </c>
      <c r="BH96" s="59">
        <f t="shared" si="62"/>
        <v>739.5752564182784</v>
      </c>
      <c r="BI96" s="59">
        <f ca="1">AVERAGE(OFFSET($BH$3,0,0,'Données projet'!$E$11+1,1))-AVERAGE(OFFSET($H$3,0,0,'Données projet'!$E$11+1,1))</f>
        <v>366.51581861366333</v>
      </c>
      <c r="BJ96" s="59">
        <f t="shared" si="92"/>
        <v>225.01415116995503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30.083333333333332</v>
      </c>
      <c r="BM96" s="16">
        <f>IF(ISNA(VLOOKUP(A96,'Données projet'!$A$87:$I$107,5,0)),0%,VLOOKUP(A96,'Données projet'!$A$87:$I$107,5,0)*VLOOKUP('Données projet'!$B$11,Paramètres!$A$1:$I$89,7,0))</f>
        <v>0.30099999999999999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26.095807138278694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26.095807138278694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204.00000000000017</v>
      </c>
      <c r="BZ96" s="13">
        <f>BY96*VLOOKUP('Données projet'!$B$12,Paramètres!$A$1:$I$89,3,0)*VLOOKUP('Données projet'!$B$12,Paramètres!$A$1:$I$89,5,0)</f>
        <v>133.66080000000011</v>
      </c>
      <c r="CA96" s="13">
        <f t="shared" si="93"/>
        <v>34.840890682716783</v>
      </c>
      <c r="CB96" s="20">
        <f t="shared" si="64"/>
        <v>293.4737779390652</v>
      </c>
      <c r="CC96" s="59">
        <f t="shared" si="65"/>
        <v>586.80711127239852</v>
      </c>
      <c r="CD96" s="59">
        <f ca="1">AVERAGE(OFFSET($CC$3,0,0,'Données projet'!$E$12+1,1))-AVERAGE(OFFSET($H$3,0,0,'Données projet'!$E$12+1,1))</f>
        <v>230.58262378842818</v>
      </c>
      <c r="CE96" s="59">
        <f t="shared" si="94"/>
        <v>235.68746142880792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1.799456470695221</v>
      </c>
      <c r="CL96" s="21">
        <f>EXP(-LN(2)/25)*CL95+(1-EXP(-LN(2)/25))/(LN(2)/25)*Calculateur!CG96*Calculateur!CI96*VLOOKUP('Données projet'!$B$12,Paramètres!$A$1:$I$89,3,0)*0.475*44/12</f>
        <v>9.927137801494597</v>
      </c>
      <c r="CM96" s="21">
        <f>EXP(-LN(2)/2)*CM95+(1-EXP(-LN(2)/2))/(LN(2)/2)*CG96*CJ96*VLOOKUP('Données projet'!$B$12,Paramètres!$A$1:$I$89,3,0)*0.475*44/12</f>
        <v>1.052556256810061</v>
      </c>
      <c r="CN96" s="22">
        <f t="shared" si="66"/>
        <v>12.779150528999878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1.7053025658242404E-13</v>
      </c>
      <c r="CU96" s="17">
        <f>CT96*VLOOKUP('Données projet'!$B$13,Paramètres!$A$1:$I$89,3,0)*VLOOKUP('Données projet'!$B$13,Paramètres!$A$1:$I$89,5,0)</f>
        <v>1.3301360013429075E-13</v>
      </c>
      <c r="CV96" s="13">
        <f t="shared" si="95"/>
        <v>1.9329766731057041E-12</v>
      </c>
      <c r="CW96" s="20">
        <f t="shared" si="67"/>
        <v>3.5982663925596575E-12</v>
      </c>
      <c r="CX96" s="59">
        <f t="shared" si="68"/>
        <v>293.3333333333369</v>
      </c>
      <c r="CY96" s="59">
        <f ca="1">AVERAGE(OFFSET($CX$3,0,0,'Données projet'!$E$13+1,1))-AVERAGE(OFFSET($H$3,0,0,'Données projet'!$E$13+1,1))</f>
        <v>288.80569134263209</v>
      </c>
      <c r="CZ96" s="59">
        <f t="shared" si="96"/>
        <v>283.48738729114024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50.44062025114664</v>
      </c>
      <c r="DG96" s="21">
        <f>EXP(-LN(2)/25)*DG95+(1-EXP(-LN(2)/25))/(LN(2)/25)*Calculateur!DB96*Calculateur!DD96*VLOOKUP('Données projet'!$B$13,Paramètres!$A$1:$I$89,3,0)*0.475*44/12</f>
        <v>35.063585873856432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85.504206125003066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266.99999999999983</v>
      </c>
      <c r="DP96" s="17">
        <f>DO96*VLOOKUP('Données projet'!$B$14,Paramètres!$A$1:$I$89,3,0)*VLOOKUP('Données projet'!$B$14,Paramètres!$A$1:$I$89,5,0)</f>
        <v>212.42519999999985</v>
      </c>
      <c r="DQ96" s="13">
        <f t="shared" si="97"/>
        <v>52.465198231787184</v>
      </c>
      <c r="DR96" s="20">
        <f t="shared" si="70"/>
        <v>461.35077692036231</v>
      </c>
      <c r="DS96" s="59">
        <f t="shared" si="71"/>
        <v>754.68411025369562</v>
      </c>
      <c r="DT96" s="59">
        <f ca="1">AVERAGE(OFFSET($DS$3,0,0,'Données projet'!$E$14+1,1))-AVERAGE(OFFSET($H$3,0,0,'Données projet'!$E$14+1,1))</f>
        <v>299.10536994156814</v>
      </c>
      <c r="DU96" s="59">
        <f t="shared" si="98"/>
        <v>292.57799203101769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22.256171886575945</v>
      </c>
      <c r="EB96" s="21">
        <f>EXP(-LN(2)/25)*EB95+(1-EXP(-LN(2)/25))/(LN(2)/25)*Calculateur!DW96*Calculateur!DY96*VLOOKUP('Données projet'!$B$14,Paramètres!$A$1:$I$89,3,0)*0.475*44/12</f>
        <v>5.8083543586022239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28.064526245178168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7.1782051282051267</v>
      </c>
      <c r="N97" s="13">
        <f>IF('Données projet'!$A$36&gt;35,N96+M97-V96,IF(A97&lt;'Données projet'!$A$36,$K$205^A97,IF(A97='Données projet'!$A$36,'Données projet'!$B$36,N96+M97-V96)))</f>
        <v>282.35897435897476</v>
      </c>
      <c r="O97" s="13">
        <f>N97*VLOOKUP('Données projet'!$B$9,Paramètres!$A$1:$I$89,3,0)*VLOOKUP('Données projet'!$B$9,Paramètres!$A$1:$I$89,5,0)</f>
        <v>255.47840000000036</v>
      </c>
      <c r="P97" s="13">
        <f t="shared" si="87"/>
        <v>61.757573660260803</v>
      </c>
      <c r="Q97" s="20">
        <f t="shared" si="54"/>
        <v>552.51932079162145</v>
      </c>
      <c r="R97" s="59">
        <f t="shared" si="55"/>
        <v>845.85265412495482</v>
      </c>
      <c r="S97" s="59">
        <f ca="1">AVERAGE(OFFSET($R$3,0,0,'Données projet'!$E$9+1,1))-AVERAGE(OFFSET($H$3,0,0,'Données projet'!$E$9+1,1))</f>
        <v>384.05928630855732</v>
      </c>
      <c r="T97" s="59">
        <f t="shared" si="88"/>
        <v>279.93992813630513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38.297936492040868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38.297936492040868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6.4031339031338979</v>
      </c>
      <c r="AI97" s="13">
        <f>IF('Données projet'!$A$62&gt;35,AI96+AH97-AQ96,IF(A97&lt;'Données projet'!$A$62,$AF$205^A97,IF(A97='Données projet'!$A$62,'Données projet'!$B$62,AI96+AH97-AQ96)))</f>
        <v>250.04843304843325</v>
      </c>
      <c r="AJ97" s="13">
        <f>AI97*VLOOKUP('Données projet'!$B$10,Paramètres!$A$1:$I$89,3,0)*VLOOKUP('Données projet'!$B$10,Paramètres!$A$1:$I$89,5,0)</f>
        <v>214.54155555555576</v>
      </c>
      <c r="AK97" s="13">
        <f t="shared" si="89"/>
        <v>52.926790641176524</v>
      </c>
      <c r="AL97" s="20">
        <f t="shared" si="58"/>
        <v>465.84070295930866</v>
      </c>
      <c r="AM97" s="59">
        <f t="shared" si="59"/>
        <v>759.17403629264197</v>
      </c>
      <c r="AN97" s="59">
        <f ca="1">AVERAGE(OFFSET($AM$3,0,0,'Données projet'!$E$10+1,1))-AVERAGE(OFFSET($H$3,0,0,'Données projet'!$E$10+1,1))</f>
        <v>335.02113791949211</v>
      </c>
      <c r="AO97" s="59">
        <f t="shared" si="90"/>
        <v>222.06886429435099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21.370997891941265</v>
      </c>
      <c r="AV97" s="21">
        <f>EXP(-LN(2)/25)*AV96+(1-EXP(-LN(2)/25))/(LN(2)/25)*Calculateur!AQ97*Calculateur!AS97*VLOOKUP('Données projet'!$B$10,Paramètres!$A$1:$I$89,3,0)*0.475*44/12</f>
        <v>27.983495298280786</v>
      </c>
      <c r="AW97" s="21">
        <f>EXP(-LN(2)/2)*AW96+(1-EXP(-LN(2)/2))/(LN(2)/2)*AQ97*AT97*VLOOKUP('Données projet'!$B$10,Paramètres!$A$1:$I$89,3,0)*0.475*44/12</f>
        <v>2.2444255743313257</v>
      </c>
      <c r="AX97" s="21">
        <f t="shared" si="60"/>
        <v>51.598918764553375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5.2583333333333373</v>
      </c>
      <c r="BD97" s="12">
        <f>IF('Données projet'!$A$88&gt;35,BD96+BC97-BL96,IF(A97&lt;'Données projet'!$A$88,$BA$205^A97,IF(A97='Données projet'!$A$88,'Données projet'!$B$88,BD96+BC97-BL96)))</f>
        <v>187.44423076923053</v>
      </c>
      <c r="BE97" s="13">
        <f>BD97*VLOOKUP('Données projet'!$B$11,Paramètres!$A$1:$I$89,3,0)*VLOOKUP('Données projet'!$B$11,Paramètres!$A$1:$I$89,5,0)</f>
        <v>181.29605999999978</v>
      </c>
      <c r="BF97" s="13">
        <f t="shared" si="91"/>
        <v>45.610415125067746</v>
      </c>
      <c r="BG97" s="20">
        <f t="shared" si="61"/>
        <v>395.19544417615924</v>
      </c>
      <c r="BH97" s="59">
        <f t="shared" si="62"/>
        <v>688.52877750949256</v>
      </c>
      <c r="BI97" s="59">
        <f ca="1">AVERAGE(OFFSET($BH$3,0,0,'Données projet'!$E$11+1,1))-AVERAGE(OFFSET($H$3,0,0,'Données projet'!$E$11+1,1))</f>
        <v>366.51581861366333</v>
      </c>
      <c r="BJ97" s="59">
        <f t="shared" si="92"/>
        <v>225.01415116995503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25.584084277167744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25.584084277167744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204.00000000000017</v>
      </c>
      <c r="BZ97" s="13">
        <f>BY97*VLOOKUP('Données projet'!$B$12,Paramètres!$A$1:$I$89,3,0)*VLOOKUP('Données projet'!$B$12,Paramètres!$A$1:$I$89,5,0)</f>
        <v>133.66080000000011</v>
      </c>
      <c r="CA97" s="13">
        <f t="shared" si="93"/>
        <v>34.840890682716783</v>
      </c>
      <c r="CB97" s="20">
        <f t="shared" si="64"/>
        <v>293.4737779390652</v>
      </c>
      <c r="CC97" s="59">
        <f t="shared" si="65"/>
        <v>586.80711127239852</v>
      </c>
      <c r="CD97" s="59">
        <f ca="1">AVERAGE(OFFSET($CC$3,0,0,'Données projet'!$E$12+1,1))-AVERAGE(OFFSET($H$3,0,0,'Données projet'!$E$12+1,1))</f>
        <v>230.58262378842818</v>
      </c>
      <c r="CE97" s="59">
        <f t="shared" si="94"/>
        <v>235.68746142880792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1.7641702268649597</v>
      </c>
      <c r="CL97" s="21">
        <f>EXP(-LN(2)/25)*CL96+(1-EXP(-LN(2)/25))/(LN(2)/25)*Calculateur!CG97*Calculateur!CI97*VLOOKUP('Données projet'!$B$12,Paramètres!$A$1:$I$89,3,0)*0.475*44/12</f>
        <v>9.6556796962672387</v>
      </c>
      <c r="CM97" s="21">
        <f>EXP(-LN(2)/2)*CM96+(1-EXP(-LN(2)/2))/(LN(2)/2)*CG97*CJ97*VLOOKUP('Données projet'!$B$12,Paramètres!$A$1:$I$89,3,0)*0.475*44/12</f>
        <v>0.74426966677072337</v>
      </c>
      <c r="CN97" s="22">
        <f t="shared" si="66"/>
        <v>12.164119589902921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1.7053025658242404E-13</v>
      </c>
      <c r="CU97" s="17">
        <f>CT97*VLOOKUP('Données projet'!$B$13,Paramètres!$A$1:$I$89,3,0)*VLOOKUP('Données projet'!$B$13,Paramètres!$A$1:$I$89,5,0)</f>
        <v>1.3301360013429075E-13</v>
      </c>
      <c r="CV97" s="13">
        <f t="shared" si="95"/>
        <v>1.9329766731057041E-12</v>
      </c>
      <c r="CW97" s="20">
        <f t="shared" si="67"/>
        <v>3.5982663925596575E-12</v>
      </c>
      <c r="CX97" s="59">
        <f t="shared" si="68"/>
        <v>293.3333333333369</v>
      </c>
      <c r="CY97" s="59">
        <f ca="1">AVERAGE(OFFSET($CX$3,0,0,'Données projet'!$E$13+1,1))-AVERAGE(OFFSET($H$3,0,0,'Données projet'!$E$13+1,1))</f>
        <v>288.80569134263209</v>
      </c>
      <c r="CZ97" s="59">
        <f t="shared" si="96"/>
        <v>283.48738729114024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49.451510453762147</v>
      </c>
      <c r="DG97" s="21">
        <f>EXP(-LN(2)/25)*DG96+(1-EXP(-LN(2)/25))/(LN(2)/25)*Calculateur!DB97*Calculateur!DD97*VLOOKUP('Données projet'!$B$13,Paramètres!$A$1:$I$89,3,0)*0.475*44/12</f>
        <v>34.104770274221984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83.556280727984131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266.99999999999983</v>
      </c>
      <c r="DP97" s="17">
        <f>DO97*VLOOKUP('Données projet'!$B$14,Paramètres!$A$1:$I$89,3,0)*VLOOKUP('Données projet'!$B$14,Paramètres!$A$1:$I$89,5,0)</f>
        <v>212.42519999999985</v>
      </c>
      <c r="DQ97" s="13">
        <f t="shared" si="97"/>
        <v>52.465198231787184</v>
      </c>
      <c r="DR97" s="20">
        <f t="shared" si="70"/>
        <v>461.35077692036231</v>
      </c>
      <c r="DS97" s="59">
        <f t="shared" si="71"/>
        <v>754.68411025369562</v>
      </c>
      <c r="DT97" s="59">
        <f ca="1">AVERAGE(OFFSET($DS$3,0,0,'Données projet'!$E$14+1,1))-AVERAGE(OFFSET($H$3,0,0,'Données projet'!$E$14+1,1))</f>
        <v>299.10536994156814</v>
      </c>
      <c r="DU97" s="59">
        <f t="shared" si="98"/>
        <v>292.57799203101769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21.819741930804629</v>
      </c>
      <c r="EB97" s="21">
        <f>EXP(-LN(2)/25)*EB96+(1-EXP(-LN(2)/25))/(LN(2)/25)*Calculateur!DW97*Calculateur!DY97*VLOOKUP('Données projet'!$B$14,Paramètres!$A$1:$I$89,3,0)*0.475*44/12</f>
        <v>5.6495246032181656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27.469266534022793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7.1782051282051267</v>
      </c>
      <c r="N98" s="13">
        <f>IF('Données projet'!$A$36&gt;35,N97+M98-V97,IF(A98&lt;'Données projet'!$A$36,$K$205^A98,IF(A98='Données projet'!$A$36,'Données projet'!$B$36,N97+M98-V97)))</f>
        <v>289.53717948717991</v>
      </c>
      <c r="O98" s="13">
        <f>N98*VLOOKUP('Données projet'!$B$9,Paramètres!$A$1:$I$89,3,0)*VLOOKUP('Données projet'!$B$9,Paramètres!$A$1:$I$89,5,0)</f>
        <v>261.97324000000037</v>
      </c>
      <c r="P98" s="13">
        <f t="shared" si="87"/>
        <v>63.142807719765102</v>
      </c>
      <c r="Q98" s="20">
        <f t="shared" si="54"/>
        <v>566.24378311192481</v>
      </c>
      <c r="R98" s="59">
        <f t="shared" si="55"/>
        <v>859.57711644525807</v>
      </c>
      <c r="S98" s="59">
        <f ca="1">AVERAGE(OFFSET($R$3,0,0,'Données projet'!$E$9+1,1))-AVERAGE(OFFSET($H$3,0,0,'Données projet'!$E$9+1,1))</f>
        <v>384.05928630855732</v>
      </c>
      <c r="T98" s="59">
        <f t="shared" si="88"/>
        <v>279.93992813630513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37.546937316866654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37.546937316866654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6.4031339031338979</v>
      </c>
      <c r="AI98" s="13">
        <f>IF('Données projet'!$A$62&gt;35,AI97+AH98-AQ97,IF(A98&lt;'Données projet'!$A$62,$AF$205^A98,IF(A98='Données projet'!$A$62,'Données projet'!$B$62,AI97+AH98-AQ97)))</f>
        <v>256.45156695156714</v>
      </c>
      <c r="AJ98" s="13">
        <f>AI98*VLOOKUP('Données projet'!$B$10,Paramètres!$A$1:$I$89,3,0)*VLOOKUP('Données projet'!$B$10,Paramètres!$A$1:$I$89,5,0)</f>
        <v>220.03544444444464</v>
      </c>
      <c r="AK98" s="13">
        <f t="shared" si="89"/>
        <v>54.122589323241463</v>
      </c>
      <c r="AL98" s="20">
        <f t="shared" si="58"/>
        <v>477.49190881205328</v>
      </c>
      <c r="AM98" s="59">
        <f t="shared" si="59"/>
        <v>770.8252421453866</v>
      </c>
      <c r="AN98" s="59">
        <f ca="1">AVERAGE(OFFSET($AM$3,0,0,'Données projet'!$E$10+1,1))-AVERAGE(OFFSET($H$3,0,0,'Données projet'!$E$10+1,1))</f>
        <v>335.02113791949211</v>
      </c>
      <c r="AO98" s="59">
        <f t="shared" si="90"/>
        <v>222.06886429435099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20.95192565830191</v>
      </c>
      <c r="AV98" s="21">
        <f>EXP(-LN(2)/25)*AV97+(1-EXP(-LN(2)/25))/(LN(2)/25)*Calculateur!AQ98*Calculateur!AS98*VLOOKUP('Données projet'!$B$10,Paramètres!$A$1:$I$89,3,0)*0.475*44/12</f>
        <v>27.218285147761236</v>
      </c>
      <c r="AW98" s="21">
        <f>EXP(-LN(2)/2)*AW97+(1-EXP(-LN(2)/2))/(LN(2)/2)*AQ98*AT98*VLOOKUP('Données projet'!$B$10,Paramètres!$A$1:$I$89,3,0)*0.475*44/12</f>
        <v>1.587048543478192</v>
      </c>
      <c r="AX98" s="21">
        <f t="shared" si="60"/>
        <v>49.757259349541336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5.2583333333333373</v>
      </c>
      <c r="BD98" s="12">
        <f>IF('Données projet'!$A$88&gt;35,BD97+BC98-BL97,IF(A98&lt;'Données projet'!$A$88,$BA$205^A98,IF(A98='Données projet'!$A$88,'Données projet'!$B$88,BD97+BC98-BL97)))</f>
        <v>192.70256410256385</v>
      </c>
      <c r="BE98" s="13">
        <f>BD98*VLOOKUP('Données projet'!$B$11,Paramètres!$A$1:$I$89,3,0)*VLOOKUP('Données projet'!$B$11,Paramètres!$A$1:$I$89,5,0)</f>
        <v>186.38191999999978</v>
      </c>
      <c r="BF98" s="13">
        <f t="shared" si="91"/>
        <v>46.739153871297241</v>
      </c>
      <c r="BG98" s="20">
        <f t="shared" si="61"/>
        <v>406.01920365917562</v>
      </c>
      <c r="BH98" s="59">
        <f t="shared" si="62"/>
        <v>699.35253699250893</v>
      </c>
      <c r="BI98" s="59">
        <f ca="1">AVERAGE(OFFSET($BH$3,0,0,'Données projet'!$E$11+1,1))-AVERAGE(OFFSET($H$3,0,0,'Données projet'!$E$11+1,1))</f>
        <v>366.51581861366333</v>
      </c>
      <c r="BJ98" s="59">
        <f t="shared" si="92"/>
        <v>225.01415116995503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25.082395989243054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25.082395989243054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204.00000000000017</v>
      </c>
      <c r="BZ98" s="13">
        <f>BY98*VLOOKUP('Données projet'!$B$12,Paramètres!$A$1:$I$89,3,0)*VLOOKUP('Données projet'!$B$12,Paramètres!$A$1:$I$89,5,0)</f>
        <v>133.66080000000011</v>
      </c>
      <c r="CA98" s="13">
        <f t="shared" si="93"/>
        <v>34.840890682716783</v>
      </c>
      <c r="CB98" s="20">
        <f t="shared" si="64"/>
        <v>293.4737779390652</v>
      </c>
      <c r="CC98" s="59">
        <f t="shared" si="65"/>
        <v>586.80711127239852</v>
      </c>
      <c r="CD98" s="59">
        <f ca="1">AVERAGE(OFFSET($CC$3,0,0,'Données projet'!$E$12+1,1))-AVERAGE(OFFSET($H$3,0,0,'Données projet'!$E$12+1,1))</f>
        <v>230.58262378842818</v>
      </c>
      <c r="CE98" s="59">
        <f t="shared" si="94"/>
        <v>235.68746142880792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1.7295759247537263</v>
      </c>
      <c r="CL98" s="21">
        <f>EXP(-LN(2)/25)*CL97+(1-EXP(-LN(2)/25))/(LN(2)/25)*Calculateur!CG98*Calculateur!CI98*VLOOKUP('Données projet'!$B$12,Paramètres!$A$1:$I$89,3,0)*0.475*44/12</f>
        <v>9.3916446272026839</v>
      </c>
      <c r="CM98" s="21">
        <f>EXP(-LN(2)/2)*CM97+(1-EXP(-LN(2)/2))/(LN(2)/2)*CG98*CJ98*VLOOKUP('Données projet'!$B$12,Paramètres!$A$1:$I$89,3,0)*0.475*44/12</f>
        <v>0.52627812840503052</v>
      </c>
      <c r="CN98" s="22">
        <f t="shared" si="66"/>
        <v>11.647498680361441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1.7053025658242404E-13</v>
      </c>
      <c r="CU98" s="17">
        <f>CT98*VLOOKUP('Données projet'!$B$13,Paramètres!$A$1:$I$89,3,0)*VLOOKUP('Données projet'!$B$13,Paramètres!$A$1:$I$89,5,0)</f>
        <v>1.3301360013429075E-13</v>
      </c>
      <c r="CV98" s="13">
        <f t="shared" si="95"/>
        <v>1.9329766731057041E-12</v>
      </c>
      <c r="CW98" s="20">
        <f t="shared" si="67"/>
        <v>3.5982663925596575E-12</v>
      </c>
      <c r="CX98" s="59">
        <f t="shared" si="68"/>
        <v>293.3333333333369</v>
      </c>
      <c r="CY98" s="59">
        <f ca="1">AVERAGE(OFFSET($CX$3,0,0,'Données projet'!$E$13+1,1))-AVERAGE(OFFSET($H$3,0,0,'Données projet'!$E$13+1,1))</f>
        <v>288.80569134263209</v>
      </c>
      <c r="CZ98" s="59">
        <f t="shared" si="96"/>
        <v>283.48738729114024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48.481796496206954</v>
      </c>
      <c r="DG98" s="21">
        <f>EXP(-LN(2)/25)*DG97+(1-EXP(-LN(2)/25))/(LN(2)/25)*Calculateur!DB98*Calculateur!DD98*VLOOKUP('Données projet'!$B$13,Paramètres!$A$1:$I$89,3,0)*0.475*44/12</f>
        <v>33.172173537581465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81.653970033788426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266.99999999999983</v>
      </c>
      <c r="DP98" s="17">
        <f>DO98*VLOOKUP('Données projet'!$B$14,Paramètres!$A$1:$I$89,3,0)*VLOOKUP('Données projet'!$B$14,Paramètres!$A$1:$I$89,5,0)</f>
        <v>212.42519999999985</v>
      </c>
      <c r="DQ98" s="13">
        <f t="shared" si="97"/>
        <v>52.465198231787184</v>
      </c>
      <c r="DR98" s="20">
        <f t="shared" si="70"/>
        <v>461.35077692036231</v>
      </c>
      <c r="DS98" s="59">
        <f t="shared" si="71"/>
        <v>754.68411025369562</v>
      </c>
      <c r="DT98" s="59">
        <f ca="1">AVERAGE(OFFSET($DS$3,0,0,'Données projet'!$E$14+1,1))-AVERAGE(OFFSET($H$3,0,0,'Données projet'!$E$14+1,1))</f>
        <v>299.10536994156814</v>
      </c>
      <c r="DU98" s="59">
        <f t="shared" si="98"/>
        <v>292.57799203101769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21.391870100270001</v>
      </c>
      <c r="EB98" s="21">
        <f>EXP(-LN(2)/25)*EB97+(1-EXP(-LN(2)/25))/(LN(2)/25)*Calculateur!DW98*Calculateur!DY98*VLOOKUP('Données projet'!$B$14,Paramètres!$A$1:$I$89,3,0)*0.475*44/12</f>
        <v>5.4950380558475782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26.886908156117578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7.1782051282051267</v>
      </c>
      <c r="N99" s="13">
        <f>IF('Données projet'!$A$36&gt;35,N98+M99-V98,IF(A99&lt;'Données projet'!$A$36,$K$205^A99,IF(A99='Données projet'!$A$36,'Données projet'!$B$36,N98+M99-V98)))</f>
        <v>296.71538461538506</v>
      </c>
      <c r="O99" s="13">
        <f>N99*VLOOKUP('Données projet'!$B$9,Paramètres!$A$1:$I$89,3,0)*VLOOKUP('Données projet'!$B$9,Paramètres!$A$1:$I$89,5,0)</f>
        <v>268.46808000000038</v>
      </c>
      <c r="P99" s="13">
        <f t="shared" si="87"/>
        <v>64.524049616897415</v>
      </c>
      <c r="Q99" s="20">
        <f t="shared" ref="Q99:Q130" si="107">(O99+P99)*0.475*44/12</f>
        <v>579.96129241609697</v>
      </c>
      <c r="R99" s="59">
        <f t="shared" si="55"/>
        <v>873.29462574943022</v>
      </c>
      <c r="S99" s="59">
        <f ca="1">AVERAGE(OFFSET($R$3,0,0,'Données projet'!$E$9+1,1))-AVERAGE(OFFSET($H$3,0,0,'Données projet'!$E$9+1,1))</f>
        <v>384.05928630855732</v>
      </c>
      <c r="T99" s="59">
        <f t="shared" si="88"/>
        <v>279.93992813630513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36.81066477745334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36.81066477745334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6.4031339031338979</v>
      </c>
      <c r="AI99" s="13">
        <f>IF('Données projet'!$A$62&gt;35,AI98+AH99-AQ98,IF(A99&lt;'Données projet'!$A$62,$AF$205^A99,IF(A99='Données projet'!$A$62,'Données projet'!$B$62,AI98+AH99-AQ98)))</f>
        <v>262.85470085470104</v>
      </c>
      <c r="AJ99" s="13">
        <f>AI99*VLOOKUP('Données projet'!$B$10,Paramètres!$A$1:$I$89,3,0)*VLOOKUP('Données projet'!$B$10,Paramètres!$A$1:$I$89,5,0)</f>
        <v>225.52933333333351</v>
      </c>
      <c r="AK99" s="13">
        <f t="shared" si="89"/>
        <v>55.314917321683275</v>
      </c>
      <c r="AL99" s="20">
        <f t="shared" si="58"/>
        <v>489.13706989082084</v>
      </c>
      <c r="AM99" s="59">
        <f t="shared" si="59"/>
        <v>782.4704032241541</v>
      </c>
      <c r="AN99" s="59">
        <f ca="1">AVERAGE(OFFSET($AM$3,0,0,'Données projet'!$E$10+1,1))-AVERAGE(OFFSET($H$3,0,0,'Données projet'!$E$10+1,1))</f>
        <v>335.02113791949211</v>
      </c>
      <c r="AO99" s="59">
        <f t="shared" si="90"/>
        <v>222.06886429435099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20.541071175555398</v>
      </c>
      <c r="AV99" s="21">
        <f>EXP(-LN(2)/25)*AV98+(1-EXP(-LN(2)/25))/(LN(2)/25)*Calculateur!AQ99*Calculateur!AS99*VLOOKUP('Données projet'!$B$10,Paramètres!$A$1:$I$89,3,0)*0.475*44/12</f>
        <v>26.473999709048297</v>
      </c>
      <c r="AW99" s="21">
        <f>EXP(-LN(2)/2)*AW98+(1-EXP(-LN(2)/2))/(LN(2)/2)*AQ99*AT99*VLOOKUP('Données projet'!$B$10,Paramètres!$A$1:$I$89,3,0)*0.475*44/12</f>
        <v>1.1222127871656629</v>
      </c>
      <c r="AX99" s="21">
        <f t="shared" si="60"/>
        <v>48.13728367176936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5.2583333333333373</v>
      </c>
      <c r="BD99" s="12">
        <f>IF('Données projet'!$A$88&gt;35,BD98+BC99-BL98,IF(A99&lt;'Données projet'!$A$88,$BA$205^A99,IF(A99='Données projet'!$A$88,'Données projet'!$B$88,BD98+BC99-BL98)))</f>
        <v>197.96089743589718</v>
      </c>
      <c r="BE99" s="13">
        <f>BD99*VLOOKUP('Données projet'!$B$11,Paramètres!$A$1:$I$89,3,0)*VLOOKUP('Données projet'!$B$11,Paramètres!$A$1:$I$89,5,0)</f>
        <v>191.46777999999978</v>
      </c>
      <c r="BF99" s="13">
        <f t="shared" si="91"/>
        <v>47.864312688145425</v>
      </c>
      <c r="BG99" s="20">
        <f t="shared" si="61"/>
        <v>416.83672809851947</v>
      </c>
      <c r="BH99" s="59">
        <f t="shared" si="62"/>
        <v>710.17006143185279</v>
      </c>
      <c r="BI99" s="59">
        <f ca="1">AVERAGE(OFFSET($BH$3,0,0,'Données projet'!$E$11+1,1))-AVERAGE(OFFSET($H$3,0,0,'Données projet'!$E$11+1,1))</f>
        <v>366.51581861366333</v>
      </c>
      <c r="BJ99" s="59">
        <f t="shared" si="92"/>
        <v>225.01415116995503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24.590545502644925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24.590545502644925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204.00000000000017</v>
      </c>
      <c r="BZ99" s="13">
        <f>BY99*VLOOKUP('Données projet'!$B$12,Paramètres!$A$1:$I$89,3,0)*VLOOKUP('Données projet'!$B$12,Paramètres!$A$1:$I$89,5,0)</f>
        <v>133.66080000000011</v>
      </c>
      <c r="CA99" s="13">
        <f t="shared" si="93"/>
        <v>34.840890682716783</v>
      </c>
      <c r="CB99" s="20">
        <f t="shared" si="64"/>
        <v>293.4737779390652</v>
      </c>
      <c r="CC99" s="59">
        <f t="shared" si="65"/>
        <v>586.80711127239852</v>
      </c>
      <c r="CD99" s="59">
        <f ca="1">AVERAGE(OFFSET($CC$3,0,0,'Données projet'!$E$12+1,1))-AVERAGE(OFFSET($H$3,0,0,'Données projet'!$E$12+1,1))</f>
        <v>230.58262378842818</v>
      </c>
      <c r="CE99" s="59">
        <f t="shared" si="94"/>
        <v>235.68746142880792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1.6956599958064535</v>
      </c>
      <c r="CL99" s="21">
        <f>EXP(-LN(2)/25)*CL98+(1-EXP(-LN(2)/25))/(LN(2)/25)*Calculateur!CG99*Calculateur!CI99*VLOOKUP('Données projet'!$B$12,Paramètres!$A$1:$I$89,3,0)*0.475*44/12</f>
        <v>9.1348296109867011</v>
      </c>
      <c r="CM99" s="21">
        <f>EXP(-LN(2)/2)*CM98+(1-EXP(-LN(2)/2))/(LN(2)/2)*CG99*CJ99*VLOOKUP('Données projet'!$B$12,Paramètres!$A$1:$I$89,3,0)*0.475*44/12</f>
        <v>0.37213483338536169</v>
      </c>
      <c r="CN99" s="22">
        <f t="shared" si="66"/>
        <v>11.202624440178516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1.7053025658242404E-13</v>
      </c>
      <c r="CU99" s="17">
        <f>CT99*VLOOKUP('Données projet'!$B$13,Paramètres!$A$1:$I$89,3,0)*VLOOKUP('Données projet'!$B$13,Paramètres!$A$1:$I$89,5,0)</f>
        <v>1.3301360013429075E-13</v>
      </c>
      <c r="CV99" s="13">
        <f t="shared" si="95"/>
        <v>1.9329766731057041E-12</v>
      </c>
      <c r="CW99" s="20">
        <f t="shared" si="67"/>
        <v>3.5982663925596575E-12</v>
      </c>
      <c r="CX99" s="59">
        <f t="shared" si="68"/>
        <v>293.3333333333369</v>
      </c>
      <c r="CY99" s="59">
        <f ca="1">AVERAGE(OFFSET($CX$3,0,0,'Données projet'!$E$13+1,1))-AVERAGE(OFFSET($H$3,0,0,'Données projet'!$E$13+1,1))</f>
        <v>288.80569134263209</v>
      </c>
      <c r="CZ99" s="59">
        <f t="shared" si="96"/>
        <v>283.48738729114024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47.531098037892306</v>
      </c>
      <c r="DG99" s="21">
        <f>EXP(-LN(2)/25)*DG98+(1-EXP(-LN(2)/25))/(LN(2)/25)*Calculateur!DB99*Calculateur!DD99*VLOOKUP('Données projet'!$B$13,Paramètres!$A$1:$I$89,3,0)*0.475*44/12</f>
        <v>32.265078707747506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79.796176745639812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266.99999999999983</v>
      </c>
      <c r="DP99" s="17">
        <f>DO99*VLOOKUP('Données projet'!$B$14,Paramètres!$A$1:$I$89,3,0)*VLOOKUP('Données projet'!$B$14,Paramètres!$A$1:$I$89,5,0)</f>
        <v>212.42519999999985</v>
      </c>
      <c r="DQ99" s="13">
        <f t="shared" si="97"/>
        <v>52.465198231787184</v>
      </c>
      <c r="DR99" s="20">
        <f t="shared" si="70"/>
        <v>461.35077692036231</v>
      </c>
      <c r="DS99" s="59">
        <f t="shared" si="71"/>
        <v>754.68411025369562</v>
      </c>
      <c r="DT99" s="59">
        <f ca="1">AVERAGE(OFFSET($DS$3,0,0,'Données projet'!$E$14+1,1))-AVERAGE(OFFSET($H$3,0,0,'Données projet'!$E$14+1,1))</f>
        <v>299.10536994156814</v>
      </c>
      <c r="DU99" s="59">
        <f t="shared" si="98"/>
        <v>292.57799203101769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20.97238857535611</v>
      </c>
      <c r="EB99" s="21">
        <f>EXP(-LN(2)/25)*EB98+(1-EXP(-LN(2)/25))/(LN(2)/25)*Calculateur!DW99*Calculateur!DY99*VLOOKUP('Données projet'!$B$14,Paramètres!$A$1:$I$89,3,0)*0.475*44/12</f>
        <v>5.3447759512389341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26.317164526595043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7.1782051282051267</v>
      </c>
      <c r="N100" s="13">
        <f>IF('Données projet'!$A$36&gt;35,N99+M100-V99,IF(A100&lt;'Données projet'!$A$36,$K$205^A100,IF(A100='Données projet'!$A$36,'Données projet'!$B$36,N99+M100-V99)))</f>
        <v>303.89358974359021</v>
      </c>
      <c r="O100" s="13">
        <f>N100*VLOOKUP('Données projet'!$B$9,Paramètres!$A$1:$I$89,3,0)*VLOOKUP('Données projet'!$B$9,Paramètres!$A$1:$I$89,5,0)</f>
        <v>274.96292000000045</v>
      </c>
      <c r="P100" s="13">
        <f t="shared" si="87"/>
        <v>65.901407042348566</v>
      </c>
      <c r="Q100" s="20">
        <f t="shared" si="107"/>
        <v>593.67203626542459</v>
      </c>
      <c r="R100" s="59">
        <f t="shared" si="55"/>
        <v>887.00536959875785</v>
      </c>
      <c r="S100" s="59">
        <f ca="1">AVERAGE(OFFSET($R$3,0,0,'Données projet'!$E$9+1,1))-AVERAGE(OFFSET($H$3,0,0,'Données projet'!$E$9+1,1))</f>
        <v>384.05928630855732</v>
      </c>
      <c r="T100" s="59">
        <f t="shared" si="88"/>
        <v>279.93992813630513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36.088830093456018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36.088830093456018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6.4031339031338979</v>
      </c>
      <c r="AI100" s="13">
        <f>IF('Données projet'!$A$62&gt;35,AI99+AH100-AQ99,IF(A100&lt;'Données projet'!$A$62,$AF$205^A100,IF(A100='Données projet'!$A$62,'Données projet'!$B$62,AI99+AH100-AQ99)))</f>
        <v>269.25783475783493</v>
      </c>
      <c r="AJ100" s="13">
        <f>AI100*VLOOKUP('Données projet'!$B$10,Paramètres!$A$1:$I$89,3,0)*VLOOKUP('Données projet'!$B$10,Paramètres!$A$1:$I$89,5,0)</f>
        <v>231.02322222222242</v>
      </c>
      <c r="AK100" s="13">
        <f t="shared" si="89"/>
        <v>56.503868908560428</v>
      </c>
      <c r="AL100" s="20">
        <f t="shared" si="58"/>
        <v>500.77635038611339</v>
      </c>
      <c r="AM100" s="59">
        <f t="shared" si="59"/>
        <v>794.10968371944671</v>
      </c>
      <c r="AN100" s="59">
        <f ca="1">AVERAGE(OFFSET($AM$3,0,0,'Données projet'!$E$10+1,1))-AVERAGE(OFFSET($H$3,0,0,'Données projet'!$E$10+1,1))</f>
        <v>335.02113791949211</v>
      </c>
      <c r="AO100" s="59">
        <f t="shared" si="90"/>
        <v>222.06886429435099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20.138273298619055</v>
      </c>
      <c r="AV100" s="21">
        <f>EXP(-LN(2)/25)*AV99+(1-EXP(-LN(2)/25))/(LN(2)/25)*Calculateur!AQ100*Calculateur!AS100*VLOOKUP('Données projet'!$B$10,Paramètres!$A$1:$I$89,3,0)*0.475*44/12</f>
        <v>25.750066794797235</v>
      </c>
      <c r="AW100" s="21">
        <f>EXP(-LN(2)/2)*AW99+(1-EXP(-LN(2)/2))/(LN(2)/2)*AQ100*AT100*VLOOKUP('Données projet'!$B$10,Paramètres!$A$1:$I$89,3,0)*0.475*44/12</f>
        <v>0.79352427173909601</v>
      </c>
      <c r="AX100" s="21">
        <f t="shared" si="60"/>
        <v>46.681864365155384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5.2583333333333373</v>
      </c>
      <c r="BD100" s="12">
        <f>IF('Données projet'!$A$88&gt;35,BD99+BC100-BL99,IF(A100&lt;'Données projet'!$A$88,$BA$205^A100,IF(A100='Données projet'!$A$88,'Données projet'!$B$88,BD99+BC100-BL99)))</f>
        <v>203.21923076923051</v>
      </c>
      <c r="BE100" s="13">
        <f>BD100*VLOOKUP('Données projet'!$B$11,Paramètres!$A$1:$I$89,3,0)*VLOOKUP('Données projet'!$B$11,Paramètres!$A$1:$I$89,5,0)</f>
        <v>196.55363999999975</v>
      </c>
      <c r="BF100" s="13">
        <f t="shared" si="91"/>
        <v>48.985997597412556</v>
      </c>
      <c r="BG100" s="20">
        <f t="shared" si="61"/>
        <v>427.64820214882644</v>
      </c>
      <c r="BH100" s="59">
        <f t="shared" si="62"/>
        <v>720.98153548215976</v>
      </c>
      <c r="BI100" s="59">
        <f ca="1">AVERAGE(OFFSET($BH$3,0,0,'Données projet'!$E$11+1,1))-AVERAGE(OFFSET($H$3,0,0,'Données projet'!$E$11+1,1))</f>
        <v>366.51581861366333</v>
      </c>
      <c r="BJ100" s="59">
        <f t="shared" si="92"/>
        <v>225.01415116995503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24.10833990408981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24.10833990408981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204.00000000000017</v>
      </c>
      <c r="BZ100" s="13">
        <f>BY100*VLOOKUP('Données projet'!$B$12,Paramètres!$A$1:$I$89,3,0)*VLOOKUP('Données projet'!$B$12,Paramètres!$A$1:$I$89,5,0)</f>
        <v>133.66080000000011</v>
      </c>
      <c r="CA100" s="13">
        <f t="shared" si="93"/>
        <v>34.840890682716783</v>
      </c>
      <c r="CB100" s="20">
        <f t="shared" si="64"/>
        <v>293.4737779390652</v>
      </c>
      <c r="CC100" s="59">
        <f t="shared" si="65"/>
        <v>586.80711127239852</v>
      </c>
      <c r="CD100" s="59">
        <f ca="1">AVERAGE(OFFSET($CC$3,0,0,'Données projet'!$E$12+1,1))-AVERAGE(OFFSET($H$3,0,0,'Données projet'!$E$12+1,1))</f>
        <v>230.58262378842818</v>
      </c>
      <c r="CE100" s="59">
        <f t="shared" si="94"/>
        <v>235.68746142880792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1.6624091375391628</v>
      </c>
      <c r="CL100" s="21">
        <f>EXP(-LN(2)/25)*CL99+(1-EXP(-LN(2)/25))/(LN(2)/25)*Calculateur!CG100*Calculateur!CI100*VLOOKUP('Données projet'!$B$12,Paramètres!$A$1:$I$89,3,0)*0.475*44/12</f>
        <v>8.8850372148944583</v>
      </c>
      <c r="CM100" s="21">
        <f>EXP(-LN(2)/2)*CM99+(1-EXP(-LN(2)/2))/(LN(2)/2)*CG100*CJ100*VLOOKUP('Données projet'!$B$12,Paramètres!$A$1:$I$89,3,0)*0.475*44/12</f>
        <v>0.26313906420251526</v>
      </c>
      <c r="CN100" s="22">
        <f t="shared" si="66"/>
        <v>10.810585416636137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1.7053025658242404E-13</v>
      </c>
      <c r="CU100" s="17">
        <f>CT100*VLOOKUP('Données projet'!$B$13,Paramètres!$A$1:$I$89,3,0)*VLOOKUP('Données projet'!$B$13,Paramètres!$A$1:$I$89,5,0)</f>
        <v>1.3301360013429075E-13</v>
      </c>
      <c r="CV100" s="13">
        <f t="shared" si="95"/>
        <v>1.9329766731057041E-12</v>
      </c>
      <c r="CW100" s="20">
        <f t="shared" si="67"/>
        <v>3.5982663925596575E-12</v>
      </c>
      <c r="CX100" s="59">
        <f t="shared" si="68"/>
        <v>293.3333333333369</v>
      </c>
      <c r="CY100" s="59">
        <f ca="1">AVERAGE(OFFSET($CX$3,0,0,'Données projet'!$E$13+1,1))-AVERAGE(OFFSET($H$3,0,0,'Données projet'!$E$13+1,1))</f>
        <v>288.80569134263209</v>
      </c>
      <c r="CZ100" s="59">
        <f t="shared" si="96"/>
        <v>283.48738729114024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46.599042196476404</v>
      </c>
      <c r="DG100" s="21">
        <f>EXP(-LN(2)/25)*DG99+(1-EXP(-LN(2)/25))/(LN(2)/25)*Calculateur!DB100*Calculateur!DD100*VLOOKUP('Données projet'!$B$13,Paramètres!$A$1:$I$89,3,0)*0.475*44/12</f>
        <v>31.382788433737403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77.981830630213807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266.99999999999983</v>
      </c>
      <c r="DP100" s="17">
        <f>DO100*VLOOKUP('Données projet'!$B$14,Paramètres!$A$1:$I$89,3,0)*VLOOKUP('Données projet'!$B$14,Paramètres!$A$1:$I$89,5,0)</f>
        <v>212.42519999999985</v>
      </c>
      <c r="DQ100" s="13">
        <f t="shared" si="97"/>
        <v>52.465198231787184</v>
      </c>
      <c r="DR100" s="20">
        <f t="shared" si="70"/>
        <v>461.35077692036231</v>
      </c>
      <c r="DS100" s="59">
        <f t="shared" si="71"/>
        <v>754.68411025369562</v>
      </c>
      <c r="DT100" s="59">
        <f ca="1">AVERAGE(OFFSET($DS$3,0,0,'Données projet'!$E$14+1,1))-AVERAGE(OFFSET($H$3,0,0,'Données projet'!$E$14+1,1))</f>
        <v>299.10536994156814</v>
      </c>
      <c r="DU100" s="59">
        <f t="shared" si="98"/>
        <v>292.57799203101769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20.561132827287313</v>
      </c>
      <c r="EB100" s="21">
        <f>EXP(-LN(2)/25)*EB99+(1-EXP(-LN(2)/25))/(LN(2)/25)*Calculateur!DW100*Calculateur!DY100*VLOOKUP('Données projet'!$B$14,Paramètres!$A$1:$I$89,3,0)*0.475*44/12</f>
        <v>5.1986227717827536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25.759755599070068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7.1782051282051267</v>
      </c>
      <c r="N101" s="13">
        <f>IF('Données projet'!$A$36&gt;35,N100+M101-V100,IF(A101&lt;'Données projet'!$A$36,$K$205^A101,IF(A101='Données projet'!$A$36,'Données projet'!$B$36,N100+M101-V100)))</f>
        <v>311.07179487179536</v>
      </c>
      <c r="O101" s="13">
        <f>N101*VLOOKUP('Données projet'!$B$9,Paramètres!$A$1:$I$89,3,0)*VLOOKUP('Données projet'!$B$9,Paramètres!$A$1:$I$89,5,0)</f>
        <v>281.45776000000041</v>
      </c>
      <c r="P101" s="13">
        <f t="shared" si="87"/>
        <v>67.274982309129811</v>
      </c>
      <c r="Q101" s="20">
        <f t="shared" si="107"/>
        <v>607.37619285506855</v>
      </c>
      <c r="R101" s="59">
        <f t="shared" si="55"/>
        <v>900.70952618840192</v>
      </c>
      <c r="S101" s="59">
        <f ca="1">AVERAGE(OFFSET($R$3,0,0,'Données projet'!$E$9+1,1))-AVERAGE(OFFSET($H$3,0,0,'Données projet'!$E$9+1,1))</f>
        <v>384.05928630855732</v>
      </c>
      <c r="T101" s="59">
        <f t="shared" si="88"/>
        <v>279.93992813630513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35.3811501473362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35.3811501473362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6.4031339031338979</v>
      </c>
      <c r="AI101" s="13">
        <f>IF('Données projet'!$A$62&gt;35,AI100+AH101-AQ100,IF(A101&lt;'Données projet'!$A$62,$AF$205^A101,IF(A101='Données projet'!$A$62,'Données projet'!$B$62,AI100+AH101-AQ100)))</f>
        <v>275.66096866096882</v>
      </c>
      <c r="AJ101" s="13">
        <f>AI101*VLOOKUP('Données projet'!$B$10,Paramètres!$A$1:$I$89,3,0)*VLOOKUP('Données projet'!$B$10,Paramètres!$A$1:$I$89,5,0)</f>
        <v>236.51711111111129</v>
      </c>
      <c r="AK101" s="13">
        <f t="shared" si="89"/>
        <v>57.689533616488191</v>
      </c>
      <c r="AL101" s="20">
        <f t="shared" si="58"/>
        <v>512.40990623390246</v>
      </c>
      <c r="AM101" s="59">
        <f t="shared" si="59"/>
        <v>805.74323956723583</v>
      </c>
      <c r="AN101" s="59">
        <f ca="1">AVERAGE(OFFSET($AM$3,0,0,'Données projet'!$E$10+1,1))-AVERAGE(OFFSET($H$3,0,0,'Données projet'!$E$10+1,1))</f>
        <v>335.02113791949211</v>
      </c>
      <c r="AO101" s="59">
        <f t="shared" si="90"/>
        <v>222.06886429435099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19.743374042366987</v>
      </c>
      <c r="AV101" s="21">
        <f>EXP(-LN(2)/25)*AV100+(1-EXP(-LN(2)/25))/(LN(2)/25)*Calculateur!AQ101*Calculateur!AS101*VLOOKUP('Données projet'!$B$10,Paramètres!$A$1:$I$89,3,0)*0.475*44/12</f>
        <v>25.045929864156346</v>
      </c>
      <c r="AW101" s="21">
        <f>EXP(-LN(2)/2)*AW100+(1-EXP(-LN(2)/2))/(LN(2)/2)*AQ101*AT101*VLOOKUP('Données projet'!$B$10,Paramètres!$A$1:$I$89,3,0)*0.475*44/12</f>
        <v>0.56110639358283143</v>
      </c>
      <c r="AX101" s="21">
        <f t="shared" si="60"/>
        <v>45.350410300106162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5.2583333333333373</v>
      </c>
      <c r="BD101" s="12">
        <f>IF('Données projet'!$A$88&gt;35,BD100+BC101-BL100,IF(A101&lt;'Données projet'!$A$88,$BA$205^A101,IF(A101='Données projet'!$A$88,'Données projet'!$B$88,BD100+BC101-BL100)))</f>
        <v>208.47756410256383</v>
      </c>
      <c r="BE101" s="13">
        <f>BD101*VLOOKUP('Données projet'!$B$11,Paramètres!$A$1:$I$89,3,0)*VLOOKUP('Données projet'!$B$11,Paramètres!$A$1:$I$89,5,0)</f>
        <v>201.63949999999974</v>
      </c>
      <c r="BF101" s="13">
        <f t="shared" si="91"/>
        <v>50.104308821691369</v>
      </c>
      <c r="BG101" s="20">
        <f t="shared" si="61"/>
        <v>438.45380036444539</v>
      </c>
      <c r="BH101" s="59">
        <f t="shared" si="62"/>
        <v>731.7871336977787</v>
      </c>
      <c r="BI101" s="59">
        <f ca="1">AVERAGE(OFFSET($BH$3,0,0,'Données projet'!$E$11+1,1))-AVERAGE(OFFSET($H$3,0,0,'Données projet'!$E$11+1,1))</f>
        <v>366.51581861366333</v>
      </c>
      <c r="BJ101" s="59">
        <f t="shared" si="92"/>
        <v>225.01415116995503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23.635590063205989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23.635590063205989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204.00000000000017</v>
      </c>
      <c r="BZ101" s="13">
        <f>BY101*VLOOKUP('Données projet'!$B$12,Paramètres!$A$1:$I$89,3,0)*VLOOKUP('Données projet'!$B$12,Paramètres!$A$1:$I$89,5,0)</f>
        <v>133.66080000000011</v>
      </c>
      <c r="CA101" s="13">
        <f t="shared" si="93"/>
        <v>34.840890682716783</v>
      </c>
      <c r="CB101" s="20">
        <f t="shared" si="64"/>
        <v>293.4737779390652</v>
      </c>
      <c r="CC101" s="59">
        <f t="shared" si="65"/>
        <v>586.80711127239852</v>
      </c>
      <c r="CD101" s="59">
        <f ca="1">AVERAGE(OFFSET($CC$3,0,0,'Données projet'!$E$12+1,1))-AVERAGE(OFFSET($H$3,0,0,'Données projet'!$E$12+1,1))</f>
        <v>230.58262378842818</v>
      </c>
      <c r="CE101" s="59">
        <f t="shared" si="94"/>
        <v>235.68746142880792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1.6298103083214726</v>
      </c>
      <c r="CL101" s="21">
        <f>EXP(-LN(2)/25)*CL100+(1-EXP(-LN(2)/25))/(LN(2)/25)*Calculateur!CG101*Calculateur!CI101*VLOOKUP('Données projet'!$B$12,Paramètres!$A$1:$I$89,3,0)*0.475*44/12</f>
        <v>8.6420754050093684</v>
      </c>
      <c r="CM101" s="21">
        <f>EXP(-LN(2)/2)*CM100+(1-EXP(-LN(2)/2))/(LN(2)/2)*CG101*CJ101*VLOOKUP('Données projet'!$B$12,Paramètres!$A$1:$I$89,3,0)*0.475*44/12</f>
        <v>0.18606741669268084</v>
      </c>
      <c r="CN101" s="22">
        <f t="shared" si="66"/>
        <v>10.457953130023522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1.7053025658242404E-13</v>
      </c>
      <c r="CU101" s="17">
        <f>CT101*VLOOKUP('Données projet'!$B$13,Paramètres!$A$1:$I$89,3,0)*VLOOKUP('Données projet'!$B$13,Paramètres!$A$1:$I$89,5,0)</f>
        <v>1.3301360013429075E-13</v>
      </c>
      <c r="CV101" s="13">
        <f t="shared" si="95"/>
        <v>1.9329766731057041E-12</v>
      </c>
      <c r="CW101" s="20">
        <f t="shared" si="67"/>
        <v>3.5982663925596575E-12</v>
      </c>
      <c r="CX101" s="59">
        <f t="shared" si="68"/>
        <v>293.3333333333369</v>
      </c>
      <c r="CY101" s="59">
        <f ca="1">AVERAGE(OFFSET($CX$3,0,0,'Données projet'!$E$13+1,1))-AVERAGE(OFFSET($H$3,0,0,'Données projet'!$E$13+1,1))</f>
        <v>288.80569134263209</v>
      </c>
      <c r="CZ101" s="59">
        <f t="shared" si="96"/>
        <v>283.48738729114024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45.685263401612744</v>
      </c>
      <c r="DG101" s="21">
        <f>EXP(-LN(2)/25)*DG100+(1-EXP(-LN(2)/25))/(LN(2)/25)*Calculateur!DB101*Calculateur!DD101*VLOOKUP('Données projet'!$B$13,Paramètres!$A$1:$I$89,3,0)*0.475*44/12</f>
        <v>30.524624433667736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76.209887835280483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266.99999999999983</v>
      </c>
      <c r="DP101" s="17">
        <f>DO101*VLOOKUP('Données projet'!$B$14,Paramètres!$A$1:$I$89,3,0)*VLOOKUP('Données projet'!$B$14,Paramètres!$A$1:$I$89,5,0)</f>
        <v>212.42519999999985</v>
      </c>
      <c r="DQ101" s="13">
        <f t="shared" si="97"/>
        <v>52.465198231787184</v>
      </c>
      <c r="DR101" s="20">
        <f t="shared" si="70"/>
        <v>461.35077692036231</v>
      </c>
      <c r="DS101" s="59">
        <f t="shared" si="71"/>
        <v>754.68411025369562</v>
      </c>
      <c r="DT101" s="59">
        <f ca="1">AVERAGE(OFFSET($DS$3,0,0,'Données projet'!$E$14+1,1))-AVERAGE(OFFSET($H$3,0,0,'Données projet'!$E$14+1,1))</f>
        <v>299.10536994156814</v>
      </c>
      <c r="DU101" s="59">
        <f t="shared" si="98"/>
        <v>292.57799203101769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20.157941553596906</v>
      </c>
      <c r="EB101" s="21">
        <f>EXP(-LN(2)/25)*EB100+(1-EXP(-LN(2)/25))/(LN(2)/25)*Calculateur!DW101*Calculateur!DY101*VLOOKUP('Données projet'!$B$14,Paramètres!$A$1:$I$89,3,0)*0.475*44/12</f>
        <v>5.056466158704664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25.214407712301572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318.25</v>
      </c>
      <c r="L102" s="12">
        <f>VLOOKUP(A102,'Données projet'!$A$35:$I$55,9,0)</f>
        <v>7.1782051282051267</v>
      </c>
      <c r="M102" s="12">
        <f t="array" ref="M102">INDEX(L:L,MIN(IF(ISNUMBER(L102:L298),ROW(L102:L298),"")))</f>
        <v>7.1782051282051267</v>
      </c>
      <c r="N102" s="13">
        <f>IF('Données projet'!$A$36&gt;35,N101+M102-V101,IF(A102&lt;'Données projet'!$A$36,$K$205^A102,IF(A102='Données projet'!$A$36,'Données projet'!$B$36,N101+M102-V101)))</f>
        <v>318.25000000000051</v>
      </c>
      <c r="O102" s="13">
        <f>N102*VLOOKUP('Données projet'!$B$9,Paramètres!$A$1:$I$89,3,0)*VLOOKUP('Données projet'!$B$9,Paramètres!$A$1:$I$89,5,0)</f>
        <v>287.95260000000047</v>
      </c>
      <c r="P102" s="13">
        <f t="shared" si="87"/>
        <v>68.6448727389173</v>
      </c>
      <c r="Q102" s="20">
        <f t="shared" si="107"/>
        <v>621.07393168694841</v>
      </c>
      <c r="R102" s="59">
        <f t="shared" si="55"/>
        <v>914.40726502028178</v>
      </c>
      <c r="S102" s="59">
        <f ca="1">AVERAGE(OFFSET($R$3,0,0,'Données projet'!$E$9+1,1))-AVERAGE(OFFSET($H$3,0,0,'Données projet'!$E$9+1,1))</f>
        <v>384.05928630855732</v>
      </c>
      <c r="T102" s="59">
        <f t="shared" si="88"/>
        <v>279.93992813630513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48.019230769230766</v>
      </c>
      <c r="W102" s="16">
        <f>IF(ISNA(VLOOKUP(A102,'Données projet'!$A$35:$I$55,5,0)),0%,VLOOKUP(A102,'Données projet'!$A$35:$I$55,5,0)*VLOOKUP('Données projet'!$B$9,Paramètres!$A$1:$I$89,7,0))</f>
        <v>0.30099999999999999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49.144454416035025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49.144454416035025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282.06410256410254</v>
      </c>
      <c r="AG102" s="12">
        <f>VLOOKUP(A102,'Données projet'!$A$61:$I$81,9,0)</f>
        <v>6.4031339031338979</v>
      </c>
      <c r="AH102" s="12">
        <f t="array" ref="AH102">INDEX(AG:AG,MIN(IF(ISNUMBER(AG102:AG298),ROW(AG102:AG298),"")))</f>
        <v>6.4031339031338979</v>
      </c>
      <c r="AI102" s="13">
        <f>IF('Données projet'!$A$62&gt;35,AI101+AH102-AQ101,IF(A102&lt;'Données projet'!$A$62,$AF$205^A102,IF(A102='Données projet'!$A$62,'Données projet'!$B$62,AI101+AH102-AQ101)))</f>
        <v>282.06410256410271</v>
      </c>
      <c r="AJ102" s="13">
        <f>AI102*VLOOKUP('Données projet'!$B$10,Paramètres!$A$1:$I$89,3,0)*VLOOKUP('Données projet'!$B$10,Paramètres!$A$1:$I$89,5,0)</f>
        <v>242.01100000000017</v>
      </c>
      <c r="AK102" s="13">
        <f t="shared" si="89"/>
        <v>58.871996581381531</v>
      </c>
      <c r="AL102" s="20">
        <f t="shared" si="58"/>
        <v>524.03788571257303</v>
      </c>
      <c r="AM102" s="59">
        <f t="shared" si="59"/>
        <v>817.3712190459064</v>
      </c>
      <c r="AN102" s="59">
        <f ca="1">AVERAGE(OFFSET($AM$3,0,0,'Données projet'!$E$10+1,1))-AVERAGE(OFFSET($H$3,0,0,'Données projet'!$E$10+1,1))</f>
        <v>335.02113791949211</v>
      </c>
      <c r="AO102" s="59">
        <f t="shared" si="90"/>
        <v>222.06886429435099</v>
      </c>
      <c r="AP102" s="15">
        <f>IF(ISNA(VLOOKUP(A102,'Données projet'!$A$61:$I$81,3,0)),0,VLOOKUP(A102,'Données projet'!$A$61:$I$81,3,0))</f>
        <v>8</v>
      </c>
      <c r="AQ102" s="15">
        <f>IF(ISNA(VLOOKUP(A102,'Données projet'!$A$61:$I$81,4,0)),0,VLOOKUP(A102,'Données projet'!$A$61:$I$81,4,0))</f>
        <v>53.749999999999993</v>
      </c>
      <c r="AR102" s="16">
        <f>IF(ISNA(VLOOKUP(A102,'Données projet'!$A$61:$I$81,5,0)),0%,VLOOKUP(A102,'Données projet'!$A$61:$I$81,5,0)*VLOOKUP('Données projet'!$B$10,Paramètres!$A$1:$I$89,7,0))</f>
        <v>0.21200000000000002</v>
      </c>
      <c r="AS102" s="16">
        <f>IF(ISNA(VLOOKUP(A102,'Données projet'!$A$61:$I$81,6,0)),0%,VLOOKUP(A102,'Données projet'!$A$61:$I$81,6,0)*VLOOKUP('Données projet'!$B$10,Paramètres!$A$1:$I$89,7,0))</f>
        <v>0.1855</v>
      </c>
      <c r="AT102" s="16">
        <f>IF(ISNA(VLOOKUP(A102,'Données projet'!$A$61:$I$81,7,0)),0%,VLOOKUP(A102,'Données projet'!$A$61:$I$81,7,0))</f>
        <v>0.2</v>
      </c>
      <c r="AU102" s="21">
        <f>EXP(-LN(2)/35)*AU101+(1-EXP(-LN(2)/35))/(LN(2)/35)*AQ102*AR102*VLOOKUP('Données projet'!$B$10,Paramètres!$A$1:$I$89,3,0)*0.475*44/12</f>
        <v>30.16430292802476</v>
      </c>
      <c r="AV102" s="21">
        <f>EXP(-LN(2)/25)*AV101+(1-EXP(-LN(2)/25))/(LN(2)/25)*Calculateur!AQ102*Calculateur!AS102*VLOOKUP('Données projet'!$B$10,Paramètres!$A$1:$I$89,3,0)*0.475*44/12</f>
        <v>33.78088534902345</v>
      </c>
      <c r="AW102" s="21">
        <f>EXP(-LN(2)/2)*AW101+(1-EXP(-LN(2)/2))/(LN(2)/2)*AQ102*AT102*VLOOKUP('Données projet'!$B$10,Paramètres!$A$1:$I$89,3,0)*0.475*44/12</f>
        <v>9.0993826327323468</v>
      </c>
      <c r="AX102" s="21">
        <f t="shared" si="60"/>
        <v>73.04457090978056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5.2583333333333373</v>
      </c>
      <c r="BD102" s="12">
        <f>IF('Données projet'!$A$88&gt;35,BD101+BC102-BL101,IF(A102&lt;'Données projet'!$A$88,$BA$205^A102,IF(A102='Données projet'!$A$88,'Données projet'!$B$88,BD101+BC102-BL101)))</f>
        <v>213.73589743589716</v>
      </c>
      <c r="BE102" s="13">
        <f>BD102*VLOOKUP('Données projet'!$B$11,Paramètres!$A$1:$I$89,3,0)*VLOOKUP('Données projet'!$B$11,Paramètres!$A$1:$I$89,5,0)</f>
        <v>206.72535999999974</v>
      </c>
      <c r="BF102" s="13">
        <f t="shared" si="91"/>
        <v>51.219341239731868</v>
      </c>
      <c r="BG102" s="20">
        <f t="shared" si="61"/>
        <v>449.25368799253255</v>
      </c>
      <c r="BH102" s="59">
        <f t="shared" si="62"/>
        <v>742.58702132586586</v>
      </c>
      <c r="BI102" s="59">
        <f ca="1">AVERAGE(OFFSET($BH$3,0,0,'Données projet'!$E$11+1,1))-AVERAGE(OFFSET($H$3,0,0,'Données projet'!$E$11+1,1))</f>
        <v>366.51581861366333</v>
      </c>
      <c r="BJ102" s="59">
        <f t="shared" si="92"/>
        <v>225.01415116995503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23.172110558352969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23.172110558352969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204.00000000000017</v>
      </c>
      <c r="BZ102" s="13">
        <f>BY102*VLOOKUP('Données projet'!$B$12,Paramètres!$A$1:$I$89,3,0)*VLOOKUP('Données projet'!$B$12,Paramètres!$A$1:$I$89,5,0)</f>
        <v>133.66080000000011</v>
      </c>
      <c r="CA102" s="13">
        <f t="shared" si="93"/>
        <v>34.840890682716783</v>
      </c>
      <c r="CB102" s="20">
        <f t="shared" si="64"/>
        <v>293.4737779390652</v>
      </c>
      <c r="CC102" s="59">
        <f t="shared" si="65"/>
        <v>586.80711127239852</v>
      </c>
      <c r="CD102" s="59">
        <f ca="1">AVERAGE(OFFSET($CC$3,0,0,'Données projet'!$E$12+1,1))-AVERAGE(OFFSET($H$3,0,0,'Données projet'!$E$12+1,1))</f>
        <v>230.58262378842818</v>
      </c>
      <c r="CE102" s="59">
        <f t="shared" si="94"/>
        <v>235.68746142880792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1.5978507222614187</v>
      </c>
      <c r="CL102" s="21">
        <f>EXP(-LN(2)/25)*CL101+(1-EXP(-LN(2)/25))/(LN(2)/25)*Calculateur!CG102*Calculateur!CI102*VLOOKUP('Données projet'!$B$12,Paramètres!$A$1:$I$89,3,0)*0.475*44/12</f>
        <v>8.4057573985923941</v>
      </c>
      <c r="CM102" s="21">
        <f>EXP(-LN(2)/2)*CM101+(1-EXP(-LN(2)/2))/(LN(2)/2)*CG102*CJ102*VLOOKUP('Données projet'!$B$12,Paramètres!$A$1:$I$89,3,0)*0.475*44/12</f>
        <v>0.13156953210125763</v>
      </c>
      <c r="CN102" s="22">
        <f t="shared" si="66"/>
        <v>10.13517765295507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1.7053025658242404E-13</v>
      </c>
      <c r="CU102" s="17">
        <f>CT102*VLOOKUP('Données projet'!$B$13,Paramètres!$A$1:$I$89,3,0)*VLOOKUP('Données projet'!$B$13,Paramètres!$A$1:$I$89,5,0)</f>
        <v>1.3301360013429075E-13</v>
      </c>
      <c r="CV102" s="13">
        <f t="shared" si="95"/>
        <v>1.9329766731057041E-12</v>
      </c>
      <c r="CW102" s="20">
        <f t="shared" si="67"/>
        <v>3.5982663925596575E-12</v>
      </c>
      <c r="CX102" s="59">
        <f t="shared" si="68"/>
        <v>293.3333333333369</v>
      </c>
      <c r="CY102" s="59">
        <f ca="1">AVERAGE(OFFSET($CX$3,0,0,'Données projet'!$E$13+1,1))-AVERAGE(OFFSET($H$3,0,0,'Données projet'!$E$13+1,1))</f>
        <v>288.80569134263209</v>
      </c>
      <c r="CZ102" s="59">
        <f t="shared" si="96"/>
        <v>283.48738729114024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44.789403251566327</v>
      </c>
      <c r="DG102" s="21">
        <f>EXP(-LN(2)/25)*DG101+(1-EXP(-LN(2)/25))/(LN(2)/25)*Calculateur!DB102*Calculateur!DD102*VLOOKUP('Données projet'!$B$13,Paramètres!$A$1:$I$89,3,0)*0.475*44/12</f>
        <v>29.689926973308857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74.479330224875184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266.99999999999983</v>
      </c>
      <c r="DP102" s="17">
        <f>DO102*VLOOKUP('Données projet'!$B$14,Paramètres!$A$1:$I$89,3,0)*VLOOKUP('Données projet'!$B$14,Paramètres!$A$1:$I$89,5,0)</f>
        <v>212.42519999999985</v>
      </c>
      <c r="DQ102" s="13">
        <f t="shared" si="97"/>
        <v>52.465198231787184</v>
      </c>
      <c r="DR102" s="20">
        <f t="shared" si="70"/>
        <v>461.35077692036231</v>
      </c>
      <c r="DS102" s="59">
        <f t="shared" si="71"/>
        <v>754.68411025369562</v>
      </c>
      <c r="DT102" s="59">
        <f ca="1">AVERAGE(OFFSET($DS$3,0,0,'Données projet'!$E$14+1,1))-AVERAGE(OFFSET($H$3,0,0,'Données projet'!$E$14+1,1))</f>
        <v>299.10536994156814</v>
      </c>
      <c r="DU102" s="59">
        <f t="shared" si="98"/>
        <v>292.57799203101769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19.762656614861175</v>
      </c>
      <c r="EB102" s="21">
        <f>EXP(-LN(2)/25)*EB101+(1-EXP(-LN(2)/25))/(LN(2)/25)*Calculateur!DW102*Calculateur!DY102*VLOOKUP('Données projet'!$B$14,Paramètres!$A$1:$I$89,3,0)*0.475*44/12</f>
        <v>4.918196825686886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24.680853440548063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6.9935897435897401</v>
      </c>
      <c r="N103" s="13">
        <f>IF('Données projet'!$A$36&gt;35,N102+M103-V102,IF(A103&lt;'Données projet'!$A$36,$K$205^A103,IF(A103='Données projet'!$A$36,'Données projet'!$B$36,N102+M103-V102)))</f>
        <v>277.22435897435946</v>
      </c>
      <c r="O103" s="13">
        <f>N103*VLOOKUP('Données projet'!$B$9,Paramètres!$A$1:$I$89,3,0)*VLOOKUP('Données projet'!$B$9,Paramètres!$A$1:$I$89,5,0)</f>
        <v>250.83260000000041</v>
      </c>
      <c r="P103" s="13">
        <f t="shared" si="87"/>
        <v>60.764195096344402</v>
      </c>
      <c r="Q103" s="20">
        <f t="shared" si="107"/>
        <v>542.69775145946721</v>
      </c>
      <c r="R103" s="59">
        <f t="shared" si="55"/>
        <v>836.03108479280058</v>
      </c>
      <c r="S103" s="59">
        <f ca="1">AVERAGE(OFFSET($R$3,0,0,'Données projet'!$E$9+1,1))-AVERAGE(OFFSET($H$3,0,0,'Données projet'!$E$9+1,1))</f>
        <v>384.05928630855732</v>
      </c>
      <c r="T103" s="59">
        <f t="shared" si="88"/>
        <v>279.93992813630513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48.180761640093969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48.180761640093969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5.6367521367521407</v>
      </c>
      <c r="AI103" s="13">
        <f>IF('Données projet'!$A$62&gt;35,AI102+AH103-AQ102,IF(A103&lt;'Données projet'!$A$62,$AF$205^A103,IF(A103='Données projet'!$A$62,'Données projet'!$B$62,AI102+AH103-AQ102)))</f>
        <v>233.95085470085485</v>
      </c>
      <c r="AJ103" s="13">
        <f>AI103*VLOOKUP('Données projet'!$B$10,Paramètres!$A$1:$I$89,3,0)*VLOOKUP('Données projet'!$B$10,Paramètres!$A$1:$I$89,5,0)</f>
        <v>200.72983333333349</v>
      </c>
      <c r="AK103" s="13">
        <f t="shared" si="89"/>
        <v>49.904528983373083</v>
      </c>
      <c r="AL103" s="20">
        <f t="shared" si="58"/>
        <v>436.52151436826398</v>
      </c>
      <c r="AM103" s="59">
        <f t="shared" si="59"/>
        <v>729.85484770159724</v>
      </c>
      <c r="AN103" s="59">
        <f ca="1">AVERAGE(OFFSET($AM$3,0,0,'Données projet'!$E$10+1,1))-AVERAGE(OFFSET($H$3,0,0,'Données projet'!$E$10+1,1))</f>
        <v>335.02113791949211</v>
      </c>
      <c r="AO103" s="59">
        <f t="shared" si="90"/>
        <v>222.06886429435099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29.572799346014289</v>
      </c>
      <c r="AV103" s="21">
        <f>EXP(-LN(2)/25)*AV102+(1-EXP(-LN(2)/25))/(LN(2)/25)*Calculateur!AQ103*Calculateur!AS103*VLOOKUP('Données projet'!$B$10,Paramètres!$A$1:$I$89,3,0)*0.475*44/12</f>
        <v>32.85714526269485</v>
      </c>
      <c r="AW103" s="21">
        <f>EXP(-LN(2)/2)*AW102+(1-EXP(-LN(2)/2))/(LN(2)/2)*AQ103*AT103*VLOOKUP('Données projet'!$B$10,Paramètres!$A$1:$I$89,3,0)*0.475*44/12</f>
        <v>6.4342351642161431</v>
      </c>
      <c r="AX103" s="21">
        <f t="shared" si="60"/>
        <v>68.864179772925283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5.2583333333333373</v>
      </c>
      <c r="BD103" s="12">
        <f>IF('Données projet'!$A$88&gt;35,BD102+BC103-BL102,IF(A103&lt;'Données projet'!$A$88,$BA$205^A103,IF(A103='Données projet'!$A$88,'Données projet'!$B$88,BD102+BC103-BL102)))</f>
        <v>218.99423076923048</v>
      </c>
      <c r="BE103" s="13">
        <f>BD103*VLOOKUP('Données projet'!$B$11,Paramètres!$A$1:$I$89,3,0)*VLOOKUP('Données projet'!$B$11,Paramètres!$A$1:$I$89,5,0)</f>
        <v>211.81121999999974</v>
      </c>
      <c r="BF103" s="13">
        <f t="shared" si="91"/>
        <v>52.331184795732305</v>
      </c>
      <c r="BG103" s="20">
        <f t="shared" si="61"/>
        <v>460.04802168589998</v>
      </c>
      <c r="BH103" s="59">
        <f t="shared" si="62"/>
        <v>753.3813550192333</v>
      </c>
      <c r="BI103" s="59">
        <f ca="1">AVERAGE(OFFSET($BH$3,0,0,'Données projet'!$E$11+1,1))-AVERAGE(OFFSET($H$3,0,0,'Données projet'!$E$11+1,1))</f>
        <v>366.51581861366333</v>
      </c>
      <c r="BJ103" s="59">
        <f t="shared" si="92"/>
        <v>225.01415116995503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22.717719603895532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22.717719603895532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204.00000000000017</v>
      </c>
      <c r="BZ103" s="13">
        <f>BY103*VLOOKUP('Données projet'!$B$12,Paramètres!$A$1:$I$89,3,0)*VLOOKUP('Données projet'!$B$12,Paramètres!$A$1:$I$89,5,0)</f>
        <v>133.66080000000011</v>
      </c>
      <c r="CA103" s="13">
        <f t="shared" si="93"/>
        <v>34.840890682716783</v>
      </c>
      <c r="CB103" s="20">
        <f t="shared" si="64"/>
        <v>293.4737779390652</v>
      </c>
      <c r="CC103" s="59">
        <f t="shared" si="65"/>
        <v>586.80711127239852</v>
      </c>
      <c r="CD103" s="59">
        <f ca="1">AVERAGE(OFFSET($CC$3,0,0,'Données projet'!$E$12+1,1))-AVERAGE(OFFSET($H$3,0,0,'Données projet'!$E$12+1,1))</f>
        <v>230.58262378842818</v>
      </c>
      <c r="CE103" s="59">
        <f t="shared" si="94"/>
        <v>235.68746142880792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1.5665178441905798</v>
      </c>
      <c r="CL103" s="21">
        <f>EXP(-LN(2)/25)*CL102+(1-EXP(-LN(2)/25))/(LN(2)/25)*Calculateur!CG103*Calculateur!CI103*VLOOKUP('Données projet'!$B$12,Paramètres!$A$1:$I$89,3,0)*0.475*44/12</f>
        <v>8.1759015204883152</v>
      </c>
      <c r="CM103" s="21">
        <f>EXP(-LN(2)/2)*CM102+(1-EXP(-LN(2)/2))/(LN(2)/2)*CG103*CJ103*VLOOKUP('Données projet'!$B$12,Paramètres!$A$1:$I$89,3,0)*0.475*44/12</f>
        <v>9.3033708346340421E-2</v>
      </c>
      <c r="CN103" s="22">
        <f t="shared" si="66"/>
        <v>9.835453073025235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1.7053025658242404E-13</v>
      </c>
      <c r="CU103" s="17">
        <f>CT103*VLOOKUP('Données projet'!$B$13,Paramètres!$A$1:$I$89,3,0)*VLOOKUP('Données projet'!$B$13,Paramètres!$A$1:$I$89,5,0)</f>
        <v>1.3301360013429075E-13</v>
      </c>
      <c r="CV103" s="13">
        <f t="shared" si="95"/>
        <v>1.9329766731057041E-12</v>
      </c>
      <c r="CW103" s="20">
        <f t="shared" si="67"/>
        <v>3.5982663925596575E-12</v>
      </c>
      <c r="CX103" s="59">
        <f t="shared" si="68"/>
        <v>293.3333333333369</v>
      </c>
      <c r="CY103" s="59">
        <f ca="1">AVERAGE(OFFSET($CX$3,0,0,'Données projet'!$E$13+1,1))-AVERAGE(OFFSET($H$3,0,0,'Données projet'!$E$13+1,1))</f>
        <v>288.80569134263209</v>
      </c>
      <c r="CZ103" s="59">
        <f t="shared" si="96"/>
        <v>283.48738729114024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43.911110372641581</v>
      </c>
      <c r="DG103" s="21">
        <f>EXP(-LN(2)/25)*DG102+(1-EXP(-LN(2)/25))/(LN(2)/25)*Calculateur!DB103*Calculateur!DD103*VLOOKUP('Données projet'!$B$13,Paramètres!$A$1:$I$89,3,0)*0.475*44/12</f>
        <v>28.878054358898325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72.789164731539898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266.99999999999983</v>
      </c>
      <c r="DP103" s="17">
        <f>DO103*VLOOKUP('Données projet'!$B$14,Paramètres!$A$1:$I$89,3,0)*VLOOKUP('Données projet'!$B$14,Paramètres!$A$1:$I$89,5,0)</f>
        <v>212.42519999999985</v>
      </c>
      <c r="DQ103" s="13">
        <f t="shared" si="97"/>
        <v>52.465198231787184</v>
      </c>
      <c r="DR103" s="20">
        <f t="shared" si="70"/>
        <v>461.35077692036231</v>
      </c>
      <c r="DS103" s="59">
        <f t="shared" si="71"/>
        <v>754.68411025369562</v>
      </c>
      <c r="DT103" s="59">
        <f ca="1">AVERAGE(OFFSET($DS$3,0,0,'Données projet'!$E$14+1,1))-AVERAGE(OFFSET($H$3,0,0,'Données projet'!$E$14+1,1))</f>
        <v>299.10536994156814</v>
      </c>
      <c r="DU103" s="59">
        <f t="shared" si="98"/>
        <v>292.57799203101769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19.375122972674045</v>
      </c>
      <c r="EB103" s="21">
        <f>EXP(-LN(2)/25)*EB102+(1-EXP(-LN(2)/25))/(LN(2)/25)*Calculateur!DW103*Calculateur!DY103*VLOOKUP('Données projet'!$B$14,Paramètres!$A$1:$I$89,3,0)*0.475*44/12</f>
        <v>4.783708474851748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24.158831447525792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6.9935897435897401</v>
      </c>
      <c r="N104" s="13">
        <f>IF('Données projet'!$A$36&gt;35,N103+M104-V103,IF(A104&lt;'Données projet'!$A$36,$K$205^A104,IF(A104='Données projet'!$A$36,'Données projet'!$B$36,N103+M104-V103)))</f>
        <v>284.21794871794918</v>
      </c>
      <c r="O104" s="13">
        <f>N104*VLOOKUP('Données projet'!$B$9,Paramètres!$A$1:$I$89,3,0)*VLOOKUP('Données projet'!$B$9,Paramètres!$A$1:$I$89,5,0)</f>
        <v>257.16040000000038</v>
      </c>
      <c r="P104" s="13">
        <f t="shared" si="87"/>
        <v>62.116703672873726</v>
      </c>
      <c r="Q104" s="20">
        <f t="shared" si="107"/>
        <v>556.07428889692233</v>
      </c>
      <c r="R104" s="59">
        <f t="shared" si="55"/>
        <v>849.40762223025558</v>
      </c>
      <c r="S104" s="59">
        <f ca="1">AVERAGE(OFFSET($R$3,0,0,'Données projet'!$E$9+1,1))-AVERAGE(OFFSET($H$3,0,0,'Données projet'!$E$9+1,1))</f>
        <v>384.05928630855732</v>
      </c>
      <c r="T104" s="59">
        <f t="shared" si="88"/>
        <v>279.93992813630513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47.235966291694567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47.235966291694567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5.6367521367521407</v>
      </c>
      <c r="AI104" s="13">
        <f>IF('Données projet'!$A$62&gt;35,AI103+AH104-AQ103,IF(A104&lt;'Données projet'!$A$62,$AF$205^A104,IF(A104='Données projet'!$A$62,'Données projet'!$B$62,AI103+AH104-AQ103)))</f>
        <v>239.58760683760698</v>
      </c>
      <c r="AJ104" s="13">
        <f>AI104*VLOOKUP('Données projet'!$B$10,Paramètres!$A$1:$I$89,3,0)*VLOOKUP('Données projet'!$B$10,Paramètres!$A$1:$I$89,5,0)</f>
        <v>205.56616666666682</v>
      </c>
      <c r="AK104" s="13">
        <f t="shared" si="89"/>
        <v>50.965481506429725</v>
      </c>
      <c r="AL104" s="20">
        <f t="shared" si="58"/>
        <v>446.79262056814309</v>
      </c>
      <c r="AM104" s="59">
        <f t="shared" si="59"/>
        <v>740.12595390147635</v>
      </c>
      <c r="AN104" s="59">
        <f ca="1">AVERAGE(OFFSET($AM$3,0,0,'Données projet'!$E$10+1,1))-AVERAGE(OFFSET($H$3,0,0,'Données projet'!$E$10+1,1))</f>
        <v>335.02113791949211</v>
      </c>
      <c r="AO104" s="59">
        <f t="shared" si="90"/>
        <v>222.06886429435099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28.992894788465481</v>
      </c>
      <c r="AV104" s="21">
        <f>EXP(-LN(2)/25)*AV103+(1-EXP(-LN(2)/25))/(LN(2)/25)*Calculateur!AQ104*Calculateur!AS104*VLOOKUP('Données projet'!$B$10,Paramètres!$A$1:$I$89,3,0)*0.475*44/12</f>
        <v>31.958664897604287</v>
      </c>
      <c r="AW104" s="21">
        <f>EXP(-LN(2)/2)*AW103+(1-EXP(-LN(2)/2))/(LN(2)/2)*AQ104*AT104*VLOOKUP('Données projet'!$B$10,Paramètres!$A$1:$I$89,3,0)*0.475*44/12</f>
        <v>4.5496913163661743</v>
      </c>
      <c r="AX104" s="21">
        <f t="shared" si="60"/>
        <v>65.50125100243595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5.2583333333333373</v>
      </c>
      <c r="BD104" s="12">
        <f>IF('Données projet'!$A$88&gt;35,BD103+BC104-BL103,IF(A104&lt;'Données projet'!$A$88,$BA$205^A104,IF(A104='Données projet'!$A$88,'Données projet'!$B$88,BD103+BC104-BL103)))</f>
        <v>224.25256410256381</v>
      </c>
      <c r="BE104" s="13">
        <f>BD104*VLOOKUP('Données projet'!$B$11,Paramètres!$A$1:$I$89,3,0)*VLOOKUP('Données projet'!$B$11,Paramètres!$A$1:$I$89,5,0)</f>
        <v>216.89707999999973</v>
      </c>
      <c r="BF104" s="13">
        <f t="shared" si="91"/>
        <v>53.439924868212991</v>
      </c>
      <c r="BG104" s="20">
        <f t="shared" si="61"/>
        <v>470.83695014547044</v>
      </c>
      <c r="BH104" s="59">
        <f t="shared" si="62"/>
        <v>764.17028347880375</v>
      </c>
      <c r="BI104" s="59">
        <f ca="1">AVERAGE(OFFSET($BH$3,0,0,'Données projet'!$E$11+1,1))-AVERAGE(OFFSET($H$3,0,0,'Données projet'!$E$11+1,1))</f>
        <v>366.51581861366333</v>
      </c>
      <c r="BJ104" s="59">
        <f t="shared" si="92"/>
        <v>225.01415116995503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22.272238978903889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22.272238978903889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204.00000000000017</v>
      </c>
      <c r="BZ104" s="13">
        <f>BY104*VLOOKUP('Données projet'!$B$12,Paramètres!$A$1:$I$89,3,0)*VLOOKUP('Données projet'!$B$12,Paramètres!$A$1:$I$89,5,0)</f>
        <v>133.66080000000011</v>
      </c>
      <c r="CA104" s="13">
        <f t="shared" si="93"/>
        <v>34.840890682716783</v>
      </c>
      <c r="CB104" s="20">
        <f t="shared" si="64"/>
        <v>293.4737779390652</v>
      </c>
      <c r="CC104" s="59">
        <f t="shared" si="65"/>
        <v>586.80711127239852</v>
      </c>
      <c r="CD104" s="59">
        <f ca="1">AVERAGE(OFFSET($CC$3,0,0,'Données projet'!$E$12+1,1))-AVERAGE(OFFSET($H$3,0,0,'Données projet'!$E$12+1,1))</f>
        <v>230.58262378842818</v>
      </c>
      <c r="CE104" s="59">
        <f t="shared" si="94"/>
        <v>235.68746142880792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1.5357993847475415</v>
      </c>
      <c r="CL104" s="21">
        <f>EXP(-LN(2)/25)*CL103+(1-EXP(-LN(2)/25))/(LN(2)/25)*Calculateur!CG104*Calculateur!CI104*VLOOKUP('Données projet'!$B$12,Paramètres!$A$1:$I$89,3,0)*0.475*44/12</f>
        <v>7.9523310634585878</v>
      </c>
      <c r="CM104" s="21">
        <f>EXP(-LN(2)/2)*CM103+(1-EXP(-LN(2)/2))/(LN(2)/2)*CG104*CJ104*VLOOKUP('Données projet'!$B$12,Paramètres!$A$1:$I$89,3,0)*0.475*44/12</f>
        <v>6.5784766050628815E-2</v>
      </c>
      <c r="CN104" s="22">
        <f t="shared" si="66"/>
        <v>9.553915214256758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1.7053025658242404E-13</v>
      </c>
      <c r="CU104" s="17">
        <f>CT104*VLOOKUP('Données projet'!$B$13,Paramètres!$A$1:$I$89,3,0)*VLOOKUP('Données projet'!$B$13,Paramètres!$A$1:$I$89,5,0)</f>
        <v>1.3301360013429075E-13</v>
      </c>
      <c r="CV104" s="13">
        <f t="shared" si="95"/>
        <v>1.9329766731057041E-12</v>
      </c>
      <c r="CW104" s="20">
        <f t="shared" si="67"/>
        <v>3.5982663925596575E-12</v>
      </c>
      <c r="CX104" s="59">
        <f t="shared" si="68"/>
        <v>293.3333333333369</v>
      </c>
      <c r="CY104" s="59">
        <f ca="1">AVERAGE(OFFSET($CX$3,0,0,'Données projet'!$E$13+1,1))-AVERAGE(OFFSET($H$3,0,0,'Données projet'!$E$13+1,1))</f>
        <v>288.80569134263209</v>
      </c>
      <c r="CZ104" s="59">
        <f t="shared" si="96"/>
        <v>283.48738729114024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43.05004028136679</v>
      </c>
      <c r="DG104" s="21">
        <f>EXP(-LN(2)/25)*DG103+(1-EXP(-LN(2)/25))/(LN(2)/25)*Calculateur!DB104*Calculateur!DD104*VLOOKUP('Données projet'!$B$13,Paramètres!$A$1:$I$89,3,0)*0.475*44/12</f>
        <v>28.088382443823374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71.138422725190168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266.99999999999983</v>
      </c>
      <c r="DP104" s="17">
        <f>DO104*VLOOKUP('Données projet'!$B$14,Paramètres!$A$1:$I$89,3,0)*VLOOKUP('Données projet'!$B$14,Paramètres!$A$1:$I$89,5,0)</f>
        <v>212.42519999999985</v>
      </c>
      <c r="DQ104" s="13">
        <f t="shared" si="97"/>
        <v>52.465198231787184</v>
      </c>
      <c r="DR104" s="20">
        <f t="shared" si="70"/>
        <v>461.35077692036231</v>
      </c>
      <c r="DS104" s="59">
        <f t="shared" si="71"/>
        <v>754.68411025369562</v>
      </c>
      <c r="DT104" s="59">
        <f ca="1">AVERAGE(OFFSET($DS$3,0,0,'Données projet'!$E$14+1,1))-AVERAGE(OFFSET($H$3,0,0,'Données projet'!$E$14+1,1))</f>
        <v>299.10536994156814</v>
      </c>
      <c r="DU104" s="59">
        <f t="shared" si="98"/>
        <v>292.57799203101769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18.995188628838022</v>
      </c>
      <c r="EB104" s="21">
        <f>EXP(-LN(2)/25)*EB103+(1-EXP(-LN(2)/25))/(LN(2)/25)*Calculateur!DW104*Calculateur!DY104*VLOOKUP('Données projet'!$B$14,Paramètres!$A$1:$I$89,3,0)*0.475*44/12</f>
        <v>4.6528977150426316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23.648086343880653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6.9935897435897401</v>
      </c>
      <c r="N105" s="13">
        <f>IF('Données projet'!$A$36&gt;35,N104+M105-V104,IF(A105&lt;'Données projet'!$A$36,$K$205^A105,IF(A105='Données projet'!$A$36,'Données projet'!$B$36,N104+M105-V104)))</f>
        <v>291.21153846153891</v>
      </c>
      <c r="O105" s="13">
        <f>N105*VLOOKUP('Données projet'!$B$9,Paramètres!$A$1:$I$89,3,0)*VLOOKUP('Données projet'!$B$9,Paramètres!$A$1:$I$89,5,0)</f>
        <v>263.4882000000004</v>
      </c>
      <c r="P105" s="13">
        <f t="shared" si="87"/>
        <v>63.465343539396919</v>
      </c>
      <c r="Q105" s="20">
        <f t="shared" si="107"/>
        <v>569.44408833111697</v>
      </c>
      <c r="R105" s="59">
        <f t="shared" si="55"/>
        <v>862.77742166445023</v>
      </c>
      <c r="S105" s="59">
        <f ca="1">AVERAGE(OFFSET($R$3,0,0,'Données projet'!$E$9+1,1))-AVERAGE(OFFSET($H$3,0,0,'Données projet'!$E$9+1,1))</f>
        <v>384.05928630855732</v>
      </c>
      <c r="T105" s="59">
        <f t="shared" si="88"/>
        <v>279.93992813630513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46.309697803809016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46.309697803809016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5.6367521367521407</v>
      </c>
      <c r="AI105" s="13">
        <f>IF('Données projet'!$A$62&gt;35,AI104+AH105-AQ104,IF(A105&lt;'Données projet'!$A$62,$AF$205^A105,IF(A105='Données projet'!$A$62,'Données projet'!$B$62,AI104+AH105-AQ104)))</f>
        <v>245.22435897435912</v>
      </c>
      <c r="AJ105" s="13">
        <f>AI105*VLOOKUP('Données projet'!$B$10,Paramètres!$A$1:$I$89,3,0)*VLOOKUP('Données projet'!$B$10,Paramètres!$A$1:$I$89,5,0)</f>
        <v>210.40250000000015</v>
      </c>
      <c r="AK105" s="13">
        <f t="shared" si="89"/>
        <v>52.023532270510636</v>
      </c>
      <c r="AL105" s="20">
        <f t="shared" si="58"/>
        <v>457.05867287113961</v>
      </c>
      <c r="AM105" s="59">
        <f t="shared" si="59"/>
        <v>750.39200620447286</v>
      </c>
      <c r="AN105" s="59">
        <f ca="1">AVERAGE(OFFSET($AM$3,0,0,'Données projet'!$E$10+1,1))-AVERAGE(OFFSET($H$3,0,0,'Données projet'!$E$10+1,1))</f>
        <v>335.02113791949211</v>
      </c>
      <c r="AO105" s="59">
        <f t="shared" si="90"/>
        <v>222.06886429435099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28.424361805583352</v>
      </c>
      <c r="AV105" s="21">
        <f>EXP(-LN(2)/25)*AV104+(1-EXP(-LN(2)/25))/(LN(2)/25)*Calculateur!AQ105*Calculateur!AS105*VLOOKUP('Données projet'!$B$10,Paramètres!$A$1:$I$89,3,0)*0.475*44/12</f>
        <v>31.084753525346152</v>
      </c>
      <c r="AW105" s="21">
        <f>EXP(-LN(2)/2)*AW104+(1-EXP(-LN(2)/2))/(LN(2)/2)*AQ105*AT105*VLOOKUP('Données projet'!$B$10,Paramètres!$A$1:$I$89,3,0)*0.475*44/12</f>
        <v>3.217117582108072</v>
      </c>
      <c r="AX105" s="21">
        <f t="shared" si="60"/>
        <v>62.726232913037578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5.2583333333333373</v>
      </c>
      <c r="BD105" s="12">
        <f>IF('Données projet'!$A$88&gt;35,BD104+BC105-BL104,IF(A105&lt;'Données projet'!$A$88,$BA$205^A105,IF(A105='Données projet'!$A$88,'Données projet'!$B$88,BD104+BC105-BL104)))</f>
        <v>229.51089743589714</v>
      </c>
      <c r="BE105" s="13">
        <f>BD105*VLOOKUP('Données projet'!$B$11,Paramètres!$A$1:$I$89,3,0)*VLOOKUP('Données projet'!$B$11,Paramètres!$A$1:$I$89,5,0)</f>
        <v>221.9829399999997</v>
      </c>
      <c r="BF105" s="13">
        <f t="shared" si="91"/>
        <v>54.545642603317233</v>
      </c>
      <c r="BG105" s="20">
        <f t="shared" si="61"/>
        <v>481.62061470077691</v>
      </c>
      <c r="BH105" s="59">
        <f t="shared" si="62"/>
        <v>774.95394803411023</v>
      </c>
      <c r="BI105" s="59">
        <f ca="1">AVERAGE(OFFSET($BH$3,0,0,'Données projet'!$E$11+1,1))-AVERAGE(OFFSET($H$3,0,0,'Données projet'!$E$11+1,1))</f>
        <v>366.51581861366333</v>
      </c>
      <c r="BJ105" s="59">
        <f t="shared" si="92"/>
        <v>225.01415116995503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21.83549395725198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21.83549395725198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204.00000000000017</v>
      </c>
      <c r="BZ105" s="13">
        <f>BY105*VLOOKUP('Données projet'!$B$12,Paramètres!$A$1:$I$89,3,0)*VLOOKUP('Données projet'!$B$12,Paramètres!$A$1:$I$89,5,0)</f>
        <v>133.66080000000011</v>
      </c>
      <c r="CA105" s="13">
        <f t="shared" si="93"/>
        <v>34.840890682716783</v>
      </c>
      <c r="CB105" s="20">
        <f t="shared" si="64"/>
        <v>293.4737779390652</v>
      </c>
      <c r="CC105" s="59">
        <f t="shared" si="65"/>
        <v>586.80711127239852</v>
      </c>
      <c r="CD105" s="59">
        <f ca="1">AVERAGE(OFFSET($CC$3,0,0,'Données projet'!$E$12+1,1))-AVERAGE(OFFSET($H$3,0,0,'Données projet'!$E$12+1,1))</f>
        <v>230.58262378842818</v>
      </c>
      <c r="CE105" s="59">
        <f t="shared" si="94"/>
        <v>235.68746142880792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1.505683295557771</v>
      </c>
      <c r="CL105" s="21">
        <f>EXP(-LN(2)/25)*CL104+(1-EXP(-LN(2)/25))/(LN(2)/25)*Calculateur!CG105*Calculateur!CI105*VLOOKUP('Données projet'!$B$12,Paramètres!$A$1:$I$89,3,0)*0.475*44/12</f>
        <v>7.734874152333397</v>
      </c>
      <c r="CM105" s="21">
        <f>EXP(-LN(2)/2)*CM104+(1-EXP(-LN(2)/2))/(LN(2)/2)*CG105*CJ105*VLOOKUP('Données projet'!$B$12,Paramètres!$A$1:$I$89,3,0)*0.475*44/12</f>
        <v>4.6516854173170211E-2</v>
      </c>
      <c r="CN105" s="22">
        <f t="shared" si="66"/>
        <v>9.2870743020643385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1.7053025658242404E-13</v>
      </c>
      <c r="CU105" s="17">
        <f>CT105*VLOOKUP('Données projet'!$B$13,Paramètres!$A$1:$I$89,3,0)*VLOOKUP('Données projet'!$B$13,Paramètres!$A$1:$I$89,5,0)</f>
        <v>1.3301360013429075E-13</v>
      </c>
      <c r="CV105" s="13">
        <f t="shared" si="95"/>
        <v>1.9329766731057041E-12</v>
      </c>
      <c r="CW105" s="20">
        <f t="shared" si="67"/>
        <v>3.5982663925596575E-12</v>
      </c>
      <c r="CX105" s="59">
        <f t="shared" si="68"/>
        <v>293.3333333333369</v>
      </c>
      <c r="CY105" s="59">
        <f ca="1">AVERAGE(OFFSET($CX$3,0,0,'Données projet'!$E$13+1,1))-AVERAGE(OFFSET($H$3,0,0,'Données projet'!$E$13+1,1))</f>
        <v>288.80569134263209</v>
      </c>
      <c r="CZ105" s="59">
        <f t="shared" si="96"/>
        <v>283.48738729114024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42.205855249381003</v>
      </c>
      <c r="DG105" s="21">
        <f>EXP(-LN(2)/25)*DG104+(1-EXP(-LN(2)/25))/(LN(2)/25)*Calculateur!DB105*Calculateur!DD105*VLOOKUP('Données projet'!$B$13,Paramètres!$A$1:$I$89,3,0)*0.475*44/12</f>
        <v>27.320304148793188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69.526159398174187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266.99999999999983</v>
      </c>
      <c r="DP105" s="17">
        <f>DO105*VLOOKUP('Données projet'!$B$14,Paramètres!$A$1:$I$89,3,0)*VLOOKUP('Données projet'!$B$14,Paramètres!$A$1:$I$89,5,0)</f>
        <v>212.42519999999985</v>
      </c>
      <c r="DQ105" s="13">
        <f t="shared" si="97"/>
        <v>52.465198231787184</v>
      </c>
      <c r="DR105" s="20">
        <f t="shared" si="70"/>
        <v>461.35077692036231</v>
      </c>
      <c r="DS105" s="59">
        <f t="shared" si="71"/>
        <v>754.68411025369562</v>
      </c>
      <c r="DT105" s="59">
        <f ca="1">AVERAGE(OFFSET($DS$3,0,0,'Données projet'!$E$14+1,1))-AVERAGE(OFFSET($H$3,0,0,'Données projet'!$E$14+1,1))</f>
        <v>299.10536994156814</v>
      </c>
      <c r="DU105" s="59">
        <f t="shared" si="98"/>
        <v>292.57799203101769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18.622704565747558</v>
      </c>
      <c r="EB105" s="21">
        <f>EXP(-LN(2)/25)*EB104+(1-EXP(-LN(2)/25))/(LN(2)/25)*Calculateur!DW105*Calculateur!DY105*VLOOKUP('Données projet'!$B$14,Paramètres!$A$1:$I$89,3,0)*0.475*44/12</f>
        <v>4.5256639823395339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23.148368548087092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6.9935897435897401</v>
      </c>
      <c r="N106" s="13">
        <f>IF('Données projet'!$A$36&gt;35,N105+M106-V105,IF(A106&lt;'Données projet'!$A$36,$K$205^A106,IF(A106='Données projet'!$A$36,'Données projet'!$B$36,N105+M106-V105)))</f>
        <v>298.20512820512863</v>
      </c>
      <c r="O106" s="13">
        <f>N106*VLOOKUP('Données projet'!$B$9,Paramètres!$A$1:$I$89,3,0)*VLOOKUP('Données projet'!$B$9,Paramètres!$A$1:$I$89,5,0)</f>
        <v>269.81600000000037</v>
      </c>
      <c r="P106" s="13">
        <f t="shared" si="87"/>
        <v>64.810218294809729</v>
      </c>
      <c r="Q106" s="20">
        <f t="shared" si="107"/>
        <v>582.80733019679417</v>
      </c>
      <c r="R106" s="59">
        <f t="shared" si="55"/>
        <v>876.14066353012754</v>
      </c>
      <c r="S106" s="59">
        <f ca="1">AVERAGE(OFFSET($R$3,0,0,'Données projet'!$E$9+1,1))-AVERAGE(OFFSET($H$3,0,0,'Données projet'!$E$9+1,1))</f>
        <v>384.05928630855732</v>
      </c>
      <c r="T106" s="59">
        <f t="shared" si="88"/>
        <v>279.93992813630513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45.401592876002908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45.401592876002908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5.6367521367521407</v>
      </c>
      <c r="AI106" s="13">
        <f>IF('Données projet'!$A$62&gt;35,AI105+AH106-AQ105,IF(A106&lt;'Données projet'!$A$62,$AF$205^A106,IF(A106='Données projet'!$A$62,'Données projet'!$B$62,AI105+AH106-AQ105)))</f>
        <v>250.86111111111126</v>
      </c>
      <c r="AJ106" s="13">
        <f>AI106*VLOOKUP('Données projet'!$B$10,Paramètres!$A$1:$I$89,3,0)*VLOOKUP('Données projet'!$B$10,Paramètres!$A$1:$I$89,5,0)</f>
        <v>215.2388333333335</v>
      </c>
      <c r="AK106" s="13">
        <f t="shared" si="89"/>
        <v>53.078755653347713</v>
      </c>
      <c r="AL106" s="20">
        <f t="shared" si="58"/>
        <v>467.31980081846979</v>
      </c>
      <c r="AM106" s="59">
        <f t="shared" si="59"/>
        <v>760.6531341518031</v>
      </c>
      <c r="AN106" s="59">
        <f ca="1">AVERAGE(OFFSET($AM$3,0,0,'Données projet'!$E$10+1,1))-AVERAGE(OFFSET($H$3,0,0,'Données projet'!$E$10+1,1))</f>
        <v>335.02113791949211</v>
      </c>
      <c r="AO106" s="59">
        <f t="shared" si="90"/>
        <v>222.06886429435099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27.866977407724661</v>
      </c>
      <c r="AV106" s="21">
        <f>EXP(-LN(2)/25)*AV105+(1-EXP(-LN(2)/25))/(LN(2)/25)*Calculateur!AQ106*Calculateur!AS106*VLOOKUP('Données projet'!$B$10,Paramètres!$A$1:$I$89,3,0)*0.475*44/12</f>
        <v>30.234739305519419</v>
      </c>
      <c r="AW106" s="21">
        <f>EXP(-LN(2)/2)*AW105+(1-EXP(-LN(2)/2))/(LN(2)/2)*AQ106*AT106*VLOOKUP('Données projet'!$B$10,Paramètres!$A$1:$I$89,3,0)*0.475*44/12</f>
        <v>2.2748456581830876</v>
      </c>
      <c r="AX106" s="21">
        <f t="shared" si="60"/>
        <v>60.37656237142717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234.76923076923077</v>
      </c>
      <c r="BB106" s="12">
        <f>VLOOKUP(A106,'Données projet'!$A$87:$I$107,9,0)</f>
        <v>5.2583333333333373</v>
      </c>
      <c r="BC106" s="12">
        <f t="array" ref="BC106">INDEX(BB:BB,MIN(IF(ISNUMBER(BB106:BB302),ROW(BB106:BB302),"")))</f>
        <v>5.2583333333333373</v>
      </c>
      <c r="BD106" s="12">
        <f>IF('Données projet'!$A$88&gt;35,BD105+BC106-BL105,IF(A106&lt;'Données projet'!$A$88,$BA$205^A106,IF(A106='Données projet'!$A$88,'Données projet'!$B$88,BD105+BC106-BL105)))</f>
        <v>234.76923076923046</v>
      </c>
      <c r="BE106" s="13">
        <f>BD106*VLOOKUP('Données projet'!$B$11,Paramètres!$A$1:$I$89,3,0)*VLOOKUP('Données projet'!$B$11,Paramètres!$A$1:$I$89,5,0)</f>
        <v>227.0687999999997</v>
      </c>
      <c r="BF106" s="13">
        <f t="shared" si="91"/>
        <v>55.648415216706702</v>
      </c>
      <c r="BG106" s="20">
        <f t="shared" si="61"/>
        <v>492.39914983576364</v>
      </c>
      <c r="BH106" s="59">
        <f t="shared" si="62"/>
        <v>785.73248316909689</v>
      </c>
      <c r="BI106" s="59">
        <f ca="1">AVERAGE(OFFSET($BH$3,0,0,'Données projet'!$E$11+1,1))-AVERAGE(OFFSET($H$3,0,0,'Données projet'!$E$11+1,1))</f>
        <v>366.51581861366333</v>
      </c>
      <c r="BJ106" s="59">
        <f t="shared" si="92"/>
        <v>225.01415116995503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39.512820512820511</v>
      </c>
      <c r="BM106" s="16">
        <f>IF(ISNA(VLOOKUP(A106,'Données projet'!$A$87:$I$107,5,0)),0%,VLOOKUP(A106,'Données projet'!$A$87:$I$107,5,0)*VLOOKUP('Données projet'!$B$11,Paramètres!$A$1:$I$89,7,0))</f>
        <v>0.30099999999999999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34.123822899647493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34.123822899647493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204.00000000000017</v>
      </c>
      <c r="BZ106" s="13">
        <f>BY106*VLOOKUP('Données projet'!$B$12,Paramètres!$A$1:$I$89,3,0)*VLOOKUP('Données projet'!$B$12,Paramètres!$A$1:$I$89,5,0)</f>
        <v>133.66080000000011</v>
      </c>
      <c r="CA106" s="13">
        <f t="shared" si="93"/>
        <v>34.840890682716783</v>
      </c>
      <c r="CB106" s="20">
        <f t="shared" si="64"/>
        <v>293.4737779390652</v>
      </c>
      <c r="CC106" s="59">
        <f t="shared" si="65"/>
        <v>586.80711127239852</v>
      </c>
      <c r="CD106" s="59">
        <f ca="1">AVERAGE(OFFSET($CC$3,0,0,'Données projet'!$E$12+1,1))-AVERAGE(OFFSET($H$3,0,0,'Données projet'!$E$12+1,1))</f>
        <v>230.58262378842818</v>
      </c>
      <c r="CE106" s="59">
        <f t="shared" si="94"/>
        <v>235.68746142880792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1.4761577645080113</v>
      </c>
      <c r="CL106" s="21">
        <f>EXP(-LN(2)/25)*CL105+(1-EXP(-LN(2)/25))/(LN(2)/25)*Calculateur!CG106*Calculateur!CI106*VLOOKUP('Données projet'!$B$12,Paramètres!$A$1:$I$89,3,0)*0.475*44/12</f>
        <v>7.5233636118784872</v>
      </c>
      <c r="CM106" s="21">
        <f>EXP(-LN(2)/2)*CM105+(1-EXP(-LN(2)/2))/(LN(2)/2)*CG106*CJ106*VLOOKUP('Données projet'!$B$12,Paramètres!$A$1:$I$89,3,0)*0.475*44/12</f>
        <v>3.2892383025314408E-2</v>
      </c>
      <c r="CN106" s="22">
        <f t="shared" si="66"/>
        <v>9.0324137594118135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1.7053025658242404E-13</v>
      </c>
      <c r="CU106" s="17">
        <f>CT106*VLOOKUP('Données projet'!$B$13,Paramètres!$A$1:$I$89,3,0)*VLOOKUP('Données projet'!$B$13,Paramètres!$A$1:$I$89,5,0)</f>
        <v>1.3301360013429075E-13</v>
      </c>
      <c r="CV106" s="13">
        <f t="shared" si="95"/>
        <v>1.9329766731057041E-12</v>
      </c>
      <c r="CW106" s="20">
        <f t="shared" si="67"/>
        <v>3.5982663925596575E-12</v>
      </c>
      <c r="CX106" s="59">
        <f t="shared" si="68"/>
        <v>293.3333333333369</v>
      </c>
      <c r="CY106" s="59">
        <f ca="1">AVERAGE(OFFSET($CX$3,0,0,'Données projet'!$E$13+1,1))-AVERAGE(OFFSET($H$3,0,0,'Données projet'!$E$13+1,1))</f>
        <v>288.80569134263209</v>
      </c>
      <c r="CZ106" s="59">
        <f t="shared" si="96"/>
        <v>283.48738729114024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41.378224170970434</v>
      </c>
      <c r="DG106" s="21">
        <f>EXP(-LN(2)/25)*DG105+(1-EXP(-LN(2)/25))/(LN(2)/25)*Calculateur!DB106*Calculateur!DD106*VLOOKUP('Données projet'!$B$13,Paramètres!$A$1:$I$89,3,0)*0.475*44/12</f>
        <v>26.573228995132084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67.95145316610251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266.99999999999983</v>
      </c>
      <c r="DP106" s="17">
        <f>DO106*VLOOKUP('Données projet'!$B$14,Paramètres!$A$1:$I$89,3,0)*VLOOKUP('Données projet'!$B$14,Paramètres!$A$1:$I$89,5,0)</f>
        <v>212.42519999999985</v>
      </c>
      <c r="DQ106" s="13">
        <f t="shared" si="97"/>
        <v>52.465198231787184</v>
      </c>
      <c r="DR106" s="20">
        <f t="shared" si="70"/>
        <v>461.35077692036231</v>
      </c>
      <c r="DS106" s="59">
        <f t="shared" si="71"/>
        <v>754.68411025369562</v>
      </c>
      <c r="DT106" s="59">
        <f ca="1">AVERAGE(OFFSET($DS$3,0,0,'Données projet'!$E$14+1,1))-AVERAGE(OFFSET($H$3,0,0,'Données projet'!$E$14+1,1))</f>
        <v>299.10536994156814</v>
      </c>
      <c r="DU106" s="59">
        <f t="shared" si="98"/>
        <v>292.57799203101769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18.257524687941451</v>
      </c>
      <c r="EB106" s="21">
        <f>EXP(-LN(2)/25)*EB105+(1-EXP(-LN(2)/25))/(LN(2)/25)*Calculateur!DW106*Calculateur!DY106*VLOOKUP('Données projet'!$B$14,Paramètres!$A$1:$I$89,3,0)*0.475*44/12</f>
        <v>4.4019094627481339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22.659434150689584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6.9935897435897401</v>
      </c>
      <c r="N107" s="13">
        <f>IF('Données projet'!$A$36&gt;35,N106+M107-V106,IF(A107&lt;'Données projet'!$A$36,$K$205^A107,IF(A107='Données projet'!$A$36,'Données projet'!$B$36,N106+M107-V106)))</f>
        <v>305.19871794871835</v>
      </c>
      <c r="O107" s="13">
        <f>N107*VLOOKUP('Données projet'!$B$9,Paramètres!$A$1:$I$89,3,0)*VLOOKUP('Données projet'!$B$9,Paramètres!$A$1:$I$89,5,0)</f>
        <v>276.14380000000034</v>
      </c>
      <c r="P107" s="13">
        <f t="shared" si="87"/>
        <v>66.151426401533939</v>
      </c>
      <c r="Q107" s="20">
        <f t="shared" si="107"/>
        <v>596.16418598267205</v>
      </c>
      <c r="R107" s="59">
        <f t="shared" si="55"/>
        <v>889.49751931600531</v>
      </c>
      <c r="S107" s="59">
        <f ca="1">AVERAGE(OFFSET($R$3,0,0,'Données projet'!$E$9+1,1))-AVERAGE(OFFSET($H$3,0,0,'Données projet'!$E$9+1,1))</f>
        <v>384.05928630855732</v>
      </c>
      <c r="T107" s="59">
        <f t="shared" si="88"/>
        <v>279.93992813630513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44.511295331941767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44.511295331941767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5.6367521367521407</v>
      </c>
      <c r="AI107" s="13">
        <f>IF('Données projet'!$A$62&gt;35,AI106+AH107-AQ106,IF(A107&lt;'Données projet'!$A$62,$AF$205^A107,IF(A107='Données projet'!$A$62,'Données projet'!$B$62,AI106+AH107-AQ106)))</f>
        <v>256.49786324786339</v>
      </c>
      <c r="AJ107" s="13">
        <f>AI107*VLOOKUP('Données projet'!$B$10,Paramètres!$A$1:$I$89,3,0)*VLOOKUP('Données projet'!$B$10,Paramètres!$A$1:$I$89,5,0)</f>
        <v>220.0751666666668</v>
      </c>
      <c r="AK107" s="13">
        <f t="shared" si="89"/>
        <v>54.13122249939012</v>
      </c>
      <c r="AL107" s="20">
        <f t="shared" si="58"/>
        <v>477.57612779754908</v>
      </c>
      <c r="AM107" s="59">
        <f t="shared" si="59"/>
        <v>770.90946113088239</v>
      </c>
      <c r="AN107" s="59">
        <f ca="1">AVERAGE(OFFSET($AM$3,0,0,'Données projet'!$E$10+1,1))-AVERAGE(OFFSET($H$3,0,0,'Données projet'!$E$10+1,1))</f>
        <v>335.02113791949211</v>
      </c>
      <c r="AO107" s="59">
        <f t="shared" si="90"/>
        <v>222.06886429435099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27.320522977937067</v>
      </c>
      <c r="AV107" s="21">
        <f>EXP(-LN(2)/25)*AV106+(1-EXP(-LN(2)/25))/(LN(2)/25)*Calculateur!AQ107*Calculateur!AS107*VLOOKUP('Données projet'!$B$10,Paramètres!$A$1:$I$89,3,0)*0.475*44/12</f>
        <v>29.407968769234152</v>
      </c>
      <c r="AW107" s="21">
        <f>EXP(-LN(2)/2)*AW106+(1-EXP(-LN(2)/2))/(LN(2)/2)*AQ107*AT107*VLOOKUP('Données projet'!$B$10,Paramètres!$A$1:$I$89,3,0)*0.475*44/12</f>
        <v>1.6085587910540362</v>
      </c>
      <c r="AX107" s="21">
        <f t="shared" si="60"/>
        <v>58.337050538225256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5.0961538461538449</v>
      </c>
      <c r="BD107" s="12">
        <f>IF('Données projet'!$A$88&gt;35,BD106+BC107-BL106,IF(A107&lt;'Données projet'!$A$88,$BA$205^A107,IF(A107='Données projet'!$A$88,'Données projet'!$B$88,BD106+BC107-BL106)))</f>
        <v>200.3525641025638</v>
      </c>
      <c r="BE107" s="13">
        <f>BD107*VLOOKUP('Données projet'!$B$11,Paramètres!$A$1:$I$89,3,0)*VLOOKUP('Données projet'!$B$11,Paramètres!$A$1:$I$89,5,0)</f>
        <v>193.78099999999972</v>
      </c>
      <c r="BF107" s="13">
        <f t="shared" si="91"/>
        <v>48.374917210721456</v>
      </c>
      <c r="BG107" s="20">
        <f t="shared" si="61"/>
        <v>421.75488914200605</v>
      </c>
      <c r="BH107" s="59">
        <f t="shared" si="62"/>
        <v>715.08822247533931</v>
      </c>
      <c r="BI107" s="59">
        <f ca="1">AVERAGE(OFFSET($BH$3,0,0,'Données projet'!$E$11+1,1))-AVERAGE(OFFSET($H$3,0,0,'Données projet'!$E$11+1,1))</f>
        <v>366.51581861366333</v>
      </c>
      <c r="BJ107" s="59">
        <f t="shared" si="92"/>
        <v>225.01415116995503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33.454675546062212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33.454675546062212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204.00000000000017</v>
      </c>
      <c r="BZ107" s="13">
        <f>BY107*VLOOKUP('Données projet'!$B$12,Paramètres!$A$1:$I$89,3,0)*VLOOKUP('Données projet'!$B$12,Paramètres!$A$1:$I$89,5,0)</f>
        <v>133.66080000000011</v>
      </c>
      <c r="CA107" s="13">
        <f t="shared" si="93"/>
        <v>34.840890682716783</v>
      </c>
      <c r="CB107" s="20">
        <f t="shared" si="64"/>
        <v>293.4737779390652</v>
      </c>
      <c r="CC107" s="59">
        <f t="shared" si="65"/>
        <v>586.80711127239852</v>
      </c>
      <c r="CD107" s="59">
        <f ca="1">AVERAGE(OFFSET($CC$3,0,0,'Données projet'!$E$12+1,1))-AVERAGE(OFFSET($H$3,0,0,'Données projet'!$E$12+1,1))</f>
        <v>230.58262378842818</v>
      </c>
      <c r="CE107" s="59">
        <f t="shared" si="94"/>
        <v>235.68746142880792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1.4472112111133417</v>
      </c>
      <c r="CL107" s="21">
        <f>EXP(-LN(2)/25)*CL106+(1-EXP(-LN(2)/25))/(LN(2)/25)*Calculateur!CG107*Calculateur!CI107*VLOOKUP('Données projet'!$B$12,Paramètres!$A$1:$I$89,3,0)*0.475*44/12</f>
        <v>7.3176368382751722</v>
      </c>
      <c r="CM107" s="21">
        <f>EXP(-LN(2)/2)*CM106+(1-EXP(-LN(2)/2))/(LN(2)/2)*CG107*CJ107*VLOOKUP('Données projet'!$B$12,Paramètres!$A$1:$I$89,3,0)*0.475*44/12</f>
        <v>2.3258427086585105E-2</v>
      </c>
      <c r="CN107" s="22">
        <f t="shared" si="66"/>
        <v>8.7881064764750985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1.7053025658242404E-13</v>
      </c>
      <c r="CU107" s="17">
        <f>CT107*VLOOKUP('Données projet'!$B$13,Paramètres!$A$1:$I$89,3,0)*VLOOKUP('Données projet'!$B$13,Paramètres!$A$1:$I$89,5,0)</f>
        <v>1.3301360013429075E-13</v>
      </c>
      <c r="CV107" s="13">
        <f t="shared" si="95"/>
        <v>1.9329766731057041E-12</v>
      </c>
      <c r="CW107" s="20">
        <f t="shared" si="67"/>
        <v>3.5982663925596575E-12</v>
      </c>
      <c r="CX107" s="59">
        <f t="shared" si="68"/>
        <v>293.3333333333369</v>
      </c>
      <c r="CY107" s="59">
        <f ca="1">AVERAGE(OFFSET($CX$3,0,0,'Données projet'!$E$13+1,1))-AVERAGE(OFFSET($H$3,0,0,'Données projet'!$E$13+1,1))</f>
        <v>288.80569134263209</v>
      </c>
      <c r="CZ107" s="59">
        <f t="shared" si="96"/>
        <v>283.48738729114024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40.566822433202383</v>
      </c>
      <c r="DG107" s="21">
        <f>EXP(-LN(2)/25)*DG106+(1-EXP(-LN(2)/25))/(LN(2)/25)*Calculateur!DB107*Calculateur!DD107*VLOOKUP('Données projet'!$B$13,Paramètres!$A$1:$I$89,3,0)*0.475*44/12</f>
        <v>25.846582650834819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66.413405084037208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266.99999999999983</v>
      </c>
      <c r="DP107" s="17">
        <f>DO107*VLOOKUP('Données projet'!$B$14,Paramètres!$A$1:$I$89,3,0)*VLOOKUP('Données projet'!$B$14,Paramètres!$A$1:$I$89,5,0)</f>
        <v>212.42519999999985</v>
      </c>
      <c r="DQ107" s="13">
        <f t="shared" si="97"/>
        <v>52.465198231787184</v>
      </c>
      <c r="DR107" s="20">
        <f t="shared" si="70"/>
        <v>461.35077692036231</v>
      </c>
      <c r="DS107" s="59">
        <f t="shared" si="71"/>
        <v>754.68411025369562</v>
      </c>
      <c r="DT107" s="59">
        <f ca="1">AVERAGE(OFFSET($DS$3,0,0,'Données projet'!$E$14+1,1))-AVERAGE(OFFSET($H$3,0,0,'Données projet'!$E$14+1,1))</f>
        <v>299.10536994156814</v>
      </c>
      <c r="DU107" s="59">
        <f t="shared" si="98"/>
        <v>292.57799203101769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17.89950576480139</v>
      </c>
      <c r="EB107" s="21">
        <f>EXP(-LN(2)/25)*EB106+(1-EXP(-LN(2)/25))/(LN(2)/25)*Calculateur!DW107*Calculateur!DY107*VLOOKUP('Données projet'!$B$14,Paramètres!$A$1:$I$89,3,0)*0.475*44/12</f>
        <v>4.2815390170029284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22.181044781804317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6.9935897435897401</v>
      </c>
      <c r="N108" s="13">
        <f>IF('Données projet'!$A$36&gt;35,N107+M108-V107,IF(A108&lt;'Données projet'!$A$36,$K$205^A108,IF(A108='Données projet'!$A$36,'Données projet'!$B$36,N107+M108-V107)))</f>
        <v>312.19230769230808</v>
      </c>
      <c r="O108" s="13">
        <f>N108*VLOOKUP('Données projet'!$B$9,Paramètres!$A$1:$I$89,3,0)*VLOOKUP('Données projet'!$B$9,Paramètres!$A$1:$I$89,5,0)</f>
        <v>282.47160000000031</v>
      </c>
      <c r="P108" s="13">
        <f t="shared" si="87"/>
        <v>67.489061551962138</v>
      </c>
      <c r="Q108" s="20">
        <f t="shared" si="107"/>
        <v>609.51481886966792</v>
      </c>
      <c r="R108" s="59">
        <f t="shared" si="55"/>
        <v>902.84815220300129</v>
      </c>
      <c r="S108" s="59">
        <f ca="1">AVERAGE(OFFSET($R$3,0,0,'Données projet'!$E$9+1,1))-AVERAGE(OFFSET($H$3,0,0,'Données projet'!$E$9+1,1))</f>
        <v>384.05928630855732</v>
      </c>
      <c r="T108" s="59">
        <f t="shared" si="88"/>
        <v>279.93992813630513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43.638455979691777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43.638455979691777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5.6367521367521407</v>
      </c>
      <c r="AI108" s="13">
        <f>IF('Données projet'!$A$62&gt;35,AI107+AH108-AQ107,IF(A108&lt;'Données projet'!$A$62,$AF$205^A108,IF(A108='Données projet'!$A$62,'Données projet'!$B$62,AI107+AH108-AQ107)))</f>
        <v>262.13461538461553</v>
      </c>
      <c r="AJ108" s="13">
        <f>AI108*VLOOKUP('Données projet'!$B$10,Paramètres!$A$1:$I$89,3,0)*VLOOKUP('Données projet'!$B$10,Paramètres!$A$1:$I$89,5,0)</f>
        <v>224.91150000000013</v>
      </c>
      <c r="AK108" s="13">
        <f t="shared" si="89"/>
        <v>55.181000361552059</v>
      </c>
      <c r="AL108" s="20">
        <f t="shared" si="58"/>
        <v>487.82777146303675</v>
      </c>
      <c r="AM108" s="59">
        <f t="shared" si="59"/>
        <v>781.16110479637007</v>
      </c>
      <c r="AN108" s="59">
        <f ca="1">AVERAGE(OFFSET($AM$3,0,0,'Données projet'!$E$10+1,1))-AVERAGE(OFFSET($H$3,0,0,'Données projet'!$E$10+1,1))</f>
        <v>335.02113791949211</v>
      </c>
      <c r="AO108" s="59">
        <f t="shared" si="90"/>
        <v>222.06886429435099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26.784784186213315</v>
      </c>
      <c r="AV108" s="21">
        <f>EXP(-LN(2)/25)*AV107+(1-EXP(-LN(2)/25))/(LN(2)/25)*Calculateur!AQ108*Calculateur!AS108*VLOOKUP('Données projet'!$B$10,Paramètres!$A$1:$I$89,3,0)*0.475*44/12</f>
        <v>28.603806316741579</v>
      </c>
      <c r="AW108" s="21">
        <f>EXP(-LN(2)/2)*AW107+(1-EXP(-LN(2)/2))/(LN(2)/2)*AQ108*AT108*VLOOKUP('Données projet'!$B$10,Paramètres!$A$1:$I$89,3,0)*0.475*44/12</f>
        <v>1.1374228290915438</v>
      </c>
      <c r="AX108" s="21">
        <f t="shared" si="60"/>
        <v>56.526013332046439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5.0961538461538449</v>
      </c>
      <c r="BD108" s="12">
        <f>IF('Données projet'!$A$88&gt;35,BD107+BC108-BL107,IF(A108&lt;'Données projet'!$A$88,$BA$205^A108,IF(A108='Données projet'!$A$88,'Données projet'!$B$88,BD107+BC108-BL107)))</f>
        <v>205.44871794871764</v>
      </c>
      <c r="BE108" s="13">
        <f>BD108*VLOOKUP('Données projet'!$B$11,Paramètres!$A$1:$I$89,3,0)*VLOOKUP('Données projet'!$B$11,Paramètres!$A$1:$I$89,5,0)</f>
        <v>198.70999999999972</v>
      </c>
      <c r="BF108" s="13">
        <f t="shared" si="91"/>
        <v>49.460558089303781</v>
      </c>
      <c r="BG108" s="20">
        <f t="shared" si="61"/>
        <v>432.23038867220362</v>
      </c>
      <c r="BH108" s="59">
        <f t="shared" si="62"/>
        <v>725.56372200553687</v>
      </c>
      <c r="BI108" s="59">
        <f ca="1">AVERAGE(OFFSET($BH$3,0,0,'Données projet'!$E$11+1,1))-AVERAGE(OFFSET($H$3,0,0,'Données projet'!$E$11+1,1))</f>
        <v>366.51581861366333</v>
      </c>
      <c r="BJ108" s="59">
        <f t="shared" si="92"/>
        <v>225.01415116995503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32.798649763941157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32.798649763941157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204.00000000000017</v>
      </c>
      <c r="BZ108" s="13">
        <f>BY108*VLOOKUP('Données projet'!$B$12,Paramètres!$A$1:$I$89,3,0)*VLOOKUP('Données projet'!$B$12,Paramètres!$A$1:$I$89,5,0)</f>
        <v>133.66080000000011</v>
      </c>
      <c r="CA108" s="13">
        <f t="shared" si="93"/>
        <v>34.840890682716783</v>
      </c>
      <c r="CB108" s="20">
        <f t="shared" si="64"/>
        <v>293.4737779390652</v>
      </c>
      <c r="CC108" s="59">
        <f t="shared" si="65"/>
        <v>586.80711127239852</v>
      </c>
      <c r="CD108" s="59">
        <f ca="1">AVERAGE(OFFSET($CC$3,0,0,'Données projet'!$E$12+1,1))-AVERAGE(OFFSET($H$3,0,0,'Données projet'!$E$12+1,1))</f>
        <v>230.58262378842818</v>
      </c>
      <c r="CE108" s="59">
        <f t="shared" si="94"/>
        <v>235.68746142880792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1.4188322819750874</v>
      </c>
      <c r="CL108" s="21">
        <f>EXP(-LN(2)/25)*CL107+(1-EXP(-LN(2)/25))/(LN(2)/25)*Calculateur!CG108*Calculateur!CI108*VLOOKUP('Données projet'!$B$12,Paramètres!$A$1:$I$89,3,0)*0.475*44/12</f>
        <v>7.1175356741147411</v>
      </c>
      <c r="CM108" s="21">
        <f>EXP(-LN(2)/2)*CM107+(1-EXP(-LN(2)/2))/(LN(2)/2)*CG108*CJ108*VLOOKUP('Données projet'!$B$12,Paramètres!$A$1:$I$89,3,0)*0.475*44/12</f>
        <v>1.6446191512657204E-2</v>
      </c>
      <c r="CN108" s="22">
        <f t="shared" si="66"/>
        <v>8.5528141476024846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1.7053025658242404E-13</v>
      </c>
      <c r="CU108" s="17">
        <f>CT108*VLOOKUP('Données projet'!$B$13,Paramètres!$A$1:$I$89,3,0)*VLOOKUP('Données projet'!$B$13,Paramètres!$A$1:$I$89,5,0)</f>
        <v>1.3301360013429075E-13</v>
      </c>
      <c r="CV108" s="13">
        <f t="shared" si="95"/>
        <v>1.9329766731057041E-12</v>
      </c>
      <c r="CW108" s="20">
        <f t="shared" si="67"/>
        <v>3.5982663925596575E-12</v>
      </c>
      <c r="CX108" s="59">
        <f t="shared" si="68"/>
        <v>293.3333333333369</v>
      </c>
      <c r="CY108" s="59">
        <f ca="1">AVERAGE(OFFSET($CX$3,0,0,'Données projet'!$E$13+1,1))-AVERAGE(OFFSET($H$3,0,0,'Données projet'!$E$13+1,1))</f>
        <v>288.80569134263209</v>
      </c>
      <c r="CZ108" s="59">
        <f t="shared" si="96"/>
        <v>283.48738729114024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39.771331788605771</v>
      </c>
      <c r="DG108" s="21">
        <f>EXP(-LN(2)/25)*DG107+(1-EXP(-LN(2)/25))/(LN(2)/25)*Calculateur!DB108*Calculateur!DD108*VLOOKUP('Données projet'!$B$13,Paramètres!$A$1:$I$89,3,0)*0.475*44/12</f>
        <v>25.139806489035031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64.911138277640802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266.99999999999983</v>
      </c>
      <c r="DP108" s="17">
        <f>DO108*VLOOKUP('Données projet'!$B$14,Paramètres!$A$1:$I$89,3,0)*VLOOKUP('Données projet'!$B$14,Paramètres!$A$1:$I$89,5,0)</f>
        <v>212.42519999999985</v>
      </c>
      <c r="DQ108" s="13">
        <f t="shared" si="97"/>
        <v>52.465198231787184</v>
      </c>
      <c r="DR108" s="20">
        <f t="shared" si="70"/>
        <v>461.35077692036231</v>
      </c>
      <c r="DS108" s="59">
        <f t="shared" si="71"/>
        <v>754.68411025369562</v>
      </c>
      <c r="DT108" s="59">
        <f ca="1">AVERAGE(OFFSET($DS$3,0,0,'Données projet'!$E$14+1,1))-AVERAGE(OFFSET($H$3,0,0,'Données projet'!$E$14+1,1))</f>
        <v>299.10536994156814</v>
      </c>
      <c r="DU108" s="59">
        <f t="shared" si="98"/>
        <v>292.57799203101769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17.548507374374125</v>
      </c>
      <c r="EB108" s="21">
        <f>EXP(-LN(2)/25)*EB107+(1-EXP(-LN(2)/25))/(LN(2)/25)*Calculateur!DW108*Calculateur!DY108*VLOOKUP('Données projet'!$B$14,Paramètres!$A$1:$I$89,3,0)*0.475*44/12</f>
        <v>4.1644601074266321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21.712967481800757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6.9935897435897401</v>
      </c>
      <c r="N109" s="13">
        <f>IF('Données projet'!$A$36&gt;35,N108+M109-V108,IF(A109&lt;'Données projet'!$A$36,$K$205^A109,IF(A109='Données projet'!$A$36,'Données projet'!$B$36,N108+M109-V108)))</f>
        <v>319.1858974358978</v>
      </c>
      <c r="O109" s="13">
        <f>N109*VLOOKUP('Données projet'!$B$9,Paramètres!$A$1:$I$89,3,0)*VLOOKUP('Données projet'!$B$9,Paramètres!$A$1:$I$89,5,0)</f>
        <v>288.79940000000033</v>
      </c>
      <c r="P109" s="13">
        <f t="shared" si="87"/>
        <v>68.82321300114252</v>
      </c>
      <c r="Q109" s="20">
        <f t="shared" si="107"/>
        <v>622.85938431032366</v>
      </c>
      <c r="R109" s="59">
        <f t="shared" si="55"/>
        <v>916.19271764365703</v>
      </c>
      <c r="S109" s="59">
        <f ca="1">AVERAGE(OFFSET($R$3,0,0,'Données projet'!$E$9+1,1))-AVERAGE(OFFSET($H$3,0,0,'Données projet'!$E$9+1,1))</f>
        <v>384.05928630855732</v>
      </c>
      <c r="T109" s="59">
        <f t="shared" si="88"/>
        <v>279.93992813630513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42.782732474759975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42.782732474759975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5.6367521367521407</v>
      </c>
      <c r="AI109" s="13">
        <f>IF('Données projet'!$A$62&gt;35,AI108+AH109-AQ108,IF(A109&lt;'Données projet'!$A$62,$AF$205^A109,IF(A109='Données projet'!$A$62,'Données projet'!$B$62,AI108+AH109-AQ108)))</f>
        <v>267.77136752136767</v>
      </c>
      <c r="AJ109" s="13">
        <f>AI109*VLOOKUP('Données projet'!$B$10,Paramètres!$A$1:$I$89,3,0)*VLOOKUP('Données projet'!$B$10,Paramètres!$A$1:$I$89,5,0)</f>
        <v>229.74783333333349</v>
      </c>
      <c r="AK109" s="13">
        <f t="shared" si="89"/>
        <v>56.228153721579723</v>
      </c>
      <c r="AL109" s="20">
        <f t="shared" si="58"/>
        <v>498.07484412064053</v>
      </c>
      <c r="AM109" s="59">
        <f t="shared" si="59"/>
        <v>791.40817745397385</v>
      </c>
      <c r="AN109" s="59">
        <f ca="1">AVERAGE(OFFSET($AM$3,0,0,'Données projet'!$E$10+1,1))-AVERAGE(OFFSET($H$3,0,0,'Données projet'!$E$10+1,1))</f>
        <v>335.02113791949211</v>
      </c>
      <c r="AO109" s="59">
        <f t="shared" si="90"/>
        <v>222.06886429435099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26.25955090542687</v>
      </c>
      <c r="AV109" s="21">
        <f>EXP(-LN(2)/25)*AV108+(1-EXP(-LN(2)/25))/(LN(2)/25)*Calculateur!AQ109*Calculateur!AS109*VLOOKUP('Données projet'!$B$10,Paramètres!$A$1:$I$89,3,0)*0.475*44/12</f>
        <v>27.82163372880148</v>
      </c>
      <c r="AW109" s="21">
        <f>EXP(-LN(2)/2)*AW108+(1-EXP(-LN(2)/2))/(LN(2)/2)*AQ109*AT109*VLOOKUP('Données projet'!$B$10,Paramètres!$A$1:$I$89,3,0)*0.475*44/12</f>
        <v>0.8042793955270181</v>
      </c>
      <c r="AX109" s="21">
        <f t="shared" si="60"/>
        <v>54.885464029755369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5.0961538461538449</v>
      </c>
      <c r="BD109" s="12">
        <f>IF('Données projet'!$A$88&gt;35,BD108+BC109-BL108,IF(A109&lt;'Données projet'!$A$88,$BA$205^A109,IF(A109='Données projet'!$A$88,'Données projet'!$B$88,BD108+BC109-BL108)))</f>
        <v>210.54487179487148</v>
      </c>
      <c r="BE109" s="13">
        <f>BD109*VLOOKUP('Données projet'!$B$11,Paramètres!$A$1:$I$89,3,0)*VLOOKUP('Données projet'!$B$11,Paramètres!$A$1:$I$89,5,0)</f>
        <v>203.63899999999973</v>
      </c>
      <c r="BF109" s="13">
        <f t="shared" si="91"/>
        <v>50.543068577407823</v>
      </c>
      <c r="BG109" s="20">
        <f t="shared" si="61"/>
        <v>442.70043610565153</v>
      </c>
      <c r="BH109" s="59">
        <f t="shared" si="62"/>
        <v>736.03376943898479</v>
      </c>
      <c r="BI109" s="59">
        <f ca="1">AVERAGE(OFFSET($BH$3,0,0,'Données projet'!$E$11+1,1))-AVERAGE(OFFSET($H$3,0,0,'Données projet'!$E$11+1,1))</f>
        <v>366.51581861366333</v>
      </c>
      <c r="BJ109" s="59">
        <f t="shared" si="92"/>
        <v>225.01415116995503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32.155488247271279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32.155488247271279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204.00000000000017</v>
      </c>
      <c r="BZ109" s="13">
        <f>BY109*VLOOKUP('Données projet'!$B$12,Paramètres!$A$1:$I$89,3,0)*VLOOKUP('Données projet'!$B$12,Paramètres!$A$1:$I$89,5,0)</f>
        <v>133.66080000000011</v>
      </c>
      <c r="CA109" s="13">
        <f t="shared" si="93"/>
        <v>34.840890682716783</v>
      </c>
      <c r="CB109" s="20">
        <f t="shared" si="64"/>
        <v>293.4737779390652</v>
      </c>
      <c r="CC109" s="59">
        <f t="shared" si="65"/>
        <v>586.80711127239852</v>
      </c>
      <c r="CD109" s="59">
        <f ca="1">AVERAGE(OFFSET($CC$3,0,0,'Données projet'!$E$12+1,1))-AVERAGE(OFFSET($H$3,0,0,'Données projet'!$E$12+1,1))</f>
        <v>230.58262378842818</v>
      </c>
      <c r="CE109" s="59">
        <f t="shared" si="94"/>
        <v>235.68746142880792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1.3910098463277965</v>
      </c>
      <c r="CL109" s="21">
        <f>EXP(-LN(2)/25)*CL108+(1-EXP(-LN(2)/25))/(LN(2)/25)*Calculateur!CG109*Calculateur!CI109*VLOOKUP('Données projet'!$B$12,Paramètres!$A$1:$I$89,3,0)*0.475*44/12</f>
        <v>6.9229062868111395</v>
      </c>
      <c r="CM109" s="21">
        <f>EXP(-LN(2)/2)*CM108+(1-EXP(-LN(2)/2))/(LN(2)/2)*CG109*CJ109*VLOOKUP('Données projet'!$B$12,Paramètres!$A$1:$I$89,3,0)*0.475*44/12</f>
        <v>1.1629213543292553E-2</v>
      </c>
      <c r="CN109" s="22">
        <f t="shared" si="66"/>
        <v>8.3255453466822278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1.7053025658242404E-13</v>
      </c>
      <c r="CU109" s="17">
        <f>CT109*VLOOKUP('Données projet'!$B$13,Paramètres!$A$1:$I$89,3,0)*VLOOKUP('Données projet'!$B$13,Paramètres!$A$1:$I$89,5,0)</f>
        <v>1.3301360013429075E-13</v>
      </c>
      <c r="CV109" s="13">
        <f t="shared" si="95"/>
        <v>1.9329766731057041E-12</v>
      </c>
      <c r="CW109" s="20">
        <f t="shared" si="67"/>
        <v>3.5982663925596575E-12</v>
      </c>
      <c r="CX109" s="59">
        <f t="shared" si="68"/>
        <v>293.3333333333369</v>
      </c>
      <c r="CY109" s="59">
        <f ca="1">AVERAGE(OFFSET($CX$3,0,0,'Données projet'!$E$13+1,1))-AVERAGE(OFFSET($H$3,0,0,'Données projet'!$E$13+1,1))</f>
        <v>288.80569134263209</v>
      </c>
      <c r="CZ109" s="59">
        <f t="shared" si="96"/>
        <v>283.48738729114024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38.99144023034831</v>
      </c>
      <c r="DG109" s="21">
        <f>EXP(-LN(2)/25)*DG108+(1-EXP(-LN(2)/25))/(LN(2)/25)*Calculateur!DB109*Calculateur!DD109*VLOOKUP('Données projet'!$B$13,Paramètres!$A$1:$I$89,3,0)*0.475*44/12</f>
        <v>24.452357158547404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63.443797388895717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266.99999999999983</v>
      </c>
      <c r="DP109" s="17">
        <f>DO109*VLOOKUP('Données projet'!$B$14,Paramètres!$A$1:$I$89,3,0)*VLOOKUP('Données projet'!$B$14,Paramètres!$A$1:$I$89,5,0)</f>
        <v>212.42519999999985</v>
      </c>
      <c r="DQ109" s="13">
        <f t="shared" si="97"/>
        <v>52.465198231787184</v>
      </c>
      <c r="DR109" s="20">
        <f t="shared" si="70"/>
        <v>461.35077692036231</v>
      </c>
      <c r="DS109" s="59">
        <f t="shared" si="71"/>
        <v>754.68411025369562</v>
      </c>
      <c r="DT109" s="59">
        <f ca="1">AVERAGE(OFFSET($DS$3,0,0,'Données projet'!$E$14+1,1))-AVERAGE(OFFSET($H$3,0,0,'Données projet'!$E$14+1,1))</f>
        <v>299.10536994156814</v>
      </c>
      <c r="DU109" s="59">
        <f t="shared" si="98"/>
        <v>292.57799203101769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17.204391848295263</v>
      </c>
      <c r="EB109" s="21">
        <f>EXP(-LN(2)/25)*EB108+(1-EXP(-LN(2)/25))/(LN(2)/25)*Calculateur!DW109*Calculateur!DY109*VLOOKUP('Données projet'!$B$14,Paramètres!$A$1:$I$89,3,0)*0.475*44/12</f>
        <v>4.050582726789612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21.254974575084873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6.9935897435897401</v>
      </c>
      <c r="N110" s="13">
        <f>IF('Données projet'!$A$36&gt;35,N109+M110-V109,IF(A110&lt;'Données projet'!$A$36,$K$205^A110,IF(A110='Données projet'!$A$36,'Données projet'!$B$36,N109+M110-V109)))</f>
        <v>326.17948717948752</v>
      </c>
      <c r="O110" s="13">
        <f>N110*VLOOKUP('Données projet'!$B$9,Paramètres!$A$1:$I$89,3,0)*VLOOKUP('Données projet'!$B$9,Paramètres!$A$1:$I$89,5,0)</f>
        <v>295.1272000000003</v>
      </c>
      <c r="P110" s="13">
        <f t="shared" si="87"/>
        <v>70.153965869482519</v>
      </c>
      <c r="Q110" s="20">
        <f t="shared" si="107"/>
        <v>636.19803055601596</v>
      </c>
      <c r="R110" s="59">
        <f t="shared" si="55"/>
        <v>929.53136388934922</v>
      </c>
      <c r="S110" s="59">
        <f ca="1">AVERAGE(OFFSET($R$3,0,0,'Données projet'!$E$9+1,1))-AVERAGE(OFFSET($H$3,0,0,'Données projet'!$E$9+1,1))</f>
        <v>384.05928630855732</v>
      </c>
      <c r="T110" s="59">
        <f t="shared" si="88"/>
        <v>279.93992813630513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41.943789185820087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41.943789185820087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5.6367521367521407</v>
      </c>
      <c r="AI110" s="13">
        <f>IF('Données projet'!$A$62&gt;35,AI109+AH110-AQ109,IF(A110&lt;'Données projet'!$A$62,$AF$205^A110,IF(A110='Données projet'!$A$62,'Données projet'!$B$62,AI109+AH110-AQ109)))</f>
        <v>273.4081196581198</v>
      </c>
      <c r="AJ110" s="13">
        <f>AI110*VLOOKUP('Données projet'!$B$10,Paramètres!$A$1:$I$89,3,0)*VLOOKUP('Données projet'!$B$10,Paramètres!$A$1:$I$89,5,0)</f>
        <v>234.58416666666682</v>
      </c>
      <c r="AK110" s="13">
        <f t="shared" si="89"/>
        <v>57.272744191339584</v>
      </c>
      <c r="AL110" s="20">
        <f t="shared" si="58"/>
        <v>508.31745307769455</v>
      </c>
      <c r="AM110" s="59">
        <f t="shared" si="59"/>
        <v>801.65078641102787</v>
      </c>
      <c r="AN110" s="59">
        <f ca="1">AVERAGE(OFFSET($AM$3,0,0,'Données projet'!$E$10+1,1))-AVERAGE(OFFSET($H$3,0,0,'Données projet'!$E$10+1,1))</f>
        <v>335.02113791949211</v>
      </c>
      <c r="AO110" s="59">
        <f t="shared" si="90"/>
        <v>222.06886429435099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25.74461712891598</v>
      </c>
      <c r="AV110" s="21">
        <f>EXP(-LN(2)/25)*AV109+(1-EXP(-LN(2)/25))/(LN(2)/25)*Calculateur!AQ110*Calculateur!AS110*VLOOKUP('Données projet'!$B$10,Paramètres!$A$1:$I$89,3,0)*0.475*44/12</f>
        <v>27.060849691411274</v>
      </c>
      <c r="AW110" s="21">
        <f>EXP(-LN(2)/2)*AW109+(1-EXP(-LN(2)/2))/(LN(2)/2)*AQ110*AT110*VLOOKUP('Données projet'!$B$10,Paramètres!$A$1:$I$89,3,0)*0.475*44/12</f>
        <v>0.5687114145457719</v>
      </c>
      <c r="AX110" s="21">
        <f t="shared" si="60"/>
        <v>53.374178234873028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5.0961538461538449</v>
      </c>
      <c r="BD110" s="12">
        <f>IF('Données projet'!$A$88&gt;35,BD109+BC110-BL109,IF(A110&lt;'Données projet'!$A$88,$BA$205^A110,IF(A110='Données projet'!$A$88,'Données projet'!$B$88,BD109+BC110-BL109)))</f>
        <v>215.64102564102532</v>
      </c>
      <c r="BE110" s="13">
        <f>BD110*VLOOKUP('Données projet'!$B$11,Paramètres!$A$1:$I$89,3,0)*VLOOKUP('Données projet'!$B$11,Paramètres!$A$1:$I$89,5,0)</f>
        <v>208.5679999999997</v>
      </c>
      <c r="BF110" s="13">
        <f t="shared" si="91"/>
        <v>51.622533162117087</v>
      </c>
      <c r="BG110" s="20">
        <f t="shared" si="61"/>
        <v>453.16517859068671</v>
      </c>
      <c r="BH110" s="59">
        <f t="shared" si="62"/>
        <v>746.49851192402002</v>
      </c>
      <c r="BI110" s="59">
        <f ca="1">AVERAGE(OFFSET($BH$3,0,0,'Données projet'!$E$11+1,1))-AVERAGE(OFFSET($H$3,0,0,'Données projet'!$E$11+1,1))</f>
        <v>366.51581861366333</v>
      </c>
      <c r="BJ110" s="59">
        <f t="shared" si="92"/>
        <v>225.01415116995503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31.524938735653507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31.524938735653507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204.00000000000017</v>
      </c>
      <c r="BZ110" s="13">
        <f>BY110*VLOOKUP('Données projet'!$B$12,Paramètres!$A$1:$I$89,3,0)*VLOOKUP('Données projet'!$B$12,Paramètres!$A$1:$I$89,5,0)</f>
        <v>133.66080000000011</v>
      </c>
      <c r="CA110" s="13">
        <f t="shared" si="93"/>
        <v>34.840890682716783</v>
      </c>
      <c r="CB110" s="20">
        <f t="shared" si="64"/>
        <v>293.4737779390652</v>
      </c>
      <c r="CC110" s="59">
        <f t="shared" si="65"/>
        <v>586.80711127239852</v>
      </c>
      <c r="CD110" s="59">
        <f ca="1">AVERAGE(OFFSET($CC$3,0,0,'Données projet'!$E$12+1,1))-AVERAGE(OFFSET($H$3,0,0,'Données projet'!$E$12+1,1))</f>
        <v>230.58262378842818</v>
      </c>
      <c r="CE110" s="59">
        <f t="shared" si="94"/>
        <v>235.68746142880792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1.363732991673539</v>
      </c>
      <c r="CL110" s="21">
        <f>EXP(-LN(2)/25)*CL109+(1-EXP(-LN(2)/25))/(LN(2)/25)*Calculateur!CG110*Calculateur!CI110*VLOOKUP('Données projet'!$B$12,Paramètres!$A$1:$I$89,3,0)*0.475*44/12</f>
        <v>6.7335990503384702</v>
      </c>
      <c r="CM110" s="21">
        <f>EXP(-LN(2)/2)*CM109+(1-EXP(-LN(2)/2))/(LN(2)/2)*CG110*CJ110*VLOOKUP('Données projet'!$B$12,Paramètres!$A$1:$I$89,3,0)*0.475*44/12</f>
        <v>8.2230957563286019E-3</v>
      </c>
      <c r="CN110" s="22">
        <f t="shared" si="66"/>
        <v>8.1055551377683379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1.7053025658242404E-13</v>
      </c>
      <c r="CU110" s="17">
        <f>CT110*VLOOKUP('Données projet'!$B$13,Paramètres!$A$1:$I$89,3,0)*VLOOKUP('Données projet'!$B$13,Paramètres!$A$1:$I$89,5,0)</f>
        <v>1.3301360013429075E-13</v>
      </c>
      <c r="CV110" s="13">
        <f t="shared" si="95"/>
        <v>1.9329766731057041E-12</v>
      </c>
      <c r="CW110" s="20">
        <f t="shared" si="67"/>
        <v>3.5982663925596575E-12</v>
      </c>
      <c r="CX110" s="59">
        <f t="shared" si="68"/>
        <v>293.3333333333369</v>
      </c>
      <c r="CY110" s="59">
        <f ca="1">AVERAGE(OFFSET($CX$3,0,0,'Données projet'!$E$13+1,1))-AVERAGE(OFFSET($H$3,0,0,'Données projet'!$E$13+1,1))</f>
        <v>288.80569134263209</v>
      </c>
      <c r="CZ110" s="59">
        <f t="shared" si="96"/>
        <v>283.48738729114024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38.226841869861403</v>
      </c>
      <c r="DG110" s="21">
        <f>EXP(-LN(2)/25)*DG109+(1-EXP(-LN(2)/25))/(LN(2)/25)*Calculateur!DB110*Calculateur!DD110*VLOOKUP('Données projet'!$B$13,Paramètres!$A$1:$I$89,3,0)*0.475*44/12</f>
        <v>23.783706166153348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62.010548036014754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266.99999999999983</v>
      </c>
      <c r="DP110" s="17">
        <f>DO110*VLOOKUP('Données projet'!$B$14,Paramètres!$A$1:$I$89,3,0)*VLOOKUP('Données projet'!$B$14,Paramètres!$A$1:$I$89,5,0)</f>
        <v>212.42519999999985</v>
      </c>
      <c r="DQ110" s="13">
        <f t="shared" si="97"/>
        <v>52.465198231787184</v>
      </c>
      <c r="DR110" s="20">
        <f t="shared" si="70"/>
        <v>461.35077692036231</v>
      </c>
      <c r="DS110" s="59">
        <f t="shared" si="71"/>
        <v>754.68411025369562</v>
      </c>
      <c r="DT110" s="59">
        <f ca="1">AVERAGE(OFFSET($DS$3,0,0,'Données projet'!$E$14+1,1))-AVERAGE(OFFSET($H$3,0,0,'Données projet'!$E$14+1,1))</f>
        <v>299.10536994156814</v>
      </c>
      <c r="DU110" s="59">
        <f t="shared" si="98"/>
        <v>292.57799203101769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16.867024217793059</v>
      </c>
      <c r="EB110" s="21">
        <f>EXP(-LN(2)/25)*EB109+(1-EXP(-LN(2)/25))/(LN(2)/25)*Calculateur!DW110*Calculateur!DY110*VLOOKUP('Données projet'!$B$14,Paramètres!$A$1:$I$89,3,0)*0.475*44/12</f>
        <v>3.9398193291146621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20.806843546907722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6.9935897435897401</v>
      </c>
      <c r="N111" s="13">
        <f>IF('Données projet'!$A$36&gt;35,N110+M111-V110,IF(A111&lt;'Données projet'!$A$36,$K$205^A111,IF(A111='Données projet'!$A$36,'Données projet'!$B$36,N110+M111-V110)))</f>
        <v>333.17307692307725</v>
      </c>
      <c r="O111" s="13">
        <f>N111*VLOOKUP('Données projet'!$B$9,Paramètres!$A$1:$I$89,3,0)*VLOOKUP('Données projet'!$B$9,Paramètres!$A$1:$I$89,5,0)</f>
        <v>301.45500000000027</v>
      </c>
      <c r="P111" s="13">
        <f t="shared" si="87"/>
        <v>71.481401418760342</v>
      </c>
      <c r="Q111" s="20">
        <f t="shared" si="107"/>
        <v>649.53089913767474</v>
      </c>
      <c r="R111" s="59">
        <f t="shared" si="55"/>
        <v>942.86423247100811</v>
      </c>
      <c r="S111" s="59">
        <f ca="1">AVERAGE(OFFSET($R$3,0,0,'Données projet'!$E$9+1,1))-AVERAGE(OFFSET($H$3,0,0,'Données projet'!$E$9+1,1))</f>
        <v>384.05928630855732</v>
      </c>
      <c r="T111" s="59">
        <f t="shared" si="88"/>
        <v>279.93992813630513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41.121297063071431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41.121297063071431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5.6367521367521407</v>
      </c>
      <c r="AI111" s="13">
        <f>IF('Données projet'!$A$62&gt;35,AI110+AH111-AQ110,IF(A111&lt;'Données projet'!$A$62,$AF$205^A111,IF(A111='Données projet'!$A$62,'Données projet'!$B$62,AI110+AH111-AQ110)))</f>
        <v>279.04487179487194</v>
      </c>
      <c r="AJ111" s="13">
        <f>AI111*VLOOKUP('Données projet'!$B$10,Paramètres!$A$1:$I$89,3,0)*VLOOKUP('Données projet'!$B$10,Paramètres!$A$1:$I$89,5,0)</f>
        <v>239.42050000000015</v>
      </c>
      <c r="AK111" s="13">
        <f t="shared" si="89"/>
        <v>58.314830697038467</v>
      </c>
      <c r="AL111" s="20">
        <f t="shared" si="58"/>
        <v>518.55570096400891</v>
      </c>
      <c r="AM111" s="59">
        <f t="shared" si="59"/>
        <v>811.88903429734228</v>
      </c>
      <c r="AN111" s="59">
        <f ca="1">AVERAGE(OFFSET($AM$3,0,0,'Données projet'!$E$10+1,1))-AVERAGE(OFFSET($H$3,0,0,'Données projet'!$E$10+1,1))</f>
        <v>335.02113791949211</v>
      </c>
      <c r="AO111" s="59">
        <f t="shared" si="90"/>
        <v>222.06886429435099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25.239780889683878</v>
      </c>
      <c r="AV111" s="21">
        <f>EXP(-LN(2)/25)*AV110+(1-EXP(-LN(2)/25))/(LN(2)/25)*Calculateur!AQ111*Calculateur!AS111*VLOOKUP('Données projet'!$B$10,Paramètres!$A$1:$I$89,3,0)*0.475*44/12</f>
        <v>26.320869333531395</v>
      </c>
      <c r="AW111" s="21">
        <f>EXP(-LN(2)/2)*AW110+(1-EXP(-LN(2)/2))/(LN(2)/2)*AQ111*AT111*VLOOKUP('Données projet'!$B$10,Paramètres!$A$1:$I$89,3,0)*0.475*44/12</f>
        <v>0.40213969776350905</v>
      </c>
      <c r="AX111" s="21">
        <f t="shared" si="60"/>
        <v>51.962789920978786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5.0961538461538449</v>
      </c>
      <c r="BD111" s="12">
        <f>IF('Données projet'!$A$88&gt;35,BD110+BC111-BL110,IF(A111&lt;'Données projet'!$A$88,$BA$205^A111,IF(A111='Données projet'!$A$88,'Données projet'!$B$88,BD110+BC111-BL110)))</f>
        <v>220.73717948717916</v>
      </c>
      <c r="BE111" s="13">
        <f>BD111*VLOOKUP('Données projet'!$B$11,Paramètres!$A$1:$I$89,3,0)*VLOOKUP('Données projet'!$B$11,Paramètres!$A$1:$I$89,5,0)</f>
        <v>213.4969999999997</v>
      </c>
      <c r="BF111" s="13">
        <f t="shared" si="91"/>
        <v>52.699032109433475</v>
      </c>
      <c r="BG111" s="20">
        <f t="shared" si="61"/>
        <v>463.6247559239294</v>
      </c>
      <c r="BH111" s="59">
        <f t="shared" si="62"/>
        <v>756.95808925726271</v>
      </c>
      <c r="BI111" s="59">
        <f ca="1">AVERAGE(OFFSET($BH$3,0,0,'Données projet'!$E$11+1,1))-AVERAGE(OFFSET($H$3,0,0,'Données projet'!$E$11+1,1))</f>
        <v>366.51581861366333</v>
      </c>
      <c r="BJ111" s="59">
        <f t="shared" si="92"/>
        <v>225.01415116995503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30.906753915361332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30.906753915361332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204.00000000000017</v>
      </c>
      <c r="BZ111" s="13">
        <f>BY111*VLOOKUP('Données projet'!$B$12,Paramètres!$A$1:$I$89,3,0)*VLOOKUP('Données projet'!$B$12,Paramètres!$A$1:$I$89,5,0)</f>
        <v>133.66080000000011</v>
      </c>
      <c r="CA111" s="13">
        <f t="shared" si="93"/>
        <v>34.840890682716783</v>
      </c>
      <c r="CB111" s="20">
        <f t="shared" si="64"/>
        <v>293.4737779390652</v>
      </c>
      <c r="CC111" s="59">
        <f t="shared" si="65"/>
        <v>586.80711127239852</v>
      </c>
      <c r="CD111" s="59">
        <f ca="1">AVERAGE(OFFSET($CC$3,0,0,'Données projet'!$E$12+1,1))-AVERAGE(OFFSET($H$3,0,0,'Données projet'!$E$12+1,1))</f>
        <v>230.58262378842818</v>
      </c>
      <c r="CE111" s="59">
        <f t="shared" si="94"/>
        <v>235.68746142880792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1.3369910195018129</v>
      </c>
      <c r="CL111" s="21">
        <f>EXP(-LN(2)/25)*CL110+(1-EXP(-LN(2)/25))/(LN(2)/25)*Calculateur!CG111*Calculateur!CI111*VLOOKUP('Données projet'!$B$12,Paramètres!$A$1:$I$89,3,0)*0.475*44/12</f>
        <v>6.5494684302023805</v>
      </c>
      <c r="CM111" s="21">
        <f>EXP(-LN(2)/2)*CM110+(1-EXP(-LN(2)/2))/(LN(2)/2)*CG111*CJ111*VLOOKUP('Données projet'!$B$12,Paramètres!$A$1:$I$89,3,0)*0.475*44/12</f>
        <v>5.8146067716462763E-3</v>
      </c>
      <c r="CN111" s="22">
        <f t="shared" si="66"/>
        <v>7.8922740564758396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1.7053025658242404E-13</v>
      </c>
      <c r="CU111" s="17">
        <f>CT111*VLOOKUP('Données projet'!$B$13,Paramètres!$A$1:$I$89,3,0)*VLOOKUP('Données projet'!$B$13,Paramètres!$A$1:$I$89,5,0)</f>
        <v>1.3301360013429075E-13</v>
      </c>
      <c r="CV111" s="13">
        <f t="shared" si="95"/>
        <v>1.9329766731057041E-12</v>
      </c>
      <c r="CW111" s="20">
        <f t="shared" si="67"/>
        <v>3.5982663925596575E-12</v>
      </c>
      <c r="CX111" s="59">
        <f t="shared" si="68"/>
        <v>293.3333333333369</v>
      </c>
      <c r="CY111" s="59">
        <f ca="1">AVERAGE(OFFSET($CX$3,0,0,'Données projet'!$E$13+1,1))-AVERAGE(OFFSET($H$3,0,0,'Données projet'!$E$13+1,1))</f>
        <v>288.80569134263209</v>
      </c>
      <c r="CZ111" s="59">
        <f t="shared" si="96"/>
        <v>283.48738729114024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37.477236816864689</v>
      </c>
      <c r="DG111" s="21">
        <f>EXP(-LN(2)/25)*DG110+(1-EXP(-LN(2)/25))/(LN(2)/25)*Calculateur!DB111*Calculateur!DD111*VLOOKUP('Données projet'!$B$13,Paramètres!$A$1:$I$89,3,0)*0.475*44/12</f>
        <v>23.133339470309135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60.610576287173828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266.99999999999983</v>
      </c>
      <c r="DP111" s="17">
        <f>DO111*VLOOKUP('Données projet'!$B$14,Paramètres!$A$1:$I$89,3,0)*VLOOKUP('Données projet'!$B$14,Paramètres!$A$1:$I$89,5,0)</f>
        <v>212.42519999999985</v>
      </c>
      <c r="DQ111" s="13">
        <f t="shared" si="97"/>
        <v>52.465198231787184</v>
      </c>
      <c r="DR111" s="20">
        <f t="shared" si="70"/>
        <v>461.35077692036231</v>
      </c>
      <c r="DS111" s="59">
        <f t="shared" si="71"/>
        <v>754.68411025369562</v>
      </c>
      <c r="DT111" s="59">
        <f ca="1">AVERAGE(OFFSET($DS$3,0,0,'Données projet'!$E$14+1,1))-AVERAGE(OFFSET($H$3,0,0,'Données projet'!$E$14+1,1))</f>
        <v>299.10536994156814</v>
      </c>
      <c r="DU111" s="59">
        <f t="shared" si="98"/>
        <v>292.57799203101769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16.536272160751068</v>
      </c>
      <c r="EB111" s="21">
        <f>EXP(-LN(2)/25)*EB110+(1-EXP(-LN(2)/25))/(LN(2)/25)*Calculateur!DW111*Calculateur!DY111*VLOOKUP('Données projet'!$B$14,Paramètres!$A$1:$I$89,3,0)*0.475*44/12</f>
        <v>3.8320847623739276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20.368356923124995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340.16666666666663</v>
      </c>
      <c r="L112" s="12">
        <f>VLOOKUP(A112,'Données projet'!$A$35:$I$55,9,0)</f>
        <v>6.9935897435897401</v>
      </c>
      <c r="M112" s="12">
        <f t="array" ref="M112">INDEX(L:L,MIN(IF(ISNUMBER(L112:L308),ROW(L112:L308),"")))</f>
        <v>6.9935897435897401</v>
      </c>
      <c r="N112" s="13">
        <f>IF('Données projet'!$A$36&gt;35,N111+M112-V111,IF(A112&lt;'Données projet'!$A$36,$K$205^A112,IF(A112='Données projet'!$A$36,'Données projet'!$B$36,N111+M112-V111)))</f>
        <v>340.16666666666697</v>
      </c>
      <c r="O112" s="13">
        <f>N112*VLOOKUP('Données projet'!$B$9,Paramètres!$A$1:$I$89,3,0)*VLOOKUP('Données projet'!$B$9,Paramètres!$A$1:$I$89,5,0)</f>
        <v>307.78280000000024</v>
      </c>
      <c r="P112" s="13">
        <f t="shared" si="87"/>
        <v>72.805597304306232</v>
      </c>
      <c r="Q112" s="20">
        <f t="shared" si="107"/>
        <v>662.85812530500039</v>
      </c>
      <c r="R112" s="59">
        <f t="shared" si="55"/>
        <v>956.19145863833364</v>
      </c>
      <c r="S112" s="59">
        <f ca="1">AVERAGE(OFFSET($R$3,0,0,'Données projet'!$E$9+1,1))-AVERAGE(OFFSET($H$3,0,0,'Données projet'!$E$9+1,1))</f>
        <v>384.05928630855732</v>
      </c>
      <c r="T112" s="59">
        <f t="shared" si="88"/>
        <v>279.93992813630513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51.28846153846154</v>
      </c>
      <c r="W112" s="16">
        <f>IF(ISNA(VLOOKUP(A112,'Données projet'!$A$35:$I$55,5,0)),0%,VLOOKUP(A112,'Données projet'!$A$35:$I$55,5,0)*VLOOKUP('Données projet'!$B$9,Paramètres!$A$1:$I$89,7,0))</f>
        <v>0.38700000000000001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60.168125359190398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60.168125359190398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5.6367521367521407</v>
      </c>
      <c r="AI112" s="13">
        <f>IF('Données projet'!$A$62&gt;35,AI111+AH112-AQ111,IF(A112&lt;'Données projet'!$A$62,$AF$205^A112,IF(A112='Données projet'!$A$62,'Données projet'!$B$62,AI111+AH112-AQ111)))</f>
        <v>284.68162393162407</v>
      </c>
      <c r="AJ112" s="13">
        <f>AI112*VLOOKUP('Données projet'!$B$10,Paramètres!$A$1:$I$89,3,0)*VLOOKUP('Données projet'!$B$10,Paramètres!$A$1:$I$89,5,0)</f>
        <v>244.2568333333335</v>
      </c>
      <c r="AK112" s="13">
        <f t="shared" si="89"/>
        <v>59.354469648137623</v>
      </c>
      <c r="AL112" s="20">
        <f t="shared" si="58"/>
        <v>528.78968602606221</v>
      </c>
      <c r="AM112" s="59">
        <f t="shared" si="59"/>
        <v>822.12301935939558</v>
      </c>
      <c r="AN112" s="59">
        <f ca="1">AVERAGE(OFFSET($AM$3,0,0,'Données projet'!$E$10+1,1))-AVERAGE(OFFSET($H$3,0,0,'Données projet'!$E$10+1,1))</f>
        <v>335.02113791949211</v>
      </c>
      <c r="AO112" s="59">
        <f t="shared" si="90"/>
        <v>222.06886429435099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24.744844181183414</v>
      </c>
      <c r="AV112" s="21">
        <f>EXP(-LN(2)/25)*AV111+(1-EXP(-LN(2)/25))/(LN(2)/25)*Calculateur!AQ112*Calculateur!AS112*VLOOKUP('Données projet'!$B$10,Paramètres!$A$1:$I$89,3,0)*0.475*44/12</f>
        <v>25.601123777451619</v>
      </c>
      <c r="AW112" s="21">
        <f>EXP(-LN(2)/2)*AW111+(1-EXP(-LN(2)/2))/(LN(2)/2)*AQ112*AT112*VLOOKUP('Données projet'!$B$10,Paramètres!$A$1:$I$89,3,0)*0.475*44/12</f>
        <v>0.28435570727288595</v>
      </c>
      <c r="AX112" s="21">
        <f t="shared" si="60"/>
        <v>50.630323665907916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5.0961538461538449</v>
      </c>
      <c r="BD112" s="12">
        <f>IF('Données projet'!$A$88&gt;35,BD111+BC112-BL111,IF(A112&lt;'Données projet'!$A$88,$BA$205^A112,IF(A112='Données projet'!$A$88,'Données projet'!$B$88,BD111+BC112-BL111)))</f>
        <v>225.833333333333</v>
      </c>
      <c r="BE112" s="13">
        <f>BD112*VLOOKUP('Données projet'!$B$11,Paramètres!$A$1:$I$89,3,0)*VLOOKUP('Données projet'!$B$11,Paramètres!$A$1:$I$89,5,0)</f>
        <v>218.42599999999968</v>
      </c>
      <c r="BF112" s="13">
        <f t="shared" si="91"/>
        <v>53.772641767677783</v>
      </c>
      <c r="BG112" s="20">
        <f t="shared" si="61"/>
        <v>474.07930107870487</v>
      </c>
      <c r="BH112" s="59">
        <f t="shared" si="62"/>
        <v>767.41263441203819</v>
      </c>
      <c r="BI112" s="59">
        <f ca="1">AVERAGE(OFFSET($BH$3,0,0,'Données projet'!$E$11+1,1))-AVERAGE(OFFSET($H$3,0,0,'Données projet'!$E$11+1,1))</f>
        <v>366.51581861366333</v>
      </c>
      <c r="BJ112" s="59">
        <f t="shared" si="92"/>
        <v>225.01415116995503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30.300691322339578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30.300691322339578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204.00000000000017</v>
      </c>
      <c r="BZ112" s="13">
        <f>BY112*VLOOKUP('Données projet'!$B$12,Paramètres!$A$1:$I$89,3,0)*VLOOKUP('Données projet'!$B$12,Paramètres!$A$1:$I$89,5,0)</f>
        <v>133.66080000000011</v>
      </c>
      <c r="CA112" s="13">
        <f t="shared" si="93"/>
        <v>34.840890682716783</v>
      </c>
      <c r="CB112" s="20">
        <f t="shared" si="64"/>
        <v>293.4737779390652</v>
      </c>
      <c r="CC112" s="59">
        <f t="shared" si="65"/>
        <v>586.80711127239852</v>
      </c>
      <c r="CD112" s="59">
        <f ca="1">AVERAGE(OFFSET($CC$3,0,0,'Données projet'!$E$12+1,1))-AVERAGE(OFFSET($H$3,0,0,'Données projet'!$E$12+1,1))</f>
        <v>230.58262378842818</v>
      </c>
      <c r="CE112" s="59">
        <f t="shared" si="94"/>
        <v>235.68746142880792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1.3107734410933818</v>
      </c>
      <c r="CL112" s="21">
        <f>EXP(-LN(2)/25)*CL111+(1-EXP(-LN(2)/25))/(LN(2)/25)*Calculateur!CG112*Calculateur!CI112*VLOOKUP('Données projet'!$B$12,Paramètres!$A$1:$I$89,3,0)*0.475*44/12</f>
        <v>6.3703728715569206</v>
      </c>
      <c r="CM112" s="21">
        <f>EXP(-LN(2)/2)*CM111+(1-EXP(-LN(2)/2))/(LN(2)/2)*CG112*CJ112*VLOOKUP('Données projet'!$B$12,Paramètres!$A$1:$I$89,3,0)*0.475*44/12</f>
        <v>4.1115478781643009E-3</v>
      </c>
      <c r="CN112" s="22">
        <f t="shared" si="66"/>
        <v>7.6852578605284663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1.7053025658242404E-13</v>
      </c>
      <c r="CU112" s="17">
        <f>CT112*VLOOKUP('Données projet'!$B$13,Paramètres!$A$1:$I$89,3,0)*VLOOKUP('Données projet'!$B$13,Paramètres!$A$1:$I$89,5,0)</f>
        <v>1.3301360013429075E-13</v>
      </c>
      <c r="CV112" s="13">
        <f t="shared" si="95"/>
        <v>1.9329766731057041E-12</v>
      </c>
      <c r="CW112" s="20">
        <f t="shared" si="67"/>
        <v>3.5982663925596575E-12</v>
      </c>
      <c r="CX112" s="59">
        <f t="shared" si="68"/>
        <v>293.3333333333369</v>
      </c>
      <c r="CY112" s="59">
        <f ca="1">AVERAGE(OFFSET($CX$3,0,0,'Données projet'!$E$13+1,1))-AVERAGE(OFFSET($H$3,0,0,'Données projet'!$E$13+1,1))</f>
        <v>288.80569134263209</v>
      </c>
      <c r="CZ112" s="59">
        <f t="shared" si="96"/>
        <v>283.48738729114024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36.742331061743307</v>
      </c>
      <c r="DG112" s="21">
        <f>EXP(-LN(2)/25)*DG111+(1-EXP(-LN(2)/25))/(LN(2)/25)*Calculateur!DB112*Calculateur!DD112*VLOOKUP('Données projet'!$B$13,Paramètres!$A$1:$I$89,3,0)*0.475*44/12</f>
        <v>22.500757085964082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59.24308814770739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266.99999999999983</v>
      </c>
      <c r="DP112" s="17">
        <f>DO112*VLOOKUP('Données projet'!$B$14,Paramètres!$A$1:$I$89,3,0)*VLOOKUP('Données projet'!$B$14,Paramètres!$A$1:$I$89,5,0)</f>
        <v>212.42519999999985</v>
      </c>
      <c r="DQ112" s="13">
        <f t="shared" si="97"/>
        <v>52.465198231787184</v>
      </c>
      <c r="DR112" s="20">
        <f t="shared" si="70"/>
        <v>461.35077692036231</v>
      </c>
      <c r="DS112" s="59">
        <f t="shared" si="71"/>
        <v>754.68411025369562</v>
      </c>
      <c r="DT112" s="59">
        <f ca="1">AVERAGE(OFFSET($DS$3,0,0,'Données projet'!$E$14+1,1))-AVERAGE(OFFSET($H$3,0,0,'Données projet'!$E$14+1,1))</f>
        <v>299.10536994156814</v>
      </c>
      <c r="DU112" s="59">
        <f t="shared" si="98"/>
        <v>292.57799203101769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16.212005949808834</v>
      </c>
      <c r="EB112" s="21">
        <f>EXP(-LN(2)/25)*EB111+(1-EXP(-LN(2)/25))/(LN(2)/25)*Calculateur!DW112*Calculateur!DY112*VLOOKUP('Données projet'!$B$14,Paramètres!$A$1:$I$89,3,0)*0.475*44/12</f>
        <v>3.7272962030262331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19.939302152835069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6.8461538461538511</v>
      </c>
      <c r="N113" s="13">
        <f>IF('Données projet'!$A$36&gt;35,N112+M113-V112,IF(A113&lt;'Données projet'!$A$36,$K$205^A113,IF(A113='Données projet'!$A$36,'Données projet'!$B$36,N112+M113-V112)))</f>
        <v>295.72435897435929</v>
      </c>
      <c r="O113" s="13">
        <f>N113*VLOOKUP('Données projet'!$B$9,Paramètres!$A$1:$I$89,3,0)*VLOOKUP('Données projet'!$B$9,Paramètres!$A$1:$I$89,5,0)</f>
        <v>267.57140000000027</v>
      </c>
      <c r="P113" s="13">
        <f t="shared" si="87"/>
        <v>64.333588350286504</v>
      </c>
      <c r="Q113" s="20">
        <f t="shared" si="107"/>
        <v>578.06785471008277</v>
      </c>
      <c r="R113" s="59">
        <f t="shared" si="55"/>
        <v>871.40118804341614</v>
      </c>
      <c r="S113" s="59">
        <f ca="1">AVERAGE(OFFSET($R$3,0,0,'Données projet'!$E$9+1,1))-AVERAGE(OFFSET($H$3,0,0,'Données projet'!$E$9+1,1))</f>
        <v>384.05928630855732</v>
      </c>
      <c r="T113" s="59">
        <f t="shared" si="88"/>
        <v>279.93992813630513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58.988265119829428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58.988265119829428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5.6367521367521407</v>
      </c>
      <c r="AI113" s="13">
        <f>IF('Données projet'!$A$62&gt;35,AI112+AH113-AQ112,IF(A113&lt;'Données projet'!$A$62,$AF$205^A113,IF(A113='Données projet'!$A$62,'Données projet'!$B$62,AI112+AH113-AQ112)))</f>
        <v>290.31837606837621</v>
      </c>
      <c r="AJ113" s="13">
        <f>AI113*VLOOKUP('Données projet'!$B$10,Paramètres!$A$1:$I$89,3,0)*VLOOKUP('Données projet'!$B$10,Paramètres!$A$1:$I$89,5,0)</f>
        <v>249.09316666666683</v>
      </c>
      <c r="AK113" s="13">
        <f t="shared" si="89"/>
        <v>60.391715092511546</v>
      </c>
      <c r="AL113" s="20">
        <f t="shared" si="58"/>
        <v>539.01950239723567</v>
      </c>
      <c r="AM113" s="59">
        <f t="shared" si="59"/>
        <v>832.35283573056904</v>
      </c>
      <c r="AN113" s="59">
        <f ca="1">AVERAGE(OFFSET($AM$3,0,0,'Données projet'!$E$10+1,1))-AVERAGE(OFFSET($H$3,0,0,'Données projet'!$E$10+1,1))</f>
        <v>335.02113791949211</v>
      </c>
      <c r="AO113" s="59">
        <f t="shared" si="90"/>
        <v>222.06886429435099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24.259612879655062</v>
      </c>
      <c r="AV113" s="21">
        <f>EXP(-LN(2)/25)*AV112+(1-EXP(-LN(2)/25))/(LN(2)/25)*Calculateur!AQ113*Calculateur!AS113*VLOOKUP('Données projet'!$B$10,Paramètres!$A$1:$I$89,3,0)*0.475*44/12</f>
        <v>24.901059701452617</v>
      </c>
      <c r="AW113" s="21">
        <f>EXP(-LN(2)/2)*AW112+(1-EXP(-LN(2)/2))/(LN(2)/2)*AQ113*AT113*VLOOKUP('Données projet'!$B$10,Paramètres!$A$1:$I$89,3,0)*0.475*44/12</f>
        <v>0.20106984888175453</v>
      </c>
      <c r="AX113" s="21">
        <f t="shared" si="60"/>
        <v>49.361742429989427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5.0961538461538449</v>
      </c>
      <c r="BD113" s="12">
        <f>IF('Données projet'!$A$88&gt;35,BD112+BC113-BL112,IF(A113&lt;'Données projet'!$A$88,$BA$205^A113,IF(A113='Données projet'!$A$88,'Données projet'!$B$88,BD112+BC113-BL112)))</f>
        <v>230.92948717948684</v>
      </c>
      <c r="BE113" s="13">
        <f>BD113*VLOOKUP('Données projet'!$B$11,Paramètres!$A$1:$I$89,3,0)*VLOOKUP('Données projet'!$B$11,Paramètres!$A$1:$I$89,5,0)</f>
        <v>223.35499999999968</v>
      </c>
      <c r="BF113" s="13">
        <f t="shared" si="91"/>
        <v>54.84343484273122</v>
      </c>
      <c r="BG113" s="20">
        <f t="shared" si="61"/>
        <v>484.52894068442293</v>
      </c>
      <c r="BH113" s="59">
        <f t="shared" si="62"/>
        <v>777.86227401775625</v>
      </c>
      <c r="BI113" s="59">
        <f ca="1">AVERAGE(OFFSET($BH$3,0,0,'Données projet'!$E$11+1,1))-AVERAGE(OFFSET($H$3,0,0,'Données projet'!$E$11+1,1))</f>
        <v>366.51581861366333</v>
      </c>
      <c r="BJ113" s="59">
        <f t="shared" si="92"/>
        <v>225.01415116995503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29.706513247105299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29.706513247105299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204.00000000000017</v>
      </c>
      <c r="BZ113" s="13">
        <f>BY113*VLOOKUP('Données projet'!$B$12,Paramètres!$A$1:$I$89,3,0)*VLOOKUP('Données projet'!$B$12,Paramètres!$A$1:$I$89,5,0)</f>
        <v>133.66080000000011</v>
      </c>
      <c r="CA113" s="13">
        <f t="shared" si="93"/>
        <v>34.840890682716783</v>
      </c>
      <c r="CB113" s="20">
        <f t="shared" si="64"/>
        <v>293.4737779390652</v>
      </c>
      <c r="CC113" s="59">
        <f t="shared" si="65"/>
        <v>586.80711127239852</v>
      </c>
      <c r="CD113" s="59">
        <f ca="1">AVERAGE(OFFSET($CC$3,0,0,'Données projet'!$E$12+1,1))-AVERAGE(OFFSET($H$3,0,0,'Données projet'!$E$12+1,1))</f>
        <v>230.58262378842818</v>
      </c>
      <c r="CE113" s="59">
        <f t="shared" si="94"/>
        <v>235.68746142880792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1.2850699734063962</v>
      </c>
      <c r="CL113" s="21">
        <f>EXP(-LN(2)/25)*CL112+(1-EXP(-LN(2)/25))/(LN(2)/25)*Calculateur!CG113*Calculateur!CI113*VLOOKUP('Données projet'!$B$12,Paramètres!$A$1:$I$89,3,0)*0.475*44/12</f>
        <v>6.1961746903808468</v>
      </c>
      <c r="CM113" s="21">
        <f>EXP(-LN(2)/2)*CM112+(1-EXP(-LN(2)/2))/(LN(2)/2)*CG113*CJ113*VLOOKUP('Données projet'!$B$12,Paramètres!$A$1:$I$89,3,0)*0.475*44/12</f>
        <v>2.9073033858231382E-3</v>
      </c>
      <c r="CN113" s="22">
        <f t="shared" si="66"/>
        <v>7.4841519671730667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1.7053025658242404E-13</v>
      </c>
      <c r="CU113" s="17">
        <f>CT113*VLOOKUP('Données projet'!$B$13,Paramètres!$A$1:$I$89,3,0)*VLOOKUP('Données projet'!$B$13,Paramètres!$A$1:$I$89,5,0)</f>
        <v>1.3301360013429075E-13</v>
      </c>
      <c r="CV113" s="13">
        <f t="shared" si="95"/>
        <v>1.9329766731057041E-12</v>
      </c>
      <c r="CW113" s="20">
        <f t="shared" si="67"/>
        <v>3.5982663925596575E-12</v>
      </c>
      <c r="CX113" s="59">
        <f t="shared" si="68"/>
        <v>293.3333333333369</v>
      </c>
      <c r="CY113" s="59">
        <f ca="1">AVERAGE(OFFSET($CX$3,0,0,'Données projet'!$E$13+1,1))-AVERAGE(OFFSET($H$3,0,0,'Données projet'!$E$13+1,1))</f>
        <v>288.80569134263209</v>
      </c>
      <c r="CZ113" s="59">
        <f t="shared" si="96"/>
        <v>283.48738729114024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36.021836360231603</v>
      </c>
      <c r="DG113" s="21">
        <f>EXP(-LN(2)/25)*DG112+(1-EXP(-LN(2)/25))/(LN(2)/25)*Calculateur!DB113*Calculateur!DD113*VLOOKUP('Données projet'!$B$13,Paramètres!$A$1:$I$89,3,0)*0.475*44/12</f>
        <v>21.885472700185005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57.907309060416608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266.99999999999983</v>
      </c>
      <c r="DP113" s="17">
        <f>DO113*VLOOKUP('Données projet'!$B$14,Paramètres!$A$1:$I$89,3,0)*VLOOKUP('Données projet'!$B$14,Paramètres!$A$1:$I$89,5,0)</f>
        <v>212.42519999999985</v>
      </c>
      <c r="DQ113" s="13">
        <f t="shared" si="97"/>
        <v>52.465198231787184</v>
      </c>
      <c r="DR113" s="20">
        <f t="shared" si="70"/>
        <v>461.35077692036231</v>
      </c>
      <c r="DS113" s="59">
        <f t="shared" si="71"/>
        <v>754.68411025369562</v>
      </c>
      <c r="DT113" s="59">
        <f ca="1">AVERAGE(OFFSET($DS$3,0,0,'Données projet'!$E$14+1,1))-AVERAGE(OFFSET($H$3,0,0,'Données projet'!$E$14+1,1))</f>
        <v>299.10536994156814</v>
      </c>
      <c r="DU113" s="59">
        <f t="shared" si="98"/>
        <v>292.57799203101769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15.894098401480319</v>
      </c>
      <c r="EB113" s="21">
        <f>EXP(-LN(2)/25)*EB112+(1-EXP(-LN(2)/25))/(LN(2)/25)*Calculateur!DW113*Calculateur!DY113*VLOOKUP('Données projet'!$B$14,Paramètres!$A$1:$I$89,3,0)*0.475*44/12</f>
        <v>3.6253730923444922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19.51947149382481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6.8461538461538511</v>
      </c>
      <c r="N114" s="13">
        <f>IF('Données projet'!$A$36&gt;35,N113+M114-V113,IF(A114&lt;'Données projet'!$A$36,$K$205^A114,IF(A114='Données projet'!$A$36,'Données projet'!$B$36,N113+M114-V113)))</f>
        <v>302.57051282051316</v>
      </c>
      <c r="O114" s="13">
        <f>N114*VLOOKUP('Données projet'!$B$9,Paramètres!$A$1:$I$89,3,0)*VLOOKUP('Données projet'!$B$9,Paramètres!$A$1:$I$89,5,0)</f>
        <v>273.7658000000003</v>
      </c>
      <c r="P114" s="13">
        <f t="shared" si="87"/>
        <v>65.647821692657914</v>
      </c>
      <c r="Q114" s="20">
        <f t="shared" si="107"/>
        <v>591.14539111471311</v>
      </c>
      <c r="R114" s="59">
        <f t="shared" si="55"/>
        <v>884.47872444804648</v>
      </c>
      <c r="S114" s="59">
        <f ca="1">AVERAGE(OFFSET($R$3,0,0,'Données projet'!$E$9+1,1))-AVERAGE(OFFSET($H$3,0,0,'Données projet'!$E$9+1,1))</f>
        <v>384.05928630855732</v>
      </c>
      <c r="T114" s="59">
        <f t="shared" si="88"/>
        <v>279.93992813630513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57.831541220118638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57.831541220118638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>
        <f>VLOOKUP(A114,'Données projet'!$A$61:$I$81,2,0)</f>
        <v>295.95512820512823</v>
      </c>
      <c r="AG114" s="12">
        <f>VLOOKUP(A114,'Données projet'!$A$61:$I$81,9,0)</f>
        <v>5.6367521367521407</v>
      </c>
      <c r="AH114" s="12">
        <f t="array" ref="AH114">INDEX(AG:AG,MIN(IF(ISNUMBER(AG114:AG310),ROW(AG114:AG310),"")))</f>
        <v>5.6367521367521407</v>
      </c>
      <c r="AI114" s="13">
        <f>IF('Données projet'!$A$62&gt;35,AI113+AH114-AQ113,IF(A114&lt;'Données projet'!$A$62,$AF$205^A114,IF(A114='Données projet'!$A$62,'Données projet'!$B$62,AI113+AH114-AQ113)))</f>
        <v>295.95512820512835</v>
      </c>
      <c r="AJ114" s="13">
        <f>AI114*VLOOKUP('Données projet'!$B$10,Paramètres!$A$1:$I$89,3,0)*VLOOKUP('Données projet'!$B$10,Paramètres!$A$1:$I$89,5,0)</f>
        <v>253.92950000000013</v>
      </c>
      <c r="AK114" s="13">
        <f t="shared" si="89"/>
        <v>61.426618859215289</v>
      </c>
      <c r="AL114" s="20">
        <f t="shared" si="58"/>
        <v>549.24524034646686</v>
      </c>
      <c r="AM114" s="59">
        <f t="shared" si="59"/>
        <v>842.57857367980023</v>
      </c>
      <c r="AN114" s="59">
        <f ca="1">AVERAGE(OFFSET($AM$3,0,0,'Données projet'!$E$10+1,1))-AVERAGE(OFFSET($H$3,0,0,'Données projet'!$E$10+1,1))</f>
        <v>335.02113791949211</v>
      </c>
      <c r="AO114" s="59">
        <f t="shared" si="90"/>
        <v>222.06886429435099</v>
      </c>
      <c r="AP114" s="15">
        <f>IF(ISNA(VLOOKUP(A114,'Données projet'!$A$61:$I$81,3,0)),0,VLOOKUP(A114,'Données projet'!$A$61:$I$81,3,0))</f>
        <v>9</v>
      </c>
      <c r="AQ114" s="15">
        <f>IF(ISNA(VLOOKUP(A114,'Données projet'!$A$61:$I$81,4,0)),0,VLOOKUP(A114,'Données projet'!$A$61:$I$81,4,0))</f>
        <v>108.1474358974359</v>
      </c>
      <c r="AR114" s="16">
        <f>IF(ISNA(VLOOKUP(A114,'Données projet'!$A$61:$I$81,5,0)),0%,VLOOKUP(A114,'Données projet'!$A$61:$I$81,5,0)*VLOOKUP('Données projet'!$B$10,Paramètres!$A$1:$I$89,7,0))</f>
        <v>0.26500000000000001</v>
      </c>
      <c r="AS114" s="16">
        <f>IF(ISNA(VLOOKUP(A114,'Données projet'!$A$61:$I$81,6,0)),0%,VLOOKUP(A114,'Données projet'!$A$61:$I$81,6,0)*VLOOKUP('Données projet'!$B$10,Paramètres!$A$1:$I$89,7,0))</f>
        <v>0.1855</v>
      </c>
      <c r="AT114" s="16">
        <f>IF(ISNA(VLOOKUP(A114,'Données projet'!$A$61:$I$81,7,0)),0%,VLOOKUP(A114,'Données projet'!$A$61:$I$81,7,0))</f>
        <v>0.1</v>
      </c>
      <c r="AU114" s="21">
        <f>EXP(-LN(2)/35)*AU113+(1-EXP(-LN(2)/35))/(LN(2)/35)*AQ114*AR114*VLOOKUP('Données projet'!$B$10,Paramètres!$A$1:$I$89,3,0)*0.475*44/12</f>
        <v>50.966841219781656</v>
      </c>
      <c r="AV114" s="21">
        <f>EXP(-LN(2)/25)*AV113+(1-EXP(-LN(2)/25))/(LN(2)/25)*Calculateur!AQ114*Calculateur!AS114*VLOOKUP('Données projet'!$B$10,Paramètres!$A$1:$I$89,3,0)*0.475*44/12</f>
        <v>43.173279373532253</v>
      </c>
      <c r="AW114" s="21">
        <f>EXP(-LN(2)/2)*AW113+(1-EXP(-LN(2)/2))/(LN(2)/2)*AQ114*AT114*VLOOKUP('Données projet'!$B$10,Paramètres!$A$1:$I$89,3,0)*0.475*44/12</f>
        <v>8.8972112706055739</v>
      </c>
      <c r="AX114" s="21">
        <f t="shared" si="60"/>
        <v>103.03733186391949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5.0961538461538449</v>
      </c>
      <c r="BD114" s="12">
        <f>IF('Données projet'!$A$88&gt;35,BD113+BC114-BL113,IF(A114&lt;'Données projet'!$A$88,$BA$205^A114,IF(A114='Données projet'!$A$88,'Données projet'!$B$88,BD113+BC114-BL113)))</f>
        <v>236.02564102564068</v>
      </c>
      <c r="BE114" s="13">
        <f>BD114*VLOOKUP('Données projet'!$B$11,Paramètres!$A$1:$I$89,3,0)*VLOOKUP('Données projet'!$B$11,Paramètres!$A$1:$I$89,5,0)</f>
        <v>228.28399999999965</v>
      </c>
      <c r="BF114" s="13">
        <f t="shared" si="91"/>
        <v>55.911480648296354</v>
      </c>
      <c r="BG114" s="20">
        <f t="shared" si="61"/>
        <v>494.97379546244878</v>
      </c>
      <c r="BH114" s="59">
        <f t="shared" si="62"/>
        <v>788.30712879578209</v>
      </c>
      <c r="BI114" s="59">
        <f ca="1">AVERAGE(OFFSET($BH$3,0,0,'Données projet'!$E$11+1,1))-AVERAGE(OFFSET($H$3,0,0,'Données projet'!$E$11+1,1))</f>
        <v>366.51581861366333</v>
      </c>
      <c r="BJ114" s="59">
        <f t="shared" si="92"/>
        <v>225.01415116995503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29.123986641513525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29.123986641513525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204.00000000000017</v>
      </c>
      <c r="BZ114" s="13">
        <f>BY114*VLOOKUP('Données projet'!$B$12,Paramètres!$A$1:$I$89,3,0)*VLOOKUP('Données projet'!$B$12,Paramètres!$A$1:$I$89,5,0)</f>
        <v>133.66080000000011</v>
      </c>
      <c r="CA114" s="13">
        <f t="shared" si="93"/>
        <v>34.840890682716783</v>
      </c>
      <c r="CB114" s="20">
        <f t="shared" si="64"/>
        <v>293.4737779390652</v>
      </c>
      <c r="CC114" s="59">
        <f t="shared" si="65"/>
        <v>586.80711127239852</v>
      </c>
      <c r="CD114" s="59">
        <f ca="1">AVERAGE(OFFSET($CC$3,0,0,'Données projet'!$E$12+1,1))-AVERAGE(OFFSET($H$3,0,0,'Données projet'!$E$12+1,1))</f>
        <v>230.58262378842818</v>
      </c>
      <c r="CE114" s="59">
        <f t="shared" si="94"/>
        <v>235.68746142880792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1.2598705350431851</v>
      </c>
      <c r="CL114" s="21">
        <f>EXP(-LN(2)/25)*CL113+(1-EXP(-LN(2)/25))/(LN(2)/25)*Calculateur!CG114*Calculateur!CI114*VLOOKUP('Données projet'!$B$12,Paramètres!$A$1:$I$89,3,0)*0.475*44/12</f>
        <v>6.0267399676297169</v>
      </c>
      <c r="CM114" s="21">
        <f>EXP(-LN(2)/2)*CM113+(1-EXP(-LN(2)/2))/(LN(2)/2)*CG114*CJ114*VLOOKUP('Données projet'!$B$12,Paramètres!$A$1:$I$89,3,0)*0.475*44/12</f>
        <v>2.0557739390821505E-3</v>
      </c>
      <c r="CN114" s="22">
        <f t="shared" si="66"/>
        <v>7.2886662766119841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1.7053025658242404E-13</v>
      </c>
      <c r="CU114" s="17">
        <f>CT114*VLOOKUP('Données projet'!$B$13,Paramètres!$A$1:$I$89,3,0)*VLOOKUP('Données projet'!$B$13,Paramètres!$A$1:$I$89,5,0)</f>
        <v>1.3301360013429075E-13</v>
      </c>
      <c r="CV114" s="13">
        <f t="shared" si="95"/>
        <v>1.9329766731057041E-12</v>
      </c>
      <c r="CW114" s="20">
        <f t="shared" si="67"/>
        <v>3.5982663925596575E-12</v>
      </c>
      <c r="CX114" s="59">
        <f t="shared" si="68"/>
        <v>293.3333333333369</v>
      </c>
      <c r="CY114" s="59">
        <f ca="1">AVERAGE(OFFSET($CX$3,0,0,'Données projet'!$E$13+1,1))-AVERAGE(OFFSET($H$3,0,0,'Données projet'!$E$13+1,1))</f>
        <v>288.80569134263209</v>
      </c>
      <c r="CZ114" s="59">
        <f t="shared" si="96"/>
        <v>283.48738729114024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35.315470120358171</v>
      </c>
      <c r="DG114" s="21">
        <f>EXP(-LN(2)/25)*DG113+(1-EXP(-LN(2)/25))/(LN(2)/25)*Calculateur!DB114*Calculateur!DD114*VLOOKUP('Données projet'!$B$13,Paramètres!$A$1:$I$89,3,0)*0.475*44/12</f>
        <v>21.287013298291455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56.602483418649626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266.99999999999983</v>
      </c>
      <c r="DP114" s="17">
        <f>DO114*VLOOKUP('Données projet'!$B$14,Paramètres!$A$1:$I$89,3,0)*VLOOKUP('Données projet'!$B$14,Paramètres!$A$1:$I$89,5,0)</f>
        <v>212.42519999999985</v>
      </c>
      <c r="DQ114" s="13">
        <f t="shared" si="97"/>
        <v>52.465198231787184</v>
      </c>
      <c r="DR114" s="20">
        <f t="shared" si="70"/>
        <v>461.35077692036231</v>
      </c>
      <c r="DS114" s="59">
        <f t="shared" si="71"/>
        <v>754.68411025369562</v>
      </c>
      <c r="DT114" s="59">
        <f ca="1">AVERAGE(OFFSET($DS$3,0,0,'Données projet'!$E$14+1,1))-AVERAGE(OFFSET($H$3,0,0,'Données projet'!$E$14+1,1))</f>
        <v>299.10536994156814</v>
      </c>
      <c r="DU114" s="59">
        <f t="shared" si="98"/>
        <v>292.57799203101769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15.582424826270067</v>
      </c>
      <c r="EB114" s="21">
        <f>EXP(-LN(2)/25)*EB113+(1-EXP(-LN(2)/25))/(LN(2)/25)*Calculateur!DW114*Calculateur!DY114*VLOOKUP('Données projet'!$B$14,Paramètres!$A$1:$I$89,3,0)*0.475*44/12</f>
        <v>3.5262370744842473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19.108661900754313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6.8461538461538511</v>
      </c>
      <c r="N115" s="13">
        <f>IF('Données projet'!$A$36&gt;35,N114+M115-V114,IF(A115&lt;'Données projet'!$A$36,$K$205^A115,IF(A115='Données projet'!$A$36,'Données projet'!$B$36,N114+M115-V114)))</f>
        <v>309.41666666666703</v>
      </c>
      <c r="O115" s="13">
        <f>N115*VLOOKUP('Données projet'!$B$9,Paramètres!$A$1:$I$89,3,0)*VLOOKUP('Données projet'!$B$9,Paramètres!$A$1:$I$89,5,0)</f>
        <v>279.96020000000033</v>
      </c>
      <c r="P115" s="13">
        <f t="shared" si="87"/>
        <v>66.958597927408931</v>
      </c>
      <c r="Q115" s="20">
        <f t="shared" si="107"/>
        <v>604.2169063902378</v>
      </c>
      <c r="R115" s="59">
        <f t="shared" si="55"/>
        <v>897.55023972357117</v>
      </c>
      <c r="S115" s="59">
        <f ca="1">AVERAGE(OFFSET($R$3,0,0,'Données projet'!$E$9+1,1))-AVERAGE(OFFSET($H$3,0,0,'Données projet'!$E$9+1,1))</f>
        <v>384.05928630855732</v>
      </c>
      <c r="T115" s="59">
        <f t="shared" si="88"/>
        <v>279.93992813630513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56.697499970549259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56.697499970549259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4.603846153846149</v>
      </c>
      <c r="AI115" s="13">
        <f>IF('Données projet'!$A$62&gt;35,AI114+AH115-AQ114,IF(A115&lt;'Données projet'!$A$62,$AF$205^A115,IF(A115='Données projet'!$A$62,'Données projet'!$B$62,AI114+AH115-AQ114)))</f>
        <v>192.41153846153861</v>
      </c>
      <c r="AJ115" s="13">
        <f>AI115*VLOOKUP('Données projet'!$B$10,Paramètres!$A$1:$I$89,3,0)*VLOOKUP('Données projet'!$B$10,Paramètres!$A$1:$I$89,5,0)</f>
        <v>165.08910000000014</v>
      </c>
      <c r="AK115" s="13">
        <f t="shared" si="89"/>
        <v>41.988275978897839</v>
      </c>
      <c r="AL115" s="20">
        <f t="shared" si="58"/>
        <v>360.65976316324731</v>
      </c>
      <c r="AM115" s="59">
        <f t="shared" si="59"/>
        <v>653.99309649658062</v>
      </c>
      <c r="AN115" s="59">
        <f ca="1">AVERAGE(OFFSET($AM$3,0,0,'Données projet'!$E$10+1,1))-AVERAGE(OFFSET($H$3,0,0,'Données projet'!$E$10+1,1))</f>
        <v>335.02113791949211</v>
      </c>
      <c r="AO115" s="59">
        <f t="shared" si="90"/>
        <v>222.06886429435099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49.967412550165328</v>
      </c>
      <c r="AV115" s="21">
        <f>EXP(-LN(2)/25)*AV114+(1-EXP(-LN(2)/25))/(LN(2)/25)*Calculateur!AQ115*Calculateur!AS115*VLOOKUP('Données projet'!$B$10,Paramètres!$A$1:$I$89,3,0)*0.475*44/12</f>
        <v>41.992703778678923</v>
      </c>
      <c r="AW115" s="21">
        <f>EXP(-LN(2)/2)*AW114+(1-EXP(-LN(2)/2))/(LN(2)/2)*AQ115*AT115*VLOOKUP('Données projet'!$B$10,Paramètres!$A$1:$I$89,3,0)*0.475*44/12</f>
        <v>6.2912784230945809</v>
      </c>
      <c r="AX115" s="21">
        <f t="shared" si="60"/>
        <v>98.251394751938832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5.0961538461538449</v>
      </c>
      <c r="BD115" s="12">
        <f>IF('Données projet'!$A$88&gt;35,BD114+BC115-BL114,IF(A115&lt;'Données projet'!$A$88,$BA$205^A115,IF(A115='Données projet'!$A$88,'Données projet'!$B$88,BD114+BC115-BL114)))</f>
        <v>241.12179487179452</v>
      </c>
      <c r="BE115" s="13">
        <f>BD115*VLOOKUP('Données projet'!$B$11,Paramètres!$A$1:$I$89,3,0)*VLOOKUP('Données projet'!$B$11,Paramètres!$A$1:$I$89,5,0)</f>
        <v>233.21299999999965</v>
      </c>
      <c r="BF115" s="13">
        <f t="shared" si="91"/>
        <v>56.976845333933838</v>
      </c>
      <c r="BG115" s="20">
        <f t="shared" si="61"/>
        <v>505.41398062326749</v>
      </c>
      <c r="BH115" s="59">
        <f t="shared" si="62"/>
        <v>798.74731395660081</v>
      </c>
      <c r="BI115" s="59">
        <f ca="1">AVERAGE(OFFSET($BH$3,0,0,'Données projet'!$E$11+1,1))-AVERAGE(OFFSET($H$3,0,0,'Données projet'!$E$11+1,1))</f>
        <v>366.51581861366333</v>
      </c>
      <c r="BJ115" s="59">
        <f t="shared" si="92"/>
        <v>225.01415116995503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28.55288302735126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28.55288302735126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204.00000000000017</v>
      </c>
      <c r="BZ115" s="13">
        <f>BY115*VLOOKUP('Données projet'!$B$12,Paramètres!$A$1:$I$89,3,0)*VLOOKUP('Données projet'!$B$12,Paramètres!$A$1:$I$89,5,0)</f>
        <v>133.66080000000011</v>
      </c>
      <c r="CA115" s="13">
        <f t="shared" si="93"/>
        <v>34.840890682716783</v>
      </c>
      <c r="CB115" s="20">
        <f t="shared" si="64"/>
        <v>293.4737779390652</v>
      </c>
      <c r="CC115" s="59">
        <f t="shared" si="65"/>
        <v>586.80711127239852</v>
      </c>
      <c r="CD115" s="59">
        <f ca="1">AVERAGE(OFFSET($CC$3,0,0,'Données projet'!$E$12+1,1))-AVERAGE(OFFSET($H$3,0,0,'Données projet'!$E$12+1,1))</f>
        <v>230.58262378842818</v>
      </c>
      <c r="CE115" s="59">
        <f t="shared" si="94"/>
        <v>235.68746142880792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1.235165242296137</v>
      </c>
      <c r="CL115" s="21">
        <f>EXP(-LN(2)/25)*CL114+(1-EXP(-LN(2)/25))/(LN(2)/25)*Calculateur!CG115*Calculateur!CI115*VLOOKUP('Données projet'!$B$12,Paramètres!$A$1:$I$89,3,0)*0.475*44/12</f>
        <v>5.8619384462824016</v>
      </c>
      <c r="CM115" s="21">
        <f>EXP(-LN(2)/2)*CM114+(1-EXP(-LN(2)/2))/(LN(2)/2)*CG115*CJ115*VLOOKUP('Données projet'!$B$12,Paramètres!$A$1:$I$89,3,0)*0.475*44/12</f>
        <v>1.4536516929115691E-3</v>
      </c>
      <c r="CN115" s="22">
        <f t="shared" si="66"/>
        <v>7.0985573402714506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1.7053025658242404E-13</v>
      </c>
      <c r="CU115" s="17">
        <f>CT115*VLOOKUP('Données projet'!$B$13,Paramètres!$A$1:$I$89,3,0)*VLOOKUP('Données projet'!$B$13,Paramètres!$A$1:$I$89,5,0)</f>
        <v>1.3301360013429075E-13</v>
      </c>
      <c r="CV115" s="13">
        <f t="shared" si="95"/>
        <v>1.9329766731057041E-12</v>
      </c>
      <c r="CW115" s="20">
        <f t="shared" si="67"/>
        <v>3.5982663925596575E-12</v>
      </c>
      <c r="CX115" s="59">
        <f t="shared" si="68"/>
        <v>293.3333333333369</v>
      </c>
      <c r="CY115" s="59">
        <f ca="1">AVERAGE(OFFSET($CX$3,0,0,'Données projet'!$E$13+1,1))-AVERAGE(OFFSET($H$3,0,0,'Données projet'!$E$13+1,1))</f>
        <v>288.80569134263209</v>
      </c>
      <c r="CZ115" s="59">
        <f t="shared" si="96"/>
        <v>283.48738729114024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34.622955291607795</v>
      </c>
      <c r="DG115" s="21">
        <f>EXP(-LN(2)/25)*DG114+(1-EXP(-LN(2)/25))/(LN(2)/25)*Calculateur!DB115*Calculateur!DD115*VLOOKUP('Données projet'!$B$13,Paramètres!$A$1:$I$89,3,0)*0.475*44/12</f>
        <v>20.704918800214298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55.327874091822096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266.99999999999983</v>
      </c>
      <c r="DP115" s="17">
        <f>DO115*VLOOKUP('Données projet'!$B$14,Paramètres!$A$1:$I$89,3,0)*VLOOKUP('Données projet'!$B$14,Paramètres!$A$1:$I$89,5,0)</f>
        <v>212.42519999999985</v>
      </c>
      <c r="DQ115" s="13">
        <f t="shared" si="97"/>
        <v>52.465198231787184</v>
      </c>
      <c r="DR115" s="20">
        <f t="shared" si="70"/>
        <v>461.35077692036231</v>
      </c>
      <c r="DS115" s="59">
        <f t="shared" si="71"/>
        <v>754.68411025369562</v>
      </c>
      <c r="DT115" s="59">
        <f ca="1">AVERAGE(OFFSET($DS$3,0,0,'Données projet'!$E$14+1,1))-AVERAGE(OFFSET($H$3,0,0,'Données projet'!$E$14+1,1))</f>
        <v>299.10536994156814</v>
      </c>
      <c r="DU115" s="59">
        <f t="shared" si="98"/>
        <v>292.57799203101769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15.276862979767579</v>
      </c>
      <c r="EB115" s="21">
        <f>EXP(-LN(2)/25)*EB114+(1-EXP(-LN(2)/25))/(LN(2)/25)*Calculateur!DW115*Calculateur!DY115*VLOOKUP('Données projet'!$B$14,Paramètres!$A$1:$I$89,3,0)*0.475*44/12</f>
        <v>3.4298119362457271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18.706674916013306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6.8461538461538511</v>
      </c>
      <c r="N116" s="13">
        <f>IF('Données projet'!$A$36&gt;35,N115+M116-V115,IF(A116&lt;'Données projet'!$A$36,$K$205^A116,IF(A116='Données projet'!$A$36,'Données projet'!$B$36,N115+M116-V115)))</f>
        <v>316.26282051282089</v>
      </c>
      <c r="O116" s="13">
        <f>N116*VLOOKUP('Données projet'!$B$9,Paramètres!$A$1:$I$89,3,0)*VLOOKUP('Données projet'!$B$9,Paramètres!$A$1:$I$89,5,0)</f>
        <v>286.15460000000036</v>
      </c>
      <c r="P116" s="13">
        <f t="shared" si="87"/>
        <v>68.266002354364261</v>
      </c>
      <c r="Q116" s="20">
        <f t="shared" si="107"/>
        <v>617.28254910051839</v>
      </c>
      <c r="R116" s="59">
        <f t="shared" si="55"/>
        <v>910.61588243385177</v>
      </c>
      <c r="S116" s="59">
        <f ca="1">AVERAGE(OFFSET($R$3,0,0,'Données projet'!$E$9+1,1))-AVERAGE(OFFSET($H$3,0,0,'Données projet'!$E$9+1,1))</f>
        <v>384.05928630855732</v>
      </c>
      <c r="T116" s="59">
        <f t="shared" si="88"/>
        <v>279.93992813630513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55.585696578187076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55.585696578187076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4.603846153846149</v>
      </c>
      <c r="AI116" s="13">
        <f>IF('Données projet'!$A$62&gt;35,AI115+AH116-AQ115,IF(A116&lt;'Données projet'!$A$62,$AF$205^A116,IF(A116='Données projet'!$A$62,'Données projet'!$B$62,AI115+AH116-AQ115)))</f>
        <v>197.01538461538476</v>
      </c>
      <c r="AJ116" s="13">
        <f>AI116*VLOOKUP('Données projet'!$B$10,Paramètres!$A$1:$I$89,3,0)*VLOOKUP('Données projet'!$B$10,Paramètres!$A$1:$I$89,5,0)</f>
        <v>169.03920000000014</v>
      </c>
      <c r="AK116" s="13">
        <f t="shared" si="89"/>
        <v>42.874765415508925</v>
      </c>
      <c r="AL116" s="20">
        <f t="shared" si="58"/>
        <v>369.08348976534489</v>
      </c>
      <c r="AM116" s="59">
        <f t="shared" si="59"/>
        <v>662.41682309867815</v>
      </c>
      <c r="AN116" s="59">
        <f ca="1">AVERAGE(OFFSET($AM$3,0,0,'Données projet'!$E$10+1,1))-AVERAGE(OFFSET($H$3,0,0,'Données projet'!$E$10+1,1))</f>
        <v>335.02113791949211</v>
      </c>
      <c r="AO116" s="59">
        <f t="shared" si="90"/>
        <v>222.06886429435099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48.98758206716888</v>
      </c>
      <c r="AV116" s="21">
        <f>EXP(-LN(2)/25)*AV115+(1-EXP(-LN(2)/25))/(LN(2)/25)*Calculateur!AQ116*Calculateur!AS116*VLOOKUP('Données projet'!$B$10,Paramètres!$A$1:$I$89,3,0)*0.475*44/12</f>
        <v>40.844411085550632</v>
      </c>
      <c r="AW116" s="21">
        <f>EXP(-LN(2)/2)*AW115+(1-EXP(-LN(2)/2))/(LN(2)/2)*AQ116*AT116*VLOOKUP('Données projet'!$B$10,Paramètres!$A$1:$I$89,3,0)*0.475*44/12</f>
        <v>4.4486056353027879</v>
      </c>
      <c r="AX116" s="21">
        <f t="shared" si="60"/>
        <v>94.280598788022303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246.21794871794873</v>
      </c>
      <c r="BB116" s="12">
        <f>VLOOKUP(A116,'Données projet'!$A$87:$I$107,9,0)</f>
        <v>5.0961538461538449</v>
      </c>
      <c r="BC116" s="12">
        <f t="array" ref="BC116">INDEX(BB:BB,MIN(IF(ISNUMBER(BB116:BB312),ROW(BB116:BB312),"")))</f>
        <v>5.0961538461538449</v>
      </c>
      <c r="BD116" s="12">
        <f>IF('Données projet'!$A$88&gt;35,BD115+BC116-BL115,IF(A116&lt;'Données projet'!$A$88,$BA$205^A116,IF(A116='Données projet'!$A$88,'Données projet'!$B$88,BD115+BC116-BL115)))</f>
        <v>246.21794871794836</v>
      </c>
      <c r="BE116" s="13">
        <f>BD116*VLOOKUP('Données projet'!$B$11,Paramètres!$A$1:$I$89,3,0)*VLOOKUP('Données projet'!$B$11,Paramètres!$A$1:$I$89,5,0)</f>
        <v>238.14199999999968</v>
      </c>
      <c r="BF116" s="13">
        <f t="shared" si="91"/>
        <v>58.039592093276745</v>
      </c>
      <c r="BG116" s="20">
        <f t="shared" si="61"/>
        <v>515.84960622912308</v>
      </c>
      <c r="BH116" s="59">
        <f t="shared" si="62"/>
        <v>809.18293956245634</v>
      </c>
      <c r="BI116" s="59">
        <f ca="1">AVERAGE(OFFSET($BH$3,0,0,'Données projet'!$E$11+1,1))-AVERAGE(OFFSET($H$3,0,0,'Données projet'!$E$11+1,1))</f>
        <v>366.51581861366333</v>
      </c>
      <c r="BJ116" s="59">
        <f t="shared" si="92"/>
        <v>225.01415116995503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31.602564102564099</v>
      </c>
      <c r="BM116" s="16">
        <f>IF(ISNA(VLOOKUP(A116,'Données projet'!$A$87:$I$107,5,0)),0%,VLOOKUP(A116,'Données projet'!$A$87:$I$107,5,0)*VLOOKUP('Données projet'!$B$11,Paramètres!$A$1:$I$89,7,0))</f>
        <v>0.30099999999999999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38.163710500585957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38.163710500585957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204.00000000000017</v>
      </c>
      <c r="BZ116" s="13">
        <f>BY116*VLOOKUP('Données projet'!$B$12,Paramètres!$A$1:$I$89,3,0)*VLOOKUP('Données projet'!$B$12,Paramètres!$A$1:$I$89,5,0)</f>
        <v>133.66080000000011</v>
      </c>
      <c r="CA116" s="13">
        <f t="shared" si="93"/>
        <v>34.840890682716783</v>
      </c>
      <c r="CB116" s="20">
        <f t="shared" si="64"/>
        <v>293.4737779390652</v>
      </c>
      <c r="CC116" s="59">
        <f t="shared" si="65"/>
        <v>586.80711127239852</v>
      </c>
      <c r="CD116" s="59">
        <f ca="1">AVERAGE(OFFSET($CC$3,0,0,'Données projet'!$E$12+1,1))-AVERAGE(OFFSET($H$3,0,0,'Données projet'!$E$12+1,1))</f>
        <v>230.58262378842818</v>
      </c>
      <c r="CE116" s="59">
        <f t="shared" si="94"/>
        <v>235.68746142880792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1.2109444052711178</v>
      </c>
      <c r="CL116" s="21">
        <f>EXP(-LN(2)/25)*CL115+(1-EXP(-LN(2)/25))/(LN(2)/25)*Calculateur!CG116*Calculateur!CI116*VLOOKUP('Données projet'!$B$12,Paramètres!$A$1:$I$89,3,0)*0.475*44/12</f>
        <v>5.7016434312028643</v>
      </c>
      <c r="CM116" s="21">
        <f>EXP(-LN(2)/2)*CM115+(1-EXP(-LN(2)/2))/(LN(2)/2)*CG116*CJ116*VLOOKUP('Données projet'!$B$12,Paramètres!$A$1:$I$89,3,0)*0.475*44/12</f>
        <v>1.0278869695410752E-3</v>
      </c>
      <c r="CN116" s="22">
        <f t="shared" si="66"/>
        <v>6.9136157234435229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1.7053025658242404E-13</v>
      </c>
      <c r="CU116" s="17">
        <f>CT116*VLOOKUP('Données projet'!$B$13,Paramètres!$A$1:$I$89,3,0)*VLOOKUP('Données projet'!$B$13,Paramètres!$A$1:$I$89,5,0)</f>
        <v>1.3301360013429075E-13</v>
      </c>
      <c r="CV116" s="13">
        <f t="shared" si="95"/>
        <v>1.9329766731057041E-12</v>
      </c>
      <c r="CW116" s="20">
        <f t="shared" si="67"/>
        <v>3.5982663925596575E-12</v>
      </c>
      <c r="CX116" s="59">
        <f t="shared" si="68"/>
        <v>293.3333333333369</v>
      </c>
      <c r="CY116" s="59">
        <f ca="1">AVERAGE(OFFSET($CX$3,0,0,'Données projet'!$E$13+1,1))-AVERAGE(OFFSET($H$3,0,0,'Données projet'!$E$13+1,1))</f>
        <v>288.80569134263209</v>
      </c>
      <c r="CZ116" s="59">
        <f t="shared" si="96"/>
        <v>283.48738729114024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33.94402025625687</v>
      </c>
      <c r="DG116" s="21">
        <f>EXP(-LN(2)/25)*DG115+(1-EXP(-LN(2)/25))/(LN(2)/25)*Calculateur!DB116*Calculateur!DD116*VLOOKUP('Données projet'!$B$13,Paramètres!$A$1:$I$89,3,0)*0.475*44/12</f>
        <v>20.138741706798079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54.082761963054949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266.99999999999983</v>
      </c>
      <c r="DP116" s="17">
        <f>DO116*VLOOKUP('Données projet'!$B$14,Paramètres!$A$1:$I$89,3,0)*VLOOKUP('Données projet'!$B$14,Paramètres!$A$1:$I$89,5,0)</f>
        <v>212.42519999999985</v>
      </c>
      <c r="DQ116" s="13">
        <f t="shared" si="97"/>
        <v>52.465198231787184</v>
      </c>
      <c r="DR116" s="20">
        <f t="shared" si="70"/>
        <v>461.35077692036231</v>
      </c>
      <c r="DS116" s="59">
        <f t="shared" si="71"/>
        <v>754.68411025369562</v>
      </c>
      <c r="DT116" s="59">
        <f ca="1">AVERAGE(OFFSET($DS$3,0,0,'Données projet'!$E$14+1,1))-AVERAGE(OFFSET($H$3,0,0,'Données projet'!$E$14+1,1))</f>
        <v>299.10536994156814</v>
      </c>
      <c r="DU116" s="59">
        <f t="shared" si="98"/>
        <v>292.57799203101769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14.977293014700681</v>
      </c>
      <c r="EB116" s="21">
        <f>EXP(-LN(2)/25)*EB115+(1-EXP(-LN(2)/25))/(LN(2)/25)*Calculateur!DW116*Calculateur!DY116*VLOOKUP('Données projet'!$B$14,Paramètres!$A$1:$I$89,3,0)*0.475*44/12</f>
        <v>3.3360235484831171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18.313316563183797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6.8461538461538511</v>
      </c>
      <c r="N117" s="13">
        <f>IF('Données projet'!$A$36&gt;35,N116+M117-V116,IF(A117&lt;'Données projet'!$A$36,$K$205^A117,IF(A117='Données projet'!$A$36,'Données projet'!$B$36,N116+M117-V116)))</f>
        <v>323.10897435897476</v>
      </c>
      <c r="O117" s="13">
        <f>N117*VLOOKUP('Données projet'!$B$9,Paramètres!$A$1:$I$89,3,0)*VLOOKUP('Données projet'!$B$9,Paramètres!$A$1:$I$89,5,0)</f>
        <v>292.34900000000033</v>
      </c>
      <c r="P117" s="13">
        <f t="shared" si="87"/>
        <v>69.570116369442999</v>
      </c>
      <c r="Q117" s="20">
        <f t="shared" si="107"/>
        <v>630.34246101011377</v>
      </c>
      <c r="R117" s="59">
        <f t="shared" si="55"/>
        <v>923.67579434344702</v>
      </c>
      <c r="S117" s="59">
        <f ca="1">AVERAGE(OFFSET($R$3,0,0,'Données projet'!$E$9+1,1))-AVERAGE(OFFSET($H$3,0,0,'Données projet'!$E$9+1,1))</f>
        <v>384.05928630855732</v>
      </c>
      <c r="T117" s="59">
        <f t="shared" si="88"/>
        <v>279.93992813630513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54.495694972216008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54.495694972216008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4.603846153846149</v>
      </c>
      <c r="AI117" s="13">
        <f>IF('Données projet'!$A$62&gt;35,AI116+AH117-AQ116,IF(A117&lt;'Données projet'!$A$62,$AF$205^A117,IF(A117='Données projet'!$A$62,'Données projet'!$B$62,AI116+AH117-AQ116)))</f>
        <v>201.61923076923091</v>
      </c>
      <c r="AJ117" s="13">
        <f>AI117*VLOOKUP('Données projet'!$B$10,Paramètres!$A$1:$I$89,3,0)*VLOOKUP('Données projet'!$B$10,Paramètres!$A$1:$I$89,5,0)</f>
        <v>172.98930000000013</v>
      </c>
      <c r="AK117" s="13">
        <f t="shared" si="89"/>
        <v>43.758846619304109</v>
      </c>
      <c r="AL117" s="20">
        <f t="shared" si="58"/>
        <v>377.5030220286215</v>
      </c>
      <c r="AM117" s="59">
        <f t="shared" si="59"/>
        <v>670.83635536195482</v>
      </c>
      <c r="AN117" s="59">
        <f ca="1">AVERAGE(OFFSET($AM$3,0,0,'Données projet'!$E$10+1,1))-AVERAGE(OFFSET($H$3,0,0,'Données projet'!$E$10+1,1))</f>
        <v>335.02113791949211</v>
      </c>
      <c r="AO117" s="59">
        <f t="shared" si="90"/>
        <v>222.06886429435099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48.026965462306407</v>
      </c>
      <c r="AV117" s="21">
        <f>EXP(-LN(2)/25)*AV116+(1-EXP(-LN(2)/25))/(LN(2)/25)*Calculateur!AQ117*Calculateur!AS117*VLOOKUP('Données projet'!$B$10,Paramètres!$A$1:$I$89,3,0)*0.475*44/12</f>
        <v>39.727518516502023</v>
      </c>
      <c r="AW117" s="21">
        <f>EXP(-LN(2)/2)*AW116+(1-EXP(-LN(2)/2))/(LN(2)/2)*AQ117*AT117*VLOOKUP('Données projet'!$B$10,Paramètres!$A$1:$I$89,3,0)*0.475*44/12</f>
        <v>3.1456392115472909</v>
      </c>
      <c r="AX117" s="21">
        <f t="shared" si="60"/>
        <v>90.900123190355714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5.3066239316239274</v>
      </c>
      <c r="BD117" s="12">
        <f>IF('Données projet'!$A$88&gt;35,BD116+BC117-BL116,IF(A117&lt;'Données projet'!$A$88,$BA$205^A117,IF(A117='Données projet'!$A$88,'Données projet'!$B$88,BD116+BC117-BL116)))</f>
        <v>219.9220085470082</v>
      </c>
      <c r="BE117" s="13">
        <f>BD117*VLOOKUP('Données projet'!$B$11,Paramètres!$A$1:$I$89,3,0)*VLOOKUP('Données projet'!$B$11,Paramètres!$A$1:$I$89,5,0)</f>
        <v>212.70856666666631</v>
      </c>
      <c r="BF117" s="13">
        <f t="shared" si="91"/>
        <v>52.527033471579792</v>
      </c>
      <c r="BG117" s="20">
        <f t="shared" si="61"/>
        <v>461.95200357411198</v>
      </c>
      <c r="BH117" s="59">
        <f t="shared" si="62"/>
        <v>755.2853369074453</v>
      </c>
      <c r="BI117" s="59">
        <f ca="1">AVERAGE(OFFSET($BH$3,0,0,'Données projet'!$E$11+1,1))-AVERAGE(OFFSET($H$3,0,0,'Données projet'!$E$11+1,1))</f>
        <v>366.51581861366333</v>
      </c>
      <c r="BJ117" s="59">
        <f t="shared" si="92"/>
        <v>225.01415116995503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37.415343415234403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37.415343415234403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204.00000000000017</v>
      </c>
      <c r="BZ117" s="13">
        <f>BY117*VLOOKUP('Données projet'!$B$12,Paramètres!$A$1:$I$89,3,0)*VLOOKUP('Données projet'!$B$12,Paramètres!$A$1:$I$89,5,0)</f>
        <v>133.66080000000011</v>
      </c>
      <c r="CA117" s="13">
        <f t="shared" si="93"/>
        <v>34.840890682716783</v>
      </c>
      <c r="CB117" s="20">
        <f t="shared" si="64"/>
        <v>293.4737779390652</v>
      </c>
      <c r="CC117" s="59">
        <f t="shared" si="65"/>
        <v>586.80711127239852</v>
      </c>
      <c r="CD117" s="59">
        <f ca="1">AVERAGE(OFFSET($CC$3,0,0,'Données projet'!$E$12+1,1))-AVERAGE(OFFSET($H$3,0,0,'Données projet'!$E$12+1,1))</f>
        <v>230.58262378842818</v>
      </c>
      <c r="CE117" s="59">
        <f t="shared" si="94"/>
        <v>235.68746142880792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1.1871985240869074</v>
      </c>
      <c r="CL117" s="21">
        <f>EXP(-LN(2)/25)*CL116+(1-EXP(-LN(2)/25))/(LN(2)/25)*Calculateur!CG117*Calculateur!CI117*VLOOKUP('Données projet'!$B$12,Paramètres!$A$1:$I$89,3,0)*0.475*44/12</f>
        <v>5.5457316917402251</v>
      </c>
      <c r="CM117" s="21">
        <f>EXP(-LN(2)/2)*CM116+(1-EXP(-LN(2)/2))/(LN(2)/2)*CG117*CJ117*VLOOKUP('Données projet'!$B$12,Paramètres!$A$1:$I$89,3,0)*0.475*44/12</f>
        <v>7.2682584645578454E-4</v>
      </c>
      <c r="CN117" s="22">
        <f t="shared" si="66"/>
        <v>6.7336570416735881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1.7053025658242404E-13</v>
      </c>
      <c r="CU117" s="17">
        <f>CT117*VLOOKUP('Données projet'!$B$13,Paramètres!$A$1:$I$89,3,0)*VLOOKUP('Données projet'!$B$13,Paramètres!$A$1:$I$89,5,0)</f>
        <v>1.3301360013429075E-13</v>
      </c>
      <c r="CV117" s="13">
        <f t="shared" si="95"/>
        <v>1.9329766731057041E-12</v>
      </c>
      <c r="CW117" s="20">
        <f t="shared" si="67"/>
        <v>3.5982663925596575E-12</v>
      </c>
      <c r="CX117" s="59">
        <f t="shared" si="68"/>
        <v>293.3333333333369</v>
      </c>
      <c r="CY117" s="59">
        <f ca="1">AVERAGE(OFFSET($CX$3,0,0,'Données projet'!$E$13+1,1))-AVERAGE(OFFSET($H$3,0,0,'Données projet'!$E$13+1,1))</f>
        <v>288.80569134263209</v>
      </c>
      <c r="CZ117" s="59">
        <f t="shared" si="96"/>
        <v>283.48738729114024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33.278398722839697</v>
      </c>
      <c r="DG117" s="21">
        <f>EXP(-LN(2)/25)*DG116+(1-EXP(-LN(2)/25))/(LN(2)/25)*Calculateur!DB117*Calculateur!DD117*VLOOKUP('Données projet'!$B$13,Paramètres!$A$1:$I$89,3,0)*0.475*44/12</f>
        <v>19.588046755775288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52.866445478614985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266.99999999999983</v>
      </c>
      <c r="DP117" s="17">
        <f>DO117*VLOOKUP('Données projet'!$B$14,Paramètres!$A$1:$I$89,3,0)*VLOOKUP('Données projet'!$B$14,Paramètres!$A$1:$I$89,5,0)</f>
        <v>212.42519999999985</v>
      </c>
      <c r="DQ117" s="13">
        <f t="shared" si="97"/>
        <v>52.465198231787184</v>
      </c>
      <c r="DR117" s="20">
        <f t="shared" si="70"/>
        <v>461.35077692036231</v>
      </c>
      <c r="DS117" s="59">
        <f t="shared" si="71"/>
        <v>754.68411025369562</v>
      </c>
      <c r="DT117" s="59">
        <f ca="1">AVERAGE(OFFSET($DS$3,0,0,'Données projet'!$E$14+1,1))-AVERAGE(OFFSET($H$3,0,0,'Données projet'!$E$14+1,1))</f>
        <v>299.10536994156814</v>
      </c>
      <c r="DU117" s="59">
        <f t="shared" si="98"/>
        <v>292.57799203101769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14.683597433929108</v>
      </c>
      <c r="EB117" s="21">
        <f>EXP(-LN(2)/25)*EB116+(1-EXP(-LN(2)/25))/(LN(2)/25)*Calculateur!DW117*Calculateur!DY117*VLOOKUP('Données projet'!$B$14,Paramètres!$A$1:$I$89,3,0)*0.475*44/12</f>
        <v>3.2447998091159924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17.928397243045101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6.8461538461538511</v>
      </c>
      <c r="N118" s="13">
        <f>IF('Données projet'!$A$36&gt;35,N117+M118-V117,IF(A118&lt;'Données projet'!$A$36,$K$205^A118,IF(A118='Données projet'!$A$36,'Données projet'!$B$36,N117+M118-V117)))</f>
        <v>329.95512820512863</v>
      </c>
      <c r="O118" s="13">
        <f>N118*VLOOKUP('Données projet'!$B$9,Paramètres!$A$1:$I$89,3,0)*VLOOKUP('Données projet'!$B$9,Paramètres!$A$1:$I$89,5,0)</f>
        <v>298.54340000000036</v>
      </c>
      <c r="P118" s="13">
        <f t="shared" si="87"/>
        <v>70.871017722198957</v>
      </c>
      <c r="Q118" s="20">
        <f t="shared" si="107"/>
        <v>643.39677753283047</v>
      </c>
      <c r="R118" s="59">
        <f t="shared" si="55"/>
        <v>936.73011086616384</v>
      </c>
      <c r="S118" s="59">
        <f ca="1">AVERAGE(OFFSET($R$3,0,0,'Données projet'!$E$9+1,1))-AVERAGE(OFFSET($H$3,0,0,'Données projet'!$E$9+1,1))</f>
        <v>384.05928630855732</v>
      </c>
      <c r="T118" s="59">
        <f t="shared" si="88"/>
        <v>279.93992813630513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53.427067632902698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53.427067632902698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4.603846153846149</v>
      </c>
      <c r="AI118" s="13">
        <f>IF('Données projet'!$A$62&gt;35,AI117+AH118-AQ117,IF(A118&lt;'Données projet'!$A$62,$AF$205^A118,IF(A118='Données projet'!$A$62,'Données projet'!$B$62,AI117+AH118-AQ117)))</f>
        <v>206.22307692307706</v>
      </c>
      <c r="AJ118" s="13">
        <f>AI118*VLOOKUP('Données projet'!$B$10,Paramètres!$A$1:$I$89,3,0)*VLOOKUP('Données projet'!$B$10,Paramètres!$A$1:$I$89,5,0)</f>
        <v>176.93940000000012</v>
      </c>
      <c r="AK118" s="13">
        <f t="shared" si="89"/>
        <v>44.640580910882917</v>
      </c>
      <c r="AL118" s="20">
        <f t="shared" si="58"/>
        <v>385.91846675312127</v>
      </c>
      <c r="AM118" s="59">
        <f t="shared" si="59"/>
        <v>679.25180008645452</v>
      </c>
      <c r="AN118" s="59">
        <f ca="1">AVERAGE(OFFSET($AM$3,0,0,'Données projet'!$E$10+1,1))-AVERAGE(OFFSET($H$3,0,0,'Données projet'!$E$10+1,1))</f>
        <v>335.02113791949211</v>
      </c>
      <c r="AO118" s="59">
        <f t="shared" si="90"/>
        <v>222.06886429435099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47.085185963147012</v>
      </c>
      <c r="AV118" s="21">
        <f>EXP(-LN(2)/25)*AV117+(1-EXP(-LN(2)/25))/(LN(2)/25)*Calculateur!AQ118*Calculateur!AS118*VLOOKUP('Données projet'!$B$10,Paramètres!$A$1:$I$89,3,0)*0.475*44/12</f>
        <v>38.641167433488874</v>
      </c>
      <c r="AW118" s="21">
        <f>EXP(-LN(2)/2)*AW117+(1-EXP(-LN(2)/2))/(LN(2)/2)*AQ118*AT118*VLOOKUP('Données projet'!$B$10,Paramètres!$A$1:$I$89,3,0)*0.475*44/12</f>
        <v>2.2243028176513944</v>
      </c>
      <c r="AX118" s="21">
        <f t="shared" si="60"/>
        <v>87.950656214287278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5.3066239316239274</v>
      </c>
      <c r="BD118" s="12">
        <f>IF('Données projet'!$A$88&gt;35,BD117+BC118-BL117,IF(A118&lt;'Données projet'!$A$88,$BA$205^A118,IF(A118='Données projet'!$A$88,'Données projet'!$B$88,BD117+BC118-BL117)))</f>
        <v>225.22863247863214</v>
      </c>
      <c r="BE118" s="13">
        <f>BD118*VLOOKUP('Données projet'!$B$11,Paramètres!$A$1:$I$89,3,0)*VLOOKUP('Données projet'!$B$11,Paramètres!$A$1:$I$89,5,0)</f>
        <v>217.84113333333303</v>
      </c>
      <c r="BF118" s="13">
        <f t="shared" si="91"/>
        <v>53.645397753839269</v>
      </c>
      <c r="BG118" s="20">
        <f t="shared" si="61"/>
        <v>472.83904164349178</v>
      </c>
      <c r="BH118" s="59">
        <f t="shared" si="62"/>
        <v>766.17237497682504</v>
      </c>
      <c r="BI118" s="59">
        <f ca="1">AVERAGE(OFFSET($BH$3,0,0,'Données projet'!$E$11+1,1))-AVERAGE(OFFSET($H$3,0,0,'Données projet'!$E$11+1,1))</f>
        <v>366.51581861366333</v>
      </c>
      <c r="BJ118" s="59">
        <f t="shared" si="92"/>
        <v>225.01415116995503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36.681651351967744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36.681651351967744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204.00000000000017</v>
      </c>
      <c r="BZ118" s="13">
        <f>BY118*VLOOKUP('Données projet'!$B$12,Paramètres!$A$1:$I$89,3,0)*VLOOKUP('Données projet'!$B$12,Paramètres!$A$1:$I$89,5,0)</f>
        <v>133.66080000000011</v>
      </c>
      <c r="CA118" s="13">
        <f t="shared" si="93"/>
        <v>34.840890682716783</v>
      </c>
      <c r="CB118" s="20">
        <f t="shared" si="64"/>
        <v>293.4737779390652</v>
      </c>
      <c r="CC118" s="59">
        <f t="shared" si="65"/>
        <v>586.80711127239852</v>
      </c>
      <c r="CD118" s="59">
        <f ca="1">AVERAGE(OFFSET($CC$3,0,0,'Données projet'!$E$12+1,1))-AVERAGE(OFFSET($H$3,0,0,'Données projet'!$E$12+1,1))</f>
        <v>230.58262378842818</v>
      </c>
      <c r="CE118" s="59">
        <f t="shared" si="94"/>
        <v>235.68746142880792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1.1639182851491621</v>
      </c>
      <c r="CL118" s="21">
        <f>EXP(-LN(2)/25)*CL117+(1-EXP(-LN(2)/25))/(LN(2)/25)*Calculateur!CG118*Calculateur!CI118*VLOOKUP('Données projet'!$B$12,Paramètres!$A$1:$I$89,3,0)*0.475*44/12</f>
        <v>5.3940833669922341</v>
      </c>
      <c r="CM118" s="21">
        <f>EXP(-LN(2)/2)*CM117+(1-EXP(-LN(2)/2))/(LN(2)/2)*CG118*CJ118*VLOOKUP('Données projet'!$B$12,Paramètres!$A$1:$I$89,3,0)*0.475*44/12</f>
        <v>5.1394348477053762E-4</v>
      </c>
      <c r="CN118" s="22">
        <f t="shared" si="66"/>
        <v>6.5585155956261669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1.7053025658242404E-13</v>
      </c>
      <c r="CU118" s="17">
        <f>CT118*VLOOKUP('Données projet'!$B$13,Paramètres!$A$1:$I$89,3,0)*VLOOKUP('Données projet'!$B$13,Paramètres!$A$1:$I$89,5,0)</f>
        <v>1.3301360013429075E-13</v>
      </c>
      <c r="CV118" s="13">
        <f t="shared" si="95"/>
        <v>1.9329766731057041E-12</v>
      </c>
      <c r="CW118" s="20">
        <f t="shared" si="67"/>
        <v>3.5982663925596575E-12</v>
      </c>
      <c r="CX118" s="59">
        <f t="shared" si="68"/>
        <v>293.3333333333369</v>
      </c>
      <c r="CY118" s="59">
        <f ca="1">AVERAGE(OFFSET($CX$3,0,0,'Données projet'!$E$13+1,1))-AVERAGE(OFFSET($H$3,0,0,'Données projet'!$E$13+1,1))</f>
        <v>288.80569134263209</v>
      </c>
      <c r="CZ118" s="59">
        <f t="shared" si="96"/>
        <v>283.48738729114024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32.625829621703787</v>
      </c>
      <c r="DG118" s="21">
        <f>EXP(-LN(2)/25)*DG117+(1-EXP(-LN(2)/25))/(LN(2)/25)*Calculateur!DB118*Calculateur!DD118*VLOOKUP('Données projet'!$B$13,Paramètres!$A$1:$I$89,3,0)*0.475*44/12</f>
        <v>19.052410587148003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51.67824020885179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266.99999999999983</v>
      </c>
      <c r="DP118" s="17">
        <f>DO118*VLOOKUP('Données projet'!$B$14,Paramètres!$A$1:$I$89,3,0)*VLOOKUP('Données projet'!$B$14,Paramètres!$A$1:$I$89,5,0)</f>
        <v>212.42519999999985</v>
      </c>
      <c r="DQ118" s="13">
        <f t="shared" si="97"/>
        <v>52.465198231787184</v>
      </c>
      <c r="DR118" s="20">
        <f t="shared" si="70"/>
        <v>461.35077692036231</v>
      </c>
      <c r="DS118" s="59">
        <f t="shared" si="71"/>
        <v>754.68411025369562</v>
      </c>
      <c r="DT118" s="59">
        <f ca="1">AVERAGE(OFFSET($DS$3,0,0,'Données projet'!$E$14+1,1))-AVERAGE(OFFSET($H$3,0,0,'Données projet'!$E$14+1,1))</f>
        <v>299.10536994156814</v>
      </c>
      <c r="DU118" s="59">
        <f t="shared" si="98"/>
        <v>292.57799203101769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14.395661044359851</v>
      </c>
      <c r="EB118" s="21">
        <f>EXP(-LN(2)/25)*EB117+(1-EXP(-LN(2)/25))/(LN(2)/25)*Calculateur!DW118*Calculateur!DY118*VLOOKUP('Données projet'!$B$14,Paramètres!$A$1:$I$89,3,0)*0.475*44/12</f>
        <v>3.1560705876991095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17.55173163205896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6.8461538461538511</v>
      </c>
      <c r="N119" s="13">
        <f>IF('Données projet'!$A$36&gt;35,N118+M119-V118,IF(A119&lt;'Données projet'!$A$36,$K$205^A119,IF(A119='Données projet'!$A$36,'Données projet'!$B$36,N118+M119-V118)))</f>
        <v>336.8012820512825</v>
      </c>
      <c r="O119" s="13">
        <f>N119*VLOOKUP('Données projet'!$B$9,Paramètres!$A$1:$I$89,3,0)*VLOOKUP('Données projet'!$B$9,Paramètres!$A$1:$I$89,5,0)</f>
        <v>304.73780000000039</v>
      </c>
      <c r="P119" s="13">
        <f t="shared" si="87"/>
        <v>72.168780751383139</v>
      </c>
      <c r="Q119" s="20">
        <f t="shared" si="107"/>
        <v>656.4456281419931</v>
      </c>
      <c r="R119" s="59">
        <f t="shared" si="55"/>
        <v>949.77896147532647</v>
      </c>
      <c r="S119" s="59">
        <f ca="1">AVERAGE(OFFSET($R$3,0,0,'Données projet'!$E$9+1,1))-AVERAGE(OFFSET($H$3,0,0,'Données projet'!$E$9+1,1))</f>
        <v>384.05928630855732</v>
      </c>
      <c r="T119" s="59">
        <f t="shared" si="88"/>
        <v>279.93992813630513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52.379395423915007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52.379395423915007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>
        <f>VLOOKUP(A119,'Données projet'!$A$61:$I$81,2,0)</f>
        <v>210.82692307692307</v>
      </c>
      <c r="AG119" s="12">
        <f>VLOOKUP(A119,'Données projet'!$A$61:$I$81,9,0)</f>
        <v>4.603846153846149</v>
      </c>
      <c r="AH119" s="12">
        <f t="array" ref="AH119">INDEX(AG:AG,MIN(IF(ISNUMBER(AG119:AG315),ROW(AG119:AG315),"")))</f>
        <v>4.603846153846149</v>
      </c>
      <c r="AI119" s="13">
        <f>IF('Données projet'!$A$62&gt;35,AI118+AH119-AQ118,IF(A119&lt;'Données projet'!$A$62,$AF$205^A119,IF(A119='Données projet'!$A$62,'Données projet'!$B$62,AI118+AH119-AQ118)))</f>
        <v>210.82692307692321</v>
      </c>
      <c r="AJ119" s="13">
        <f>AI119*VLOOKUP('Données projet'!$B$10,Paramètres!$A$1:$I$89,3,0)*VLOOKUP('Données projet'!$B$10,Paramètres!$A$1:$I$89,5,0)</f>
        <v>180.88950000000011</v>
      </c>
      <c r="AK119" s="13">
        <f t="shared" si="89"/>
        <v>45.520026716622027</v>
      </c>
      <c r="AL119" s="20">
        <f t="shared" si="58"/>
        <v>394.32992569811682</v>
      </c>
      <c r="AM119" s="59">
        <f t="shared" si="59"/>
        <v>687.66325903145014</v>
      </c>
      <c r="AN119" s="59">
        <f ca="1">AVERAGE(OFFSET($AM$3,0,0,'Données projet'!$E$10+1,1))-AVERAGE(OFFSET($H$3,0,0,'Données projet'!$E$10+1,1))</f>
        <v>335.02113791949211</v>
      </c>
      <c r="AO119" s="59">
        <f t="shared" si="90"/>
        <v>222.06886429435099</v>
      </c>
      <c r="AP119" s="15">
        <f>IF(ISNA(VLOOKUP(A119,'Données projet'!$A$61:$I$81,3,0)),0,VLOOKUP(A119,'Données projet'!$A$61:$I$81,3,0))</f>
        <v>10</v>
      </c>
      <c r="AQ119" s="15">
        <f>IF(ISNA(VLOOKUP(A119,'Données projet'!$A$61:$I$81,4,0)),0,VLOOKUP(A119,'Données projet'!$A$61:$I$81,4,0))</f>
        <v>72.698717948717942</v>
      </c>
      <c r="AR119" s="16">
        <f>IF(ISNA(VLOOKUP(A119,'Données projet'!$A$61:$I$81,5,0)),0%,VLOOKUP(A119,'Données projet'!$A$61:$I$81,5,0)*VLOOKUP('Données projet'!$B$10,Paramètres!$A$1:$I$89,7,0))</f>
        <v>0.26500000000000001</v>
      </c>
      <c r="AS119" s="16">
        <f>IF(ISNA(VLOOKUP(A119,'Données projet'!$A$61:$I$81,6,0)),0%,VLOOKUP(A119,'Données projet'!$A$61:$I$81,6,0)*VLOOKUP('Données projet'!$B$10,Paramètres!$A$1:$I$89,7,0))</f>
        <v>0.1855</v>
      </c>
      <c r="AT119" s="16">
        <f>IF(ISNA(VLOOKUP(A119,'Données projet'!$A$61:$I$81,7,0)),0%,VLOOKUP(A119,'Données projet'!$A$61:$I$81,7,0))</f>
        <v>0.1</v>
      </c>
      <c r="AU119" s="21">
        <f>EXP(-LN(2)/35)*AU118+(1-EXP(-LN(2)/35))/(LN(2)/35)*AQ119*AR119*VLOOKUP('Données projet'!$B$10,Paramètres!$A$1:$I$89,3,0)*0.475*44/12</f>
        <v>64.434755115055097</v>
      </c>
      <c r="AV119" s="21">
        <f>EXP(-LN(2)/25)*AV118+(1-EXP(-LN(2)/25))/(LN(2)/25)*Calculateur!AQ119*Calculateur!AS119*VLOOKUP('Données projet'!$B$10,Paramètres!$A$1:$I$89,3,0)*0.475*44/12</f>
        <v>50.32517622231876</v>
      </c>
      <c r="AW119" s="21">
        <f>EXP(-LN(2)/2)*AW118+(1-EXP(-LN(2)/2))/(LN(2)/2)*AQ119*AT119*VLOOKUP('Données projet'!$B$10,Paramètres!$A$1:$I$89,3,0)*0.475*44/12</f>
        <v>7.4581159119704852</v>
      </c>
      <c r="AX119" s="21">
        <f t="shared" si="60"/>
        <v>122.21804724934434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5.3066239316239274</v>
      </c>
      <c r="BD119" s="12">
        <f>IF('Données projet'!$A$88&gt;35,BD118+BC119-BL118,IF(A119&lt;'Données projet'!$A$88,$BA$205^A119,IF(A119='Données projet'!$A$88,'Données projet'!$B$88,BD118+BC119-BL118)))</f>
        <v>230.53525641025607</v>
      </c>
      <c r="BE119" s="13">
        <f>BD119*VLOOKUP('Données projet'!$B$11,Paramètres!$A$1:$I$89,3,0)*VLOOKUP('Données projet'!$B$11,Paramètres!$A$1:$I$89,5,0)</f>
        <v>222.97369999999967</v>
      </c>
      <c r="BF119" s="13">
        <f t="shared" si="91"/>
        <v>54.76069881702513</v>
      </c>
      <c r="BG119" s="20">
        <f t="shared" si="61"/>
        <v>483.72074460631808</v>
      </c>
      <c r="BH119" s="59">
        <f t="shared" si="62"/>
        <v>777.05407793965139</v>
      </c>
      <c r="BI119" s="59">
        <f ca="1">AVERAGE(OFFSET($BH$3,0,0,'Données projet'!$E$11+1,1))-AVERAGE(OFFSET($H$3,0,0,'Données projet'!$E$11+1,1))</f>
        <v>366.51581861366333</v>
      </c>
      <c r="BJ119" s="59">
        <f t="shared" si="92"/>
        <v>225.01415116995503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35.962346542553774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35.962346542553774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204.00000000000017</v>
      </c>
      <c r="BZ119" s="13">
        <f>BY119*VLOOKUP('Données projet'!$B$12,Paramètres!$A$1:$I$89,3,0)*VLOOKUP('Données projet'!$B$12,Paramètres!$A$1:$I$89,5,0)</f>
        <v>133.66080000000011</v>
      </c>
      <c r="CA119" s="13">
        <f t="shared" si="93"/>
        <v>34.840890682716783</v>
      </c>
      <c r="CB119" s="20">
        <f t="shared" si="64"/>
        <v>293.4737779390652</v>
      </c>
      <c r="CC119" s="59">
        <f t="shared" si="65"/>
        <v>586.80711127239852</v>
      </c>
      <c r="CD119" s="59">
        <f ca="1">AVERAGE(OFFSET($CC$3,0,0,'Données projet'!$E$12+1,1))-AVERAGE(OFFSET($H$3,0,0,'Données projet'!$E$12+1,1))</f>
        <v>230.58262378842818</v>
      </c>
      <c r="CE119" s="59">
        <f t="shared" si="94"/>
        <v>235.68746142880792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1.1410945574974423</v>
      </c>
      <c r="CL119" s="21">
        <f>EXP(-LN(2)/25)*CL118+(1-EXP(-LN(2)/25))/(LN(2)/25)*Calculateur!CG119*Calculateur!CI119*VLOOKUP('Données projet'!$B$12,Paramètres!$A$1:$I$89,3,0)*0.475*44/12</f>
        <v>5.2465818736593155</v>
      </c>
      <c r="CM119" s="21">
        <f>EXP(-LN(2)/2)*CM118+(1-EXP(-LN(2)/2))/(LN(2)/2)*CG119*CJ119*VLOOKUP('Données projet'!$B$12,Paramètres!$A$1:$I$89,3,0)*0.475*44/12</f>
        <v>3.6341292322789227E-4</v>
      </c>
      <c r="CN119" s="22">
        <f t="shared" si="66"/>
        <v>6.3880398440799855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1.7053025658242404E-13</v>
      </c>
      <c r="CU119" s="17">
        <f>CT119*VLOOKUP('Données projet'!$B$13,Paramètres!$A$1:$I$89,3,0)*VLOOKUP('Données projet'!$B$13,Paramètres!$A$1:$I$89,5,0)</f>
        <v>1.3301360013429075E-13</v>
      </c>
      <c r="CV119" s="13">
        <f t="shared" si="95"/>
        <v>1.9329766731057041E-12</v>
      </c>
      <c r="CW119" s="20">
        <f t="shared" si="67"/>
        <v>3.5982663925596575E-12</v>
      </c>
      <c r="CX119" s="59">
        <f t="shared" si="68"/>
        <v>293.3333333333369</v>
      </c>
      <c r="CY119" s="59">
        <f ca="1">AVERAGE(OFFSET($CX$3,0,0,'Données projet'!$E$13+1,1))-AVERAGE(OFFSET($H$3,0,0,'Données projet'!$E$13+1,1))</f>
        <v>288.80569134263209</v>
      </c>
      <c r="CZ119" s="59">
        <f t="shared" si="96"/>
        <v>283.48738729114024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31.986057002613304</v>
      </c>
      <c r="DG119" s="21">
        <f>EXP(-LN(2)/25)*DG118+(1-EXP(-LN(2)/25))/(LN(2)/25)*Calculateur!DB119*Calculateur!DD119*VLOOKUP('Données projet'!$B$13,Paramètres!$A$1:$I$89,3,0)*0.475*44/12</f>
        <v>18.531421417719713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50.51747842033302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266.99999999999983</v>
      </c>
      <c r="DP119" s="17">
        <f>DO119*VLOOKUP('Données projet'!$B$14,Paramètres!$A$1:$I$89,3,0)*VLOOKUP('Données projet'!$B$14,Paramètres!$A$1:$I$89,5,0)</f>
        <v>212.42519999999985</v>
      </c>
      <c r="DQ119" s="13">
        <f t="shared" si="97"/>
        <v>52.465198231787184</v>
      </c>
      <c r="DR119" s="20">
        <f t="shared" si="70"/>
        <v>461.35077692036231</v>
      </c>
      <c r="DS119" s="59">
        <f t="shared" si="71"/>
        <v>754.68411025369562</v>
      </c>
      <c r="DT119" s="59">
        <f ca="1">AVERAGE(OFFSET($DS$3,0,0,'Données projet'!$E$14+1,1))-AVERAGE(OFFSET($H$3,0,0,'Données projet'!$E$14+1,1))</f>
        <v>299.10536994156814</v>
      </c>
      <c r="DU119" s="59">
        <f t="shared" si="98"/>
        <v>292.57799203101769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14.113370911766191</v>
      </c>
      <c r="EB119" s="21">
        <f>EXP(-LN(2)/25)*EB118+(1-EXP(-LN(2)/25))/(LN(2)/25)*Calculateur!DW119*Calculateur!DY119*VLOOKUP('Données projet'!$B$14,Paramètres!$A$1:$I$89,3,0)*0.475*44/12</f>
        <v>3.0697676715079383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17.183138583274129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6.8461538461538511</v>
      </c>
      <c r="N120" s="13">
        <f>IF('Données projet'!$A$36&gt;35,N119+M120-V119,IF(A120&lt;'Données projet'!$A$36,$K$205^A120,IF(A120='Données projet'!$A$36,'Données projet'!$B$36,N119+M120-V119)))</f>
        <v>343.64743589743637</v>
      </c>
      <c r="O120" s="13">
        <f>N120*VLOOKUP('Données projet'!$B$9,Paramètres!$A$1:$I$89,3,0)*VLOOKUP('Données projet'!$B$9,Paramètres!$A$1:$I$89,5,0)</f>
        <v>310.93220000000042</v>
      </c>
      <c r="P120" s="13">
        <f t="shared" si="87"/>
        <v>73.463476600811546</v>
      </c>
      <c r="Q120" s="20">
        <f t="shared" si="107"/>
        <v>669.48913674641415</v>
      </c>
      <c r="R120" s="59">
        <f t="shared" si="55"/>
        <v>962.82247007974752</v>
      </c>
      <c r="S120" s="59">
        <f ca="1">AVERAGE(OFFSET($R$3,0,0,'Données projet'!$E$9+1,1))-AVERAGE(OFFSET($H$3,0,0,'Données projet'!$E$9+1,1))</f>
        <v>384.05928630855732</v>
      </c>
      <c r="T120" s="59">
        <f t="shared" si="88"/>
        <v>279.93992813630513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51.352267427928609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51.352267427928609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3.6615384615384583</v>
      </c>
      <c r="AI120" s="13">
        <f>IF('Données projet'!$A$62&gt;35,AI119+AH120-AQ119,IF(A120&lt;'Données projet'!$A$62,$AF$205^A120,IF(A120='Données projet'!$A$62,'Données projet'!$B$62,AI119+AH120-AQ119)))</f>
        <v>141.78974358974375</v>
      </c>
      <c r="AJ120" s="13">
        <f>AI120*VLOOKUP('Données projet'!$B$10,Paramètres!$A$1:$I$89,3,0)*VLOOKUP('Données projet'!$B$10,Paramètres!$A$1:$I$89,5,0)</f>
        <v>121.65560000000015</v>
      </c>
      <c r="AK120" s="13">
        <f t="shared" si="89"/>
        <v>32.060832327959943</v>
      </c>
      <c r="AL120" s="20">
        <f t="shared" si="58"/>
        <v>267.72278630453047</v>
      </c>
      <c r="AM120" s="59">
        <f t="shared" si="59"/>
        <v>561.05611963786373</v>
      </c>
      <c r="AN120" s="59">
        <f ca="1">AVERAGE(OFFSET($AM$3,0,0,'Données projet'!$E$10+1,1))-AVERAGE(OFFSET($H$3,0,0,'Données projet'!$E$10+1,1))</f>
        <v>335.02113791949211</v>
      </c>
      <c r="AO120" s="59">
        <f t="shared" si="90"/>
        <v>222.06886429435099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63.171228868568804</v>
      </c>
      <c r="AV120" s="21">
        <f>EXP(-LN(2)/25)*AV119+(1-EXP(-LN(2)/25))/(LN(2)/25)*Calculateur!AQ120*Calculateur!AS120*VLOOKUP('Données projet'!$B$10,Paramètres!$A$1:$I$89,3,0)*0.475*44/12</f>
        <v>48.949031632033453</v>
      </c>
      <c r="AW120" s="21">
        <f>EXP(-LN(2)/2)*AW119+(1-EXP(-LN(2)/2))/(LN(2)/2)*AQ120*AT120*VLOOKUP('Données projet'!$B$10,Paramètres!$A$1:$I$89,3,0)*0.475*44/12</f>
        <v>5.2736843362296222</v>
      </c>
      <c r="AX120" s="21">
        <f t="shared" si="60"/>
        <v>117.39394483683188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5.3066239316239274</v>
      </c>
      <c r="BD120" s="12">
        <f>IF('Données projet'!$A$88&gt;35,BD119+BC120-BL119,IF(A120&lt;'Données projet'!$A$88,$BA$205^A120,IF(A120='Données projet'!$A$88,'Données projet'!$B$88,BD119+BC120-BL119)))</f>
        <v>235.84188034188</v>
      </c>
      <c r="BE120" s="13">
        <f>BD120*VLOOKUP('Données projet'!$B$11,Paramètres!$A$1:$I$89,3,0)*VLOOKUP('Données projet'!$B$11,Paramètres!$A$1:$I$89,5,0)</f>
        <v>228.10626666666633</v>
      </c>
      <c r="BF120" s="13">
        <f t="shared" si="91"/>
        <v>55.873015288675091</v>
      </c>
      <c r="BG120" s="20">
        <f t="shared" si="61"/>
        <v>494.59724940555299</v>
      </c>
      <c r="BH120" s="59">
        <f t="shared" si="62"/>
        <v>787.9305827388863</v>
      </c>
      <c r="BI120" s="59">
        <f ca="1">AVERAGE(OFFSET($BH$3,0,0,'Données projet'!$E$11+1,1))-AVERAGE(OFFSET($H$3,0,0,'Données projet'!$E$11+1,1))</f>
        <v>366.51581861366333</v>
      </c>
      <c r="BJ120" s="59">
        <f t="shared" si="92"/>
        <v>225.01415116995503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35.257146861719797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35.257146861719797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204.00000000000017</v>
      </c>
      <c r="BZ120" s="13">
        <f>BY120*VLOOKUP('Données projet'!$B$12,Paramètres!$A$1:$I$89,3,0)*VLOOKUP('Données projet'!$B$12,Paramètres!$A$1:$I$89,5,0)</f>
        <v>133.66080000000011</v>
      </c>
      <c r="CA120" s="13">
        <f t="shared" si="93"/>
        <v>34.840890682716783</v>
      </c>
      <c r="CB120" s="20">
        <f t="shared" si="64"/>
        <v>293.4737779390652</v>
      </c>
      <c r="CC120" s="59">
        <f t="shared" si="65"/>
        <v>586.80711127239852</v>
      </c>
      <c r="CD120" s="59">
        <f ca="1">AVERAGE(OFFSET($CC$3,0,0,'Données projet'!$E$12+1,1))-AVERAGE(OFFSET($H$3,0,0,'Données projet'!$E$12+1,1))</f>
        <v>230.58262378842818</v>
      </c>
      <c r="CE120" s="59">
        <f t="shared" si="94"/>
        <v>235.68746142880792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1.1187183892238732</v>
      </c>
      <c r="CL120" s="21">
        <f>EXP(-LN(2)/25)*CL119+(1-EXP(-LN(2)/25))/(LN(2)/25)*Calculateur!CG120*Calculateur!CI120*VLOOKUP('Données projet'!$B$12,Paramètres!$A$1:$I$89,3,0)*0.475*44/12</f>
        <v>5.103113816418352</v>
      </c>
      <c r="CM120" s="21">
        <f>EXP(-LN(2)/2)*CM119+(1-EXP(-LN(2)/2))/(LN(2)/2)*CG120*CJ120*VLOOKUP('Données projet'!$B$12,Paramètres!$A$1:$I$89,3,0)*0.475*44/12</f>
        <v>2.5697174238526881E-4</v>
      </c>
      <c r="CN120" s="22">
        <f t="shared" si="66"/>
        <v>6.2220891773846105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1.7053025658242404E-13</v>
      </c>
      <c r="CU120" s="17">
        <f>CT120*VLOOKUP('Données projet'!$B$13,Paramètres!$A$1:$I$89,3,0)*VLOOKUP('Données projet'!$B$13,Paramètres!$A$1:$I$89,5,0)</f>
        <v>1.3301360013429075E-13</v>
      </c>
      <c r="CV120" s="13">
        <f t="shared" si="95"/>
        <v>1.9329766731057041E-12</v>
      </c>
      <c r="CW120" s="20">
        <f t="shared" si="67"/>
        <v>3.5982663925596575E-12</v>
      </c>
      <c r="CX120" s="59">
        <f t="shared" si="68"/>
        <v>293.3333333333369</v>
      </c>
      <c r="CY120" s="59">
        <f ca="1">AVERAGE(OFFSET($CX$3,0,0,'Données projet'!$E$13+1,1))-AVERAGE(OFFSET($H$3,0,0,'Données projet'!$E$13+1,1))</f>
        <v>288.80569134263209</v>
      </c>
      <c r="CZ120" s="59">
        <f t="shared" si="96"/>
        <v>283.48738729114024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31.358829934360418</v>
      </c>
      <c r="DG120" s="21">
        <f>EXP(-LN(2)/25)*DG119+(1-EXP(-LN(2)/25))/(LN(2)/25)*Calculateur!DB120*Calculateur!DD120*VLOOKUP('Données projet'!$B$13,Paramètres!$A$1:$I$89,3,0)*0.475*44/12</f>
        <v>18.024678724527067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49.383508658887486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266.99999999999983</v>
      </c>
      <c r="DP120" s="17">
        <f>DO120*VLOOKUP('Données projet'!$B$14,Paramètres!$A$1:$I$89,3,0)*VLOOKUP('Données projet'!$B$14,Paramètres!$A$1:$I$89,5,0)</f>
        <v>212.42519999999985</v>
      </c>
      <c r="DQ120" s="13">
        <f t="shared" si="97"/>
        <v>52.465198231787184</v>
      </c>
      <c r="DR120" s="20">
        <f t="shared" si="70"/>
        <v>461.35077692036231</v>
      </c>
      <c r="DS120" s="59">
        <f t="shared" si="71"/>
        <v>754.68411025369562</v>
      </c>
      <c r="DT120" s="59">
        <f ca="1">AVERAGE(OFFSET($DS$3,0,0,'Données projet'!$E$14+1,1))-AVERAGE(OFFSET($H$3,0,0,'Données projet'!$E$14+1,1))</f>
        <v>299.10536994156814</v>
      </c>
      <c r="DU120" s="59">
        <f t="shared" si="98"/>
        <v>292.57799203101769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13.836616316492712</v>
      </c>
      <c r="EB120" s="21">
        <f>EXP(-LN(2)/25)*EB119+(1-EXP(-LN(2)/25))/(LN(2)/25)*Calculateur!DW120*Calculateur!DY120*VLOOKUP('Données projet'!$B$14,Paramètres!$A$1:$I$89,3,0)*0.475*44/12</f>
        <v>2.9858247130984878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16.8224410295912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6.8461538461538511</v>
      </c>
      <c r="N121" s="13">
        <f>IF('Données projet'!$A$36&gt;35,N120+M121-V120,IF(A121&lt;'Données projet'!$A$36,$K$205^A121,IF(A121='Données projet'!$A$36,'Données projet'!$B$36,N120+M121-V120)))</f>
        <v>350.49358974359023</v>
      </c>
      <c r="O121" s="13">
        <f>N121*VLOOKUP('Données projet'!$B$9,Paramètres!$A$1:$I$89,3,0)*VLOOKUP('Données projet'!$B$9,Paramètres!$A$1:$I$89,5,0)</f>
        <v>317.12660000000039</v>
      </c>
      <c r="P121" s="13">
        <f t="shared" si="87"/>
        <v>74.755173417545677</v>
      </c>
      <c r="Q121" s="20">
        <f t="shared" si="107"/>
        <v>682.52742203555931</v>
      </c>
      <c r="R121" s="59">
        <f t="shared" si="55"/>
        <v>975.86075536889257</v>
      </c>
      <c r="S121" s="59">
        <f ca="1">AVERAGE(OFFSET($R$3,0,0,'Données projet'!$E$9+1,1))-AVERAGE(OFFSET($H$3,0,0,'Données projet'!$E$9+1,1))</f>
        <v>384.05928630855732</v>
      </c>
      <c r="T121" s="59">
        <f t="shared" si="88"/>
        <v>279.93992813630513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50.345280785457291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50.345280785457291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3.6615384615384583</v>
      </c>
      <c r="AI121" s="13">
        <f>IF('Données projet'!$A$62&gt;35,AI120+AH121-AQ120,IF(A121&lt;'Données projet'!$A$62,$AF$205^A121,IF(A121='Données projet'!$A$62,'Données projet'!$B$62,AI120+AH121-AQ120)))</f>
        <v>145.45128205128222</v>
      </c>
      <c r="AJ121" s="13">
        <f>AI121*VLOOKUP('Données projet'!$B$10,Paramètres!$A$1:$I$89,3,0)*VLOOKUP('Données projet'!$B$10,Paramètres!$A$1:$I$89,5,0)</f>
        <v>124.79720000000016</v>
      </c>
      <c r="AK121" s="13">
        <f t="shared" si="89"/>
        <v>32.791302137298189</v>
      </c>
      <c r="AL121" s="20">
        <f t="shared" si="58"/>
        <v>274.46664122246131</v>
      </c>
      <c r="AM121" s="59">
        <f t="shared" si="59"/>
        <v>567.79997455579462</v>
      </c>
      <c r="AN121" s="59">
        <f ca="1">AVERAGE(OFFSET($AM$3,0,0,'Données projet'!$E$10+1,1))-AVERAGE(OFFSET($H$3,0,0,'Données projet'!$E$10+1,1))</f>
        <v>335.02113791949211</v>
      </c>
      <c r="AO121" s="59">
        <f t="shared" si="90"/>
        <v>222.06886429435099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61.932479601101193</v>
      </c>
      <c r="AV121" s="21">
        <f>EXP(-LN(2)/25)*AV120+(1-EXP(-LN(2)/25))/(LN(2)/25)*Calculateur!AQ121*Calculateur!AS121*VLOOKUP('Données projet'!$B$10,Paramètres!$A$1:$I$89,3,0)*0.475*44/12</f>
        <v>47.610517787937802</v>
      </c>
      <c r="AW121" s="21">
        <f>EXP(-LN(2)/2)*AW120+(1-EXP(-LN(2)/2))/(LN(2)/2)*AQ121*AT121*VLOOKUP('Données projet'!$B$10,Paramètres!$A$1:$I$89,3,0)*0.475*44/12</f>
        <v>3.729057955985243</v>
      </c>
      <c r="AX121" s="21">
        <f t="shared" si="60"/>
        <v>113.27205534502423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5.3066239316239274</v>
      </c>
      <c r="BD121" s="12">
        <f>IF('Données projet'!$A$88&gt;35,BD120+BC121-BL120,IF(A121&lt;'Données projet'!$A$88,$BA$205^A121,IF(A121='Données projet'!$A$88,'Données projet'!$B$88,BD120+BC121-BL120)))</f>
        <v>241.14850427350393</v>
      </c>
      <c r="BE121" s="13">
        <f>BD121*VLOOKUP('Données projet'!$B$11,Paramètres!$A$1:$I$89,3,0)*VLOOKUP('Données projet'!$B$11,Paramètres!$A$1:$I$89,5,0)</f>
        <v>233.23883333333302</v>
      </c>
      <c r="BF121" s="13">
        <f t="shared" si="91"/>
        <v>56.982422055984379</v>
      </c>
      <c r="BG121" s="20">
        <f t="shared" si="61"/>
        <v>505.4686864697278</v>
      </c>
      <c r="BH121" s="59">
        <f t="shared" si="62"/>
        <v>798.80201980306106</v>
      </c>
      <c r="BI121" s="59">
        <f ca="1">AVERAGE(OFFSET($BH$3,0,0,'Données projet'!$E$11+1,1))-AVERAGE(OFFSET($H$3,0,0,'Données projet'!$E$11+1,1))</f>
        <v>366.51581861366333</v>
      </c>
      <c r="BJ121" s="59">
        <f t="shared" si="92"/>
        <v>225.01415116995503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34.56577571649764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34.56577571649764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204.00000000000017</v>
      </c>
      <c r="BZ121" s="13">
        <f>BY121*VLOOKUP('Données projet'!$B$12,Paramètres!$A$1:$I$89,3,0)*VLOOKUP('Données projet'!$B$12,Paramètres!$A$1:$I$89,5,0)</f>
        <v>133.66080000000011</v>
      </c>
      <c r="CA121" s="13">
        <f t="shared" si="93"/>
        <v>34.840890682716783</v>
      </c>
      <c r="CB121" s="20">
        <f t="shared" si="64"/>
        <v>293.4737779390652</v>
      </c>
      <c r="CC121" s="59">
        <f t="shared" si="65"/>
        <v>586.80711127239852</v>
      </c>
      <c r="CD121" s="59">
        <f ca="1">AVERAGE(OFFSET($CC$3,0,0,'Données projet'!$E$12+1,1))-AVERAGE(OFFSET($H$3,0,0,'Données projet'!$E$12+1,1))</f>
        <v>230.58262378842818</v>
      </c>
      <c r="CE121" s="59">
        <f t="shared" si="94"/>
        <v>235.68746142880792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1.096781003962034</v>
      </c>
      <c r="CL121" s="21">
        <f>EXP(-LN(2)/25)*CL120+(1-EXP(-LN(2)/25))/(LN(2)/25)*Calculateur!CG121*Calculateur!CI121*VLOOKUP('Données projet'!$B$12,Paramètres!$A$1:$I$89,3,0)*0.475*44/12</f>
        <v>4.9635689007473003</v>
      </c>
      <c r="CM121" s="21">
        <f>EXP(-LN(2)/2)*CM120+(1-EXP(-LN(2)/2))/(LN(2)/2)*CG121*CJ121*VLOOKUP('Données projet'!$B$12,Paramètres!$A$1:$I$89,3,0)*0.475*44/12</f>
        <v>1.8170646161394614E-4</v>
      </c>
      <c r="CN121" s="22">
        <f t="shared" si="66"/>
        <v>6.0605316111709486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1.7053025658242404E-13</v>
      </c>
      <c r="CU121" s="17">
        <f>CT121*VLOOKUP('Données projet'!$B$13,Paramètres!$A$1:$I$89,3,0)*VLOOKUP('Données projet'!$B$13,Paramètres!$A$1:$I$89,5,0)</f>
        <v>1.3301360013429075E-13</v>
      </c>
      <c r="CV121" s="13">
        <f t="shared" si="95"/>
        <v>1.9329766731057041E-12</v>
      </c>
      <c r="CW121" s="20">
        <f t="shared" si="67"/>
        <v>3.5982663925596575E-12</v>
      </c>
      <c r="CX121" s="59">
        <f t="shared" si="68"/>
        <v>293.3333333333369</v>
      </c>
      <c r="CY121" s="59">
        <f ca="1">AVERAGE(OFFSET($CX$3,0,0,'Données projet'!$E$13+1,1))-AVERAGE(OFFSET($H$3,0,0,'Données projet'!$E$13+1,1))</f>
        <v>288.80569134263209</v>
      </c>
      <c r="CZ121" s="59">
        <f t="shared" si="96"/>
        <v>283.48738729114024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30.743902406345235</v>
      </c>
      <c r="DG121" s="21">
        <f>EXP(-LN(2)/25)*DG120+(1-EXP(-LN(2)/25))/(LN(2)/25)*Calculateur!DB121*Calculateur!DD121*VLOOKUP('Données projet'!$B$13,Paramètres!$A$1:$I$89,3,0)*0.475*44/12</f>
        <v>17.531792936928216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48.275695343273455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266.99999999999983</v>
      </c>
      <c r="DP121" s="17">
        <f>DO121*VLOOKUP('Données projet'!$B$14,Paramètres!$A$1:$I$89,3,0)*VLOOKUP('Données projet'!$B$14,Paramètres!$A$1:$I$89,5,0)</f>
        <v>212.42519999999985</v>
      </c>
      <c r="DQ121" s="13">
        <f t="shared" si="97"/>
        <v>52.465198231787184</v>
      </c>
      <c r="DR121" s="20">
        <f t="shared" si="70"/>
        <v>461.35077692036231</v>
      </c>
      <c r="DS121" s="59">
        <f t="shared" si="71"/>
        <v>754.68411025369562</v>
      </c>
      <c r="DT121" s="59">
        <f ca="1">AVERAGE(OFFSET($DS$3,0,0,'Données projet'!$E$14+1,1))-AVERAGE(OFFSET($H$3,0,0,'Données projet'!$E$14+1,1))</f>
        <v>299.10536994156814</v>
      </c>
      <c r="DU121" s="59">
        <f t="shared" si="98"/>
        <v>292.57799203101769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13.565288710028911</v>
      </c>
      <c r="EB121" s="21">
        <f>EXP(-LN(2)/25)*EB120+(1-EXP(-LN(2)/25))/(LN(2)/25)*Calculateur!DW121*Calculateur!DY121*VLOOKUP('Données projet'!$B$14,Paramètres!$A$1:$I$89,3,0)*0.475*44/12</f>
        <v>2.9041771793011124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16.469465889330024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357.33974358974359</v>
      </c>
      <c r="L122" s="12">
        <f>VLOOKUP(A122,'Données projet'!$A$35:$I$55,9,0)</f>
        <v>6.8461538461538511</v>
      </c>
      <c r="M122" s="12">
        <f t="array" ref="M122">INDEX(L:L,MIN(IF(ISNUMBER(L122:L318),ROW(L122:L318),"")))</f>
        <v>6.8461538461538511</v>
      </c>
      <c r="N122" s="13">
        <f>IF('Données projet'!$A$36&gt;35,N121+M122-V121,IF(A122&lt;'Données projet'!$A$36,$K$205^A122,IF(A122='Données projet'!$A$36,'Données projet'!$B$36,N121+M122-V121)))</f>
        <v>357.3397435897441</v>
      </c>
      <c r="O122" s="13">
        <f>N122*VLOOKUP('Données projet'!$B$9,Paramètres!$A$1:$I$89,3,0)*VLOOKUP('Données projet'!$B$9,Paramètres!$A$1:$I$89,5,0)</f>
        <v>323.32100000000048</v>
      </c>
      <c r="P122" s="13">
        <f t="shared" si="87"/>
        <v>76.043936534151186</v>
      </c>
      <c r="Q122" s="20">
        <f t="shared" si="107"/>
        <v>695.56059779698069</v>
      </c>
      <c r="R122" s="59">
        <f t="shared" si="55"/>
        <v>988.89393113031406</v>
      </c>
      <c r="S122" s="59">
        <f ca="1">AVERAGE(OFFSET($R$3,0,0,'Données projet'!$E$9+1,1))-AVERAGE(OFFSET($H$3,0,0,'Données projet'!$E$9+1,1))</f>
        <v>384.05928630855732</v>
      </c>
      <c r="T122" s="59">
        <f t="shared" si="88"/>
        <v>279.93992813630513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150.02564102564102</v>
      </c>
      <c r="W122" s="16">
        <f>IF(ISNA(VLOOKUP(A122,'Données projet'!$A$35:$I$55,5,0)),0%,VLOOKUP(A122,'Données projet'!$A$35:$I$55,5,0)*VLOOKUP('Données projet'!$B$9,Paramètres!$A$1:$I$89,7,0))</f>
        <v>0.38700000000000001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107.43129413735127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107.43129413735127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3.6615384615384583</v>
      </c>
      <c r="AI122" s="13">
        <f>IF('Données projet'!$A$62&gt;35,AI121+AH122-AQ121,IF(A122&lt;'Données projet'!$A$62,$AF$205^A122,IF(A122='Données projet'!$A$62,'Données projet'!$B$62,AI121+AH122-AQ121)))</f>
        <v>149.11282051282069</v>
      </c>
      <c r="AJ122" s="13">
        <f>AI122*VLOOKUP('Données projet'!$B$10,Paramètres!$A$1:$I$89,3,0)*VLOOKUP('Données projet'!$B$10,Paramètres!$A$1:$I$89,5,0)</f>
        <v>127.93880000000017</v>
      </c>
      <c r="AK122" s="13">
        <f t="shared" si="89"/>
        <v>33.519634409619357</v>
      </c>
      <c r="AL122" s="20">
        <f t="shared" si="58"/>
        <v>281.20677326342064</v>
      </c>
      <c r="AM122" s="59">
        <f t="shared" si="59"/>
        <v>574.54010659675396</v>
      </c>
      <c r="AN122" s="59">
        <f ca="1">AVERAGE(OFFSET($AM$3,0,0,'Données projet'!$E$10+1,1))-AVERAGE(OFFSET($H$3,0,0,'Données projet'!$E$10+1,1))</f>
        <v>335.02113791949211</v>
      </c>
      <c r="AO122" s="59">
        <f t="shared" si="90"/>
        <v>222.06886429435099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60.718021451206177</v>
      </c>
      <c r="AV122" s="21">
        <f>EXP(-LN(2)/25)*AV121+(1-EXP(-LN(2)/25))/(LN(2)/25)*Calculateur!AQ122*Calculateur!AS122*VLOOKUP('Données projet'!$B$10,Paramètres!$A$1:$I$89,3,0)*0.475*44/12</f>
        <v>46.308605675298331</v>
      </c>
      <c r="AW122" s="21">
        <f>EXP(-LN(2)/2)*AW121+(1-EXP(-LN(2)/2))/(LN(2)/2)*AQ122*AT122*VLOOKUP('Données projet'!$B$10,Paramètres!$A$1:$I$89,3,0)*0.475*44/12</f>
        <v>2.6368421681148115</v>
      </c>
      <c r="AX122" s="21">
        <f t="shared" si="60"/>
        <v>109.66346929461932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5.3066239316239274</v>
      </c>
      <c r="BD122" s="12">
        <f>IF('Données projet'!$A$88&gt;35,BD121+BC122-BL121,IF(A122&lt;'Données projet'!$A$88,$BA$205^A122,IF(A122='Données projet'!$A$88,'Données projet'!$B$88,BD121+BC122-BL121)))</f>
        <v>246.45512820512786</v>
      </c>
      <c r="BE122" s="13">
        <f>BD122*VLOOKUP('Données projet'!$B$11,Paramètres!$A$1:$I$89,3,0)*VLOOKUP('Données projet'!$B$11,Paramètres!$A$1:$I$89,5,0)</f>
        <v>238.37139999999968</v>
      </c>
      <c r="BF122" s="13">
        <f t="shared" si="91"/>
        <v>58.088990522066126</v>
      </c>
      <c r="BG122" s="20">
        <f t="shared" si="61"/>
        <v>516.33518015926472</v>
      </c>
      <c r="BH122" s="59">
        <f t="shared" si="62"/>
        <v>809.66851349259809</v>
      </c>
      <c r="BI122" s="59">
        <f ca="1">AVERAGE(OFFSET($BH$3,0,0,'Données projet'!$E$11+1,1))-AVERAGE(OFFSET($H$3,0,0,'Données projet'!$E$11+1,1))</f>
        <v>366.51581861366333</v>
      </c>
      <c r="BJ122" s="59">
        <f t="shared" si="92"/>
        <v>225.01415116995503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33.887961937738531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33.887961937738531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204.00000000000017</v>
      </c>
      <c r="BZ122" s="13">
        <f>BY122*VLOOKUP('Données projet'!$B$12,Paramètres!$A$1:$I$89,3,0)*VLOOKUP('Données projet'!$B$12,Paramètres!$A$1:$I$89,5,0)</f>
        <v>133.66080000000011</v>
      </c>
      <c r="CA122" s="13">
        <f t="shared" si="93"/>
        <v>34.840890682716783</v>
      </c>
      <c r="CB122" s="20">
        <f t="shared" si="64"/>
        <v>293.4737779390652</v>
      </c>
      <c r="CC122" s="59">
        <f t="shared" si="65"/>
        <v>586.80711127239852</v>
      </c>
      <c r="CD122" s="59">
        <f ca="1">AVERAGE(OFFSET($CC$3,0,0,'Données projet'!$E$12+1,1))-AVERAGE(OFFSET($H$3,0,0,'Données projet'!$E$12+1,1))</f>
        <v>230.58262378842818</v>
      </c>
      <c r="CE122" s="59">
        <f t="shared" si="94"/>
        <v>235.68746142880792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1.0752737974446955</v>
      </c>
      <c r="CL122" s="21">
        <f>EXP(-LN(2)/25)*CL121+(1-EXP(-LN(2)/25))/(LN(2)/25)*Calculateur!CG122*Calculateur!CI122*VLOOKUP('Données projet'!$B$12,Paramètres!$A$1:$I$89,3,0)*0.475*44/12</f>
        <v>4.8278398481336211</v>
      </c>
      <c r="CM122" s="21">
        <f>EXP(-LN(2)/2)*CM121+(1-EXP(-LN(2)/2))/(LN(2)/2)*CG122*CJ122*VLOOKUP('Données projet'!$B$12,Paramètres!$A$1:$I$89,3,0)*0.475*44/12</f>
        <v>1.284858711926344E-4</v>
      </c>
      <c r="CN122" s="22">
        <f t="shared" si="66"/>
        <v>5.9032421314495087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1.7053025658242404E-13</v>
      </c>
      <c r="CU122" s="17">
        <f>CT122*VLOOKUP('Données projet'!$B$13,Paramètres!$A$1:$I$89,3,0)*VLOOKUP('Données projet'!$B$13,Paramètres!$A$1:$I$89,5,0)</f>
        <v>1.3301360013429075E-13</v>
      </c>
      <c r="CV122" s="13">
        <f t="shared" si="95"/>
        <v>1.9329766731057041E-12</v>
      </c>
      <c r="CW122" s="20">
        <f t="shared" si="67"/>
        <v>3.5982663925596575E-12</v>
      </c>
      <c r="CX122" s="59">
        <f t="shared" si="68"/>
        <v>293.3333333333369</v>
      </c>
      <c r="CY122" s="59">
        <f ca="1">AVERAGE(OFFSET($CX$3,0,0,'Données projet'!$E$13+1,1))-AVERAGE(OFFSET($H$3,0,0,'Données projet'!$E$13+1,1))</f>
        <v>288.80569134263209</v>
      </c>
      <c r="CZ122" s="59">
        <f t="shared" si="96"/>
        <v>283.48738729114024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30.141033232085675</v>
      </c>
      <c r="DG122" s="21">
        <f>EXP(-LN(2)/25)*DG121+(1-EXP(-LN(2)/25))/(LN(2)/25)*Calculateur!DB122*Calculateur!DD122*VLOOKUP('Données projet'!$B$13,Paramètres!$A$1:$I$89,3,0)*0.475*44/12</f>
        <v>17.052385137110992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47.193418369196664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266.99999999999983</v>
      </c>
      <c r="DP122" s="17">
        <f>DO122*VLOOKUP('Données projet'!$B$14,Paramètres!$A$1:$I$89,3,0)*VLOOKUP('Données projet'!$B$14,Paramètres!$A$1:$I$89,5,0)</f>
        <v>212.42519999999985</v>
      </c>
      <c r="DQ122" s="13">
        <f t="shared" si="97"/>
        <v>52.465198231787184</v>
      </c>
      <c r="DR122" s="20">
        <f t="shared" si="70"/>
        <v>461.35077692036231</v>
      </c>
      <c r="DS122" s="59">
        <f t="shared" si="71"/>
        <v>754.68411025369562</v>
      </c>
      <c r="DT122" s="59">
        <f ca="1">AVERAGE(OFFSET($DS$3,0,0,'Données projet'!$E$14+1,1))-AVERAGE(OFFSET($H$3,0,0,'Données projet'!$E$14+1,1))</f>
        <v>299.10536994156814</v>
      </c>
      <c r="DU122" s="59">
        <f t="shared" si="98"/>
        <v>292.57799203101769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13.299281672434367</v>
      </c>
      <c r="EB122" s="21">
        <f>EXP(-LN(2)/25)*EB121+(1-EXP(-LN(2)/25))/(LN(2)/25)*Calculateur!DW122*Calculateur!DY122*VLOOKUP('Données projet'!$B$14,Paramètres!$A$1:$I$89,3,0)*0.475*44/12</f>
        <v>2.8247623016090833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16.124043974043449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3.8301282051282044</v>
      </c>
      <c r="N123" s="13">
        <f>IF('Données projet'!$A$36&gt;35,N122+M123-V122,IF(A123&lt;'Données projet'!$A$36,$K$205^A123,IF(A123='Données projet'!$A$36,'Données projet'!$B$36,N122+M123-V122)))</f>
        <v>211.14423076923126</v>
      </c>
      <c r="O123" s="13">
        <f>N123*VLOOKUP('Données projet'!$B$9,Paramètres!$A$1:$I$89,3,0)*VLOOKUP('Données projet'!$B$9,Paramètres!$A$1:$I$89,5,0)</f>
        <v>191.04330000000041</v>
      </c>
      <c r="P123" s="13">
        <f t="shared" si="87"/>
        <v>47.770538104647592</v>
      </c>
      <c r="Q123" s="20">
        <f t="shared" si="107"/>
        <v>415.93410136559527</v>
      </c>
      <c r="R123" s="59">
        <f t="shared" si="55"/>
        <v>709.26743469892858</v>
      </c>
      <c r="S123" s="59">
        <f ca="1">AVERAGE(OFFSET($R$3,0,0,'Données projet'!$E$9+1,1))-AVERAGE(OFFSET($H$3,0,0,'Données projet'!$E$9+1,1))</f>
        <v>384.05928630855732</v>
      </c>
      <c r="T123" s="59">
        <f t="shared" si="88"/>
        <v>279.93992813630513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105.32463198593702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105.32463198593702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3.6615384615384583</v>
      </c>
      <c r="AI123" s="13">
        <f>IF('Données projet'!$A$62&gt;35,AI122+AH123-AQ122,IF(A123&lt;'Données projet'!$A$62,$AF$205^A123,IF(A123='Données projet'!$A$62,'Données projet'!$B$62,AI122+AH123-AQ122)))</f>
        <v>152.77435897435916</v>
      </c>
      <c r="AJ123" s="13">
        <f>AI123*VLOOKUP('Données projet'!$B$10,Paramètres!$A$1:$I$89,3,0)*VLOOKUP('Données projet'!$B$10,Paramètres!$A$1:$I$89,5,0)</f>
        <v>131.08040000000017</v>
      </c>
      <c r="AK123" s="13">
        <f t="shared" si="89"/>
        <v>34.245887671060004</v>
      </c>
      <c r="AL123" s="20">
        <f t="shared" si="58"/>
        <v>287.9432843604298</v>
      </c>
      <c r="AM123" s="59">
        <f t="shared" si="59"/>
        <v>581.27661769376311</v>
      </c>
      <c r="AN123" s="59">
        <f ca="1">AVERAGE(OFFSET($AM$3,0,0,'Données projet'!$E$10+1,1))-AVERAGE(OFFSET($H$3,0,0,'Données projet'!$E$10+1,1))</f>
        <v>335.02113791949211</v>
      </c>
      <c r="AO123" s="59">
        <f t="shared" si="90"/>
        <v>222.06886429435099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59.527378084884269</v>
      </c>
      <c r="AV123" s="21">
        <f>EXP(-LN(2)/25)*AV122+(1-EXP(-LN(2)/25))/(LN(2)/25)*Calculateur!AQ123*Calculateur!AS123*VLOOKUP('Données projet'!$B$10,Paramètres!$A$1:$I$89,3,0)*0.475*44/12</f>
        <v>45.042294417843564</v>
      </c>
      <c r="AW123" s="21">
        <f>EXP(-LN(2)/2)*AW122+(1-EXP(-LN(2)/2))/(LN(2)/2)*AQ123*AT123*VLOOKUP('Données projet'!$B$10,Paramètres!$A$1:$I$89,3,0)*0.475*44/12</f>
        <v>1.8645289779926217</v>
      </c>
      <c r="AX123" s="21">
        <f t="shared" si="60"/>
        <v>106.43420148072045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5.3066239316239274</v>
      </c>
      <c r="BD123" s="12">
        <f>IF('Données projet'!$A$88&gt;35,BD122+BC123-BL122,IF(A123&lt;'Données projet'!$A$88,$BA$205^A123,IF(A123='Données projet'!$A$88,'Données projet'!$B$88,BD122+BC123-BL122)))</f>
        <v>251.7617521367518</v>
      </c>
      <c r="BE123" s="13">
        <f>BD123*VLOOKUP('Données projet'!$B$11,Paramètres!$A$1:$I$89,3,0)*VLOOKUP('Données projet'!$B$11,Paramètres!$A$1:$I$89,5,0)</f>
        <v>243.50396666666632</v>
      </c>
      <c r="BF123" s="13">
        <f t="shared" si="91"/>
        <v>59.192788839519665</v>
      </c>
      <c r="BG123" s="20">
        <f t="shared" si="61"/>
        <v>527.19684917327379</v>
      </c>
      <c r="BH123" s="59">
        <f t="shared" si="62"/>
        <v>820.53018250660716</v>
      </c>
      <c r="BI123" s="59">
        <f ca="1">AVERAGE(OFFSET($BH$3,0,0,'Données projet'!$E$11+1,1))-AVERAGE(OFFSET($H$3,0,0,'Données projet'!$E$11+1,1))</f>
        <v>366.51581861366333</v>
      </c>
      <c r="BJ123" s="59">
        <f t="shared" si="92"/>
        <v>225.01415116995503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33.223439673755308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33.223439673755308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204.00000000000017</v>
      </c>
      <c r="BZ123" s="13">
        <f>BY123*VLOOKUP('Données projet'!$B$12,Paramètres!$A$1:$I$89,3,0)*VLOOKUP('Données projet'!$B$12,Paramètres!$A$1:$I$89,5,0)</f>
        <v>133.66080000000011</v>
      </c>
      <c r="CA123" s="13">
        <f t="shared" si="93"/>
        <v>34.840890682716783</v>
      </c>
      <c r="CB123" s="20">
        <f t="shared" si="64"/>
        <v>293.4737779390652</v>
      </c>
      <c r="CC123" s="59">
        <f t="shared" si="65"/>
        <v>586.80711127239852</v>
      </c>
      <c r="CD123" s="59">
        <f ca="1">AVERAGE(OFFSET($CC$3,0,0,'Données projet'!$E$12+1,1))-AVERAGE(OFFSET($H$3,0,0,'Données projet'!$E$12+1,1))</f>
        <v>230.58262378842818</v>
      </c>
      <c r="CE123" s="59">
        <f t="shared" si="94"/>
        <v>235.68746142880792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1.0541883341290614</v>
      </c>
      <c r="CL123" s="21">
        <f>EXP(-LN(2)/25)*CL122+(1-EXP(-LN(2)/25))/(LN(2)/25)*Calculateur!CG123*Calculateur!CI123*VLOOKUP('Données projet'!$B$12,Paramètres!$A$1:$I$89,3,0)*0.475*44/12</f>
        <v>4.6958223136013437</v>
      </c>
      <c r="CM123" s="21">
        <f>EXP(-LN(2)/2)*CM122+(1-EXP(-LN(2)/2))/(LN(2)/2)*CG123*CJ123*VLOOKUP('Données projet'!$B$12,Paramètres!$A$1:$I$89,3,0)*0.475*44/12</f>
        <v>9.0853230806973068E-5</v>
      </c>
      <c r="CN123" s="22">
        <f t="shared" si="66"/>
        <v>5.750101500961212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1.7053025658242404E-13</v>
      </c>
      <c r="CU123" s="17">
        <f>CT123*VLOOKUP('Données projet'!$B$13,Paramètres!$A$1:$I$89,3,0)*VLOOKUP('Données projet'!$B$13,Paramètres!$A$1:$I$89,5,0)</f>
        <v>1.3301360013429075E-13</v>
      </c>
      <c r="CV123" s="13">
        <f t="shared" si="95"/>
        <v>1.9329766731057041E-12</v>
      </c>
      <c r="CW123" s="20">
        <f t="shared" si="67"/>
        <v>3.5982663925596575E-12</v>
      </c>
      <c r="CX123" s="59">
        <f t="shared" si="68"/>
        <v>293.3333333333369</v>
      </c>
      <c r="CY123" s="59">
        <f ca="1">AVERAGE(OFFSET($CX$3,0,0,'Données projet'!$E$13+1,1))-AVERAGE(OFFSET($H$3,0,0,'Données projet'!$E$13+1,1))</f>
        <v>288.80569134263209</v>
      </c>
      <c r="CZ123" s="59">
        <f t="shared" si="96"/>
        <v>283.48738729114024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29.549985954619455</v>
      </c>
      <c r="DG123" s="21">
        <f>EXP(-LN(2)/25)*DG122+(1-EXP(-LN(2)/25))/(LN(2)/25)*Calculateur!DB123*Calculateur!DD123*VLOOKUP('Données projet'!$B$13,Paramètres!$A$1:$I$89,3,0)*0.475*44/12</f>
        <v>16.586086768790732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46.136072723410187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266.99999999999983</v>
      </c>
      <c r="DP123" s="17">
        <f>DO123*VLOOKUP('Données projet'!$B$14,Paramètres!$A$1:$I$89,3,0)*VLOOKUP('Données projet'!$B$14,Paramètres!$A$1:$I$89,5,0)</f>
        <v>212.42519999999985</v>
      </c>
      <c r="DQ123" s="13">
        <f t="shared" si="97"/>
        <v>52.465198231787184</v>
      </c>
      <c r="DR123" s="20">
        <f t="shared" si="70"/>
        <v>461.35077692036231</v>
      </c>
      <c r="DS123" s="59">
        <f t="shared" si="71"/>
        <v>754.68411025369562</v>
      </c>
      <c r="DT123" s="59">
        <f ca="1">AVERAGE(OFFSET($DS$3,0,0,'Données projet'!$E$14+1,1))-AVERAGE(OFFSET($H$3,0,0,'Données projet'!$E$14+1,1))</f>
        <v>299.10536994156814</v>
      </c>
      <c r="DU123" s="59">
        <f t="shared" si="98"/>
        <v>292.57799203101769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13.038490870598778</v>
      </c>
      <c r="EB123" s="21">
        <f>EXP(-LN(2)/25)*EB122+(1-EXP(-LN(2)/25))/(LN(2)/25)*Calculateur!DW123*Calculateur!DY123*VLOOKUP('Données projet'!$B$14,Paramètres!$A$1:$I$89,3,0)*0.475*44/12</f>
        <v>2.7475190279237895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15.786009898522568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3.8301282051282044</v>
      </c>
      <c r="N124" s="13">
        <f>IF('Données projet'!$A$36&gt;35,N123+M124-V123,IF(A124&lt;'Données projet'!$A$36,$K$205^A124,IF(A124='Données projet'!$A$36,'Données projet'!$B$36,N123+M124-V123)))</f>
        <v>214.97435897435946</v>
      </c>
      <c r="O124" s="13">
        <f>N124*VLOOKUP('Données projet'!$B$9,Paramètres!$A$1:$I$89,3,0)*VLOOKUP('Données projet'!$B$9,Paramètres!$A$1:$I$89,5,0)</f>
        <v>194.50880000000043</v>
      </c>
      <c r="P124" s="13">
        <f t="shared" si="87"/>
        <v>48.535419780989194</v>
      </c>
      <c r="Q124" s="20">
        <f t="shared" si="107"/>
        <v>423.30201611855699</v>
      </c>
      <c r="R124" s="59">
        <f t="shared" si="55"/>
        <v>716.63534945189031</v>
      </c>
      <c r="S124" s="59">
        <f ca="1">AVERAGE(OFFSET($R$3,0,0,'Données projet'!$E$9+1,1))-AVERAGE(OFFSET($H$3,0,0,'Données projet'!$E$9+1,1))</f>
        <v>384.05928630855732</v>
      </c>
      <c r="T124" s="59">
        <f t="shared" si="88"/>
        <v>279.93992813630513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103.25928019437497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103.25928019437497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>
        <f>VLOOKUP(A124,'Données projet'!$A$61:$I$81,2,0)</f>
        <v>156.43589743589743</v>
      </c>
      <c r="AG124" s="12">
        <f>VLOOKUP(A124,'Données projet'!$A$61:$I$81,9,0)</f>
        <v>3.6615384615384583</v>
      </c>
      <c r="AH124" s="12">
        <f t="array" ref="AH124">INDEX(AG:AG,MIN(IF(ISNUMBER(AG124:AG320),ROW(AG124:AG320),"")))</f>
        <v>3.6615384615384583</v>
      </c>
      <c r="AI124" s="13">
        <f>IF('Données projet'!$A$62&gt;35,AI123+AH124-AQ123,IF(A124&lt;'Données projet'!$A$62,$AF$205^A124,IF(A124='Données projet'!$A$62,'Données projet'!$B$62,AI123+AH124-AQ123)))</f>
        <v>156.43589743589763</v>
      </c>
      <c r="AJ124" s="13">
        <f>AI124*VLOOKUP('Données projet'!$B$10,Paramètres!$A$1:$I$89,3,0)*VLOOKUP('Données projet'!$B$10,Paramètres!$A$1:$I$89,5,0)</f>
        <v>134.22200000000018</v>
      </c>
      <c r="AK124" s="13">
        <f t="shared" si="89"/>
        <v>34.970117482376928</v>
      </c>
      <c r="AL124" s="20">
        <f t="shared" si="58"/>
        <v>294.67627128180681</v>
      </c>
      <c r="AM124" s="59">
        <f t="shared" si="59"/>
        <v>588.00960461514012</v>
      </c>
      <c r="AN124" s="59">
        <f ca="1">AVERAGE(OFFSET($AM$3,0,0,'Données projet'!$E$10+1,1))-AVERAGE(OFFSET($H$3,0,0,'Données projet'!$E$10+1,1))</f>
        <v>335.02113791949211</v>
      </c>
      <c r="AO124" s="59">
        <f t="shared" si="90"/>
        <v>222.06886429435099</v>
      </c>
      <c r="AP124" s="15">
        <f>IF(ISNA(VLOOKUP(A124,'Données projet'!$A$61:$I$81,3,0)),0,VLOOKUP(A124,'Données projet'!$A$61:$I$81,3,0))</f>
        <v>11</v>
      </c>
      <c r="AQ124" s="15">
        <f>IF(ISNA(VLOOKUP(A124,'Données projet'!$A$61:$I$81,4,0)),0,VLOOKUP(A124,'Données projet'!$A$61:$I$81,4,0))</f>
        <v>66.179487179487168</v>
      </c>
      <c r="AR124" s="16">
        <f>IF(ISNA(VLOOKUP(A124,'Données projet'!$A$61:$I$81,5,0)),0%,VLOOKUP(A124,'Données projet'!$A$61:$I$81,5,0)*VLOOKUP('Données projet'!$B$10,Paramètres!$A$1:$I$89,7,0))</f>
        <v>0.318</v>
      </c>
      <c r="AS124" s="16">
        <f>IF(ISNA(VLOOKUP(A124,'Données projet'!$A$61:$I$81,6,0)),0%,VLOOKUP(A124,'Données projet'!$A$61:$I$81,6,0)*VLOOKUP('Données projet'!$B$10,Paramètres!$A$1:$I$89,7,0))</f>
        <v>0.1855</v>
      </c>
      <c r="AT124" s="16">
        <f>IF(ISNA(VLOOKUP(A124,'Données projet'!$A$61:$I$81,7,0)),0%,VLOOKUP(A124,'Données projet'!$A$61:$I$81,7,0))</f>
        <v>0.05</v>
      </c>
      <c r="AU124" s="21">
        <f>EXP(-LN(2)/35)*AU123+(1-EXP(-LN(2)/35))/(LN(2)/35)*AQ124*AR124*VLOOKUP('Données projet'!$B$10,Paramètres!$A$1:$I$89,3,0)*0.475*44/12</f>
        <v>78.3212029795787</v>
      </c>
      <c r="AV124" s="21">
        <f>EXP(-LN(2)/25)*AV123+(1-EXP(-LN(2)/25))/(LN(2)/25)*Calculateur!AQ124*Calculateur!AS124*VLOOKUP('Données projet'!$B$10,Paramètres!$A$1:$I$89,3,0)*0.475*44/12</f>
        <v>55.40875063633522</v>
      </c>
      <c r="AW124" s="21">
        <f>EXP(-LN(2)/2)*AW123+(1-EXP(-LN(2)/2))/(LN(2)/2)*AQ124*AT124*VLOOKUP('Données projet'!$B$10,Paramètres!$A$1:$I$89,3,0)*0.475*44/12</f>
        <v>3.9971883473135632</v>
      </c>
      <c r="AX124" s="21">
        <f t="shared" si="60"/>
        <v>137.7271419632275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5.3066239316239274</v>
      </c>
      <c r="BD124" s="12">
        <f>IF('Données projet'!$A$88&gt;35,BD123+BC124-BL123,IF(A124&lt;'Données projet'!$A$88,$BA$205^A124,IF(A124='Données projet'!$A$88,'Données projet'!$B$88,BD123+BC124-BL123)))</f>
        <v>257.0683760683757</v>
      </c>
      <c r="BE124" s="13">
        <f>BD124*VLOOKUP('Données projet'!$B$11,Paramètres!$A$1:$I$89,3,0)*VLOOKUP('Données projet'!$B$11,Paramètres!$A$1:$I$89,5,0)</f>
        <v>248.63653333333298</v>
      </c>
      <c r="BF124" s="13">
        <f t="shared" si="91"/>
        <v>60.293882123749412</v>
      </c>
      <c r="BG124" s="20">
        <f t="shared" si="61"/>
        <v>538.0538069210852</v>
      </c>
      <c r="BH124" s="59">
        <f t="shared" si="62"/>
        <v>831.38714025441845</v>
      </c>
      <c r="BI124" s="59">
        <f ca="1">AVERAGE(OFFSET($BH$3,0,0,'Données projet'!$E$11+1,1))-AVERAGE(OFFSET($H$3,0,0,'Données projet'!$E$11+1,1))</f>
        <v>366.51581861366333</v>
      </c>
      <c r="BJ124" s="59">
        <f t="shared" si="92"/>
        <v>225.01415116995503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32.571948286050237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32.571948286050237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204.00000000000017</v>
      </c>
      <c r="BZ124" s="13">
        <f>BY124*VLOOKUP('Données projet'!$B$12,Paramètres!$A$1:$I$89,3,0)*VLOOKUP('Données projet'!$B$12,Paramètres!$A$1:$I$89,5,0)</f>
        <v>133.66080000000011</v>
      </c>
      <c r="CA124" s="13">
        <f t="shared" si="93"/>
        <v>34.840890682716783</v>
      </c>
      <c r="CB124" s="20">
        <f t="shared" si="64"/>
        <v>293.4737779390652</v>
      </c>
      <c r="CC124" s="59">
        <f t="shared" si="65"/>
        <v>586.80711127239852</v>
      </c>
      <c r="CD124" s="59">
        <f ca="1">AVERAGE(OFFSET($CC$3,0,0,'Données projet'!$E$12+1,1))-AVERAGE(OFFSET($H$3,0,0,'Données projet'!$E$12+1,1))</f>
        <v>230.58262378842818</v>
      </c>
      <c r="CE124" s="59">
        <f t="shared" si="94"/>
        <v>235.68746142880792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1.0335163438881843</v>
      </c>
      <c r="CL124" s="21">
        <f>EXP(-LN(2)/25)*CL123+(1-EXP(-LN(2)/25))/(LN(2)/25)*Calculateur!CG124*Calculateur!CI124*VLOOKUP('Données projet'!$B$12,Paramètres!$A$1:$I$89,3,0)*0.475*44/12</f>
        <v>4.5674148054933523</v>
      </c>
      <c r="CM124" s="21">
        <f>EXP(-LN(2)/2)*CM123+(1-EXP(-LN(2)/2))/(LN(2)/2)*CG124*CJ124*VLOOKUP('Données projet'!$B$12,Paramètres!$A$1:$I$89,3,0)*0.475*44/12</f>
        <v>6.4242935596317202E-5</v>
      </c>
      <c r="CN124" s="22">
        <f t="shared" si="66"/>
        <v>5.6009953923171327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1.7053025658242404E-13</v>
      </c>
      <c r="CU124" s="17">
        <f>CT124*VLOOKUP('Données projet'!$B$13,Paramètres!$A$1:$I$89,3,0)*VLOOKUP('Données projet'!$B$13,Paramètres!$A$1:$I$89,5,0)</f>
        <v>1.3301360013429075E-13</v>
      </c>
      <c r="CV124" s="13">
        <f t="shared" si="95"/>
        <v>1.9329766731057041E-12</v>
      </c>
      <c r="CW124" s="20">
        <f t="shared" si="67"/>
        <v>3.5982663925596575E-12</v>
      </c>
      <c r="CX124" s="59">
        <f t="shared" si="68"/>
        <v>293.3333333333369</v>
      </c>
      <c r="CY124" s="59">
        <f ca="1">AVERAGE(OFFSET($CX$3,0,0,'Données projet'!$E$13+1,1))-AVERAGE(OFFSET($H$3,0,0,'Données projet'!$E$13+1,1))</f>
        <v>288.80569134263209</v>
      </c>
      <c r="CZ124" s="59">
        <f t="shared" si="96"/>
        <v>283.48738729114024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28.970528753761105</v>
      </c>
      <c r="DG124" s="21">
        <f>EXP(-LN(2)/25)*DG123+(1-EXP(-LN(2)/25))/(LN(2)/25)*Calculateur!DB124*Calculateur!DD124*VLOOKUP('Données projet'!$B$13,Paramètres!$A$1:$I$89,3,0)*0.475*44/12</f>
        <v>16.132539353873753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45.103068107634854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266.99999999999983</v>
      </c>
      <c r="DP124" s="17">
        <f>DO124*VLOOKUP('Données projet'!$B$14,Paramètres!$A$1:$I$89,3,0)*VLOOKUP('Données projet'!$B$14,Paramètres!$A$1:$I$89,5,0)</f>
        <v>212.42519999999985</v>
      </c>
      <c r="DQ124" s="13">
        <f t="shared" si="97"/>
        <v>52.465198231787184</v>
      </c>
      <c r="DR124" s="20">
        <f t="shared" si="70"/>
        <v>461.35077692036231</v>
      </c>
      <c r="DS124" s="59">
        <f t="shared" si="71"/>
        <v>754.68411025369562</v>
      </c>
      <c r="DT124" s="59">
        <f ca="1">AVERAGE(OFFSET($DS$3,0,0,'Données projet'!$E$14+1,1))-AVERAGE(OFFSET($H$3,0,0,'Données projet'!$E$14+1,1))</f>
        <v>299.10536994156814</v>
      </c>
      <c r="DU124" s="59">
        <f t="shared" si="98"/>
        <v>292.57799203101769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12.782814017320504</v>
      </c>
      <c r="EB124" s="21">
        <f>EXP(-LN(2)/25)*EB123+(1-EXP(-LN(2)/25))/(LN(2)/25)*Calculateur!DW124*Calculateur!DY124*VLOOKUP('Données projet'!$B$14,Paramètres!$A$1:$I$89,3,0)*0.475*44/12</f>
        <v>2.6723879756194675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15.455201992939973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3.8301282051282044</v>
      </c>
      <c r="N125" s="13">
        <f>IF('Données projet'!$A$36&gt;35,N124+M125-V124,IF(A125&lt;'Données projet'!$A$36,$K$205^A125,IF(A125='Données projet'!$A$36,'Données projet'!$B$36,N124+M125-V124)))</f>
        <v>218.80448717948767</v>
      </c>
      <c r="O125" s="13">
        <f>N125*VLOOKUP('Données projet'!$B$9,Paramètres!$A$1:$I$89,3,0)*VLOOKUP('Données projet'!$B$9,Paramètres!$A$1:$I$89,5,0)</f>
        <v>197.97430000000043</v>
      </c>
      <c r="P125" s="13">
        <f t="shared" si="87"/>
        <v>49.298716754178493</v>
      </c>
      <c r="Q125" s="20">
        <f t="shared" si="107"/>
        <v>430.66717084686161</v>
      </c>
      <c r="R125" s="59">
        <f t="shared" si="55"/>
        <v>724.00050418019487</v>
      </c>
      <c r="S125" s="59">
        <f ca="1">AVERAGE(OFFSET($R$3,0,0,'Données projet'!$E$9+1,1))-AVERAGE(OFFSET($H$3,0,0,'Données projet'!$E$9+1,1))</f>
        <v>384.05928630855732</v>
      </c>
      <c r="T125" s="59">
        <f t="shared" si="88"/>
        <v>279.93992813630513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101.23442869170525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101.23442869170525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2.5913461538461497</v>
      </c>
      <c r="AI125" s="13">
        <f>IF('Données projet'!$A$62&gt;35,AI124+AH125-AQ124,IF(A125&lt;'Données projet'!$A$62,$AF$205^A125,IF(A125='Données projet'!$A$62,'Données projet'!$B$62,AI124+AH125-AQ124)))</f>
        <v>92.847756410256622</v>
      </c>
      <c r="AJ125" s="13">
        <f>AI125*VLOOKUP('Données projet'!$B$10,Paramètres!$A$1:$I$89,3,0)*VLOOKUP('Données projet'!$B$10,Paramètres!$A$1:$I$89,5,0)</f>
        <v>79.663375000000201</v>
      </c>
      <c r="AK125" s="13">
        <f t="shared" si="89"/>
        <v>22.054857378075976</v>
      </c>
      <c r="AL125" s="20">
        <f t="shared" si="58"/>
        <v>177.15925472514937</v>
      </c>
      <c r="AM125" s="59">
        <f t="shared" si="59"/>
        <v>470.49258805848268</v>
      </c>
      <c r="AN125" s="59">
        <f ca="1">AVERAGE(OFFSET($AM$3,0,0,'Données projet'!$E$10+1,1))-AVERAGE(OFFSET($H$3,0,0,'Données projet'!$E$10+1,1))</f>
        <v>335.02113791949211</v>
      </c>
      <c r="AO125" s="59">
        <f t="shared" si="90"/>
        <v>222.06886429435099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76.785371960365964</v>
      </c>
      <c r="AV125" s="21">
        <f>EXP(-LN(2)/25)*AV124+(1-EXP(-LN(2)/25))/(LN(2)/25)*Calculateur!AQ125*Calculateur!AS125*VLOOKUP('Données projet'!$B$10,Paramètres!$A$1:$I$89,3,0)*0.475*44/12</f>
        <v>53.893595436365075</v>
      </c>
      <c r="AW125" s="21">
        <f>EXP(-LN(2)/2)*AW124+(1-EXP(-LN(2)/2))/(LN(2)/2)*AQ125*AT125*VLOOKUP('Données projet'!$B$10,Paramètres!$A$1:$I$89,3,0)*0.475*44/12</f>
        <v>2.8264389860652694</v>
      </c>
      <c r="AX125" s="21">
        <f t="shared" si="60"/>
        <v>133.50540638279628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5.3066239316239274</v>
      </c>
      <c r="BD125" s="12">
        <f>IF('Données projet'!$A$88&gt;35,BD124+BC125-BL124,IF(A125&lt;'Données projet'!$A$88,$BA$205^A125,IF(A125='Données projet'!$A$88,'Données projet'!$B$88,BD124+BC125-BL124)))</f>
        <v>262.3749999999996</v>
      </c>
      <c r="BE125" s="13">
        <f>BD125*VLOOKUP('Données projet'!$B$11,Paramètres!$A$1:$I$89,3,0)*VLOOKUP('Données projet'!$B$11,Paramètres!$A$1:$I$89,5,0)</f>
        <v>253.76909999999964</v>
      </c>
      <c r="BF125" s="13">
        <f t="shared" si="91"/>
        <v>61.392332648172818</v>
      </c>
      <c r="BG125" s="20">
        <f t="shared" si="61"/>
        <v>548.90616186223372</v>
      </c>
      <c r="BH125" s="59">
        <f t="shared" si="62"/>
        <v>842.23949519556709</v>
      </c>
      <c r="BI125" s="59">
        <f ca="1">AVERAGE(OFFSET($BH$3,0,0,'Données projet'!$E$11+1,1))-AVERAGE(OFFSET($H$3,0,0,'Données projet'!$E$11+1,1))</f>
        <v>366.51581861366333</v>
      </c>
      <c r="BJ125" s="59">
        <f t="shared" si="92"/>
        <v>225.01415116995503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31.933232247087549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31.933232247087549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204.00000000000017</v>
      </c>
      <c r="BZ125" s="13">
        <f>BY125*VLOOKUP('Données projet'!$B$12,Paramètres!$A$1:$I$89,3,0)*VLOOKUP('Données projet'!$B$12,Paramètres!$A$1:$I$89,5,0)</f>
        <v>133.66080000000011</v>
      </c>
      <c r="CA125" s="13">
        <f t="shared" si="93"/>
        <v>34.840890682716783</v>
      </c>
      <c r="CB125" s="20">
        <f t="shared" si="64"/>
        <v>293.4737779390652</v>
      </c>
      <c r="CC125" s="59">
        <f t="shared" si="65"/>
        <v>586.80711127239852</v>
      </c>
      <c r="CD125" s="59">
        <f ca="1">AVERAGE(OFFSET($CC$3,0,0,'Données projet'!$E$12+1,1))-AVERAGE(OFFSET($H$3,0,0,'Données projet'!$E$12+1,1))</f>
        <v>230.58262378842818</v>
      </c>
      <c r="CE125" s="59">
        <f t="shared" si="94"/>
        <v>235.68746142880792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1.0132497187672616</v>
      </c>
      <c r="CL125" s="21">
        <f>EXP(-LN(2)/25)*CL124+(1-EXP(-LN(2)/25))/(LN(2)/25)*Calculateur!CG125*Calculateur!CI125*VLOOKUP('Données projet'!$B$12,Paramètres!$A$1:$I$89,3,0)*0.475*44/12</f>
        <v>4.4425186074472309</v>
      </c>
      <c r="CM125" s="21">
        <f>EXP(-LN(2)/2)*CM124+(1-EXP(-LN(2)/2))/(LN(2)/2)*CG125*CJ125*VLOOKUP('Données projet'!$B$12,Paramètres!$A$1:$I$89,3,0)*0.475*44/12</f>
        <v>4.5426615403486534E-5</v>
      </c>
      <c r="CN125" s="22">
        <f t="shared" si="66"/>
        <v>5.4558137528298962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1.7053025658242404E-13</v>
      </c>
      <c r="CU125" s="17">
        <f>CT125*VLOOKUP('Données projet'!$B$13,Paramètres!$A$1:$I$89,3,0)*VLOOKUP('Données projet'!$B$13,Paramètres!$A$1:$I$89,5,0)</f>
        <v>1.3301360013429075E-13</v>
      </c>
      <c r="CV125" s="13">
        <f t="shared" si="95"/>
        <v>1.9329766731057041E-12</v>
      </c>
      <c r="CW125" s="20">
        <f t="shared" si="67"/>
        <v>3.5982663925596575E-12</v>
      </c>
      <c r="CX125" s="59">
        <f t="shared" si="68"/>
        <v>293.3333333333369</v>
      </c>
      <c r="CY125" s="59">
        <f ca="1">AVERAGE(OFFSET($CX$3,0,0,'Données projet'!$E$13+1,1))-AVERAGE(OFFSET($H$3,0,0,'Données projet'!$E$13+1,1))</f>
        <v>288.80569134263209</v>
      </c>
      <c r="CZ125" s="59">
        <f t="shared" si="96"/>
        <v>283.48738729114024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28.402434355177594</v>
      </c>
      <c r="DG125" s="21">
        <f>EXP(-LN(2)/25)*DG124+(1-EXP(-LN(2)/25))/(LN(2)/25)*Calculateur!DB125*Calculateur!DD125*VLOOKUP('Données projet'!$B$13,Paramètres!$A$1:$I$89,3,0)*0.475*44/12</f>
        <v>15.691394216868702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44.093828572046291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266.99999999999983</v>
      </c>
      <c r="DP125" s="17">
        <f>DO125*VLOOKUP('Données projet'!$B$14,Paramètres!$A$1:$I$89,3,0)*VLOOKUP('Données projet'!$B$14,Paramètres!$A$1:$I$89,5,0)</f>
        <v>212.42519999999985</v>
      </c>
      <c r="DQ125" s="13">
        <f t="shared" si="97"/>
        <v>52.465198231787184</v>
      </c>
      <c r="DR125" s="20">
        <f t="shared" si="70"/>
        <v>461.35077692036231</v>
      </c>
      <c r="DS125" s="59">
        <f t="shared" si="71"/>
        <v>754.68411025369562</v>
      </c>
      <c r="DT125" s="59">
        <f ca="1">AVERAGE(OFFSET($DS$3,0,0,'Données projet'!$E$14+1,1))-AVERAGE(OFFSET($H$3,0,0,'Données projet'!$E$14+1,1))</f>
        <v>299.10536994156814</v>
      </c>
      <c r="DU125" s="59">
        <f t="shared" si="98"/>
        <v>292.57799203101769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12.532150831187534</v>
      </c>
      <c r="EB125" s="21">
        <f>EXP(-LN(2)/25)*EB124+(1-EXP(-LN(2)/25))/(LN(2)/25)*Calculateur!DW125*Calculateur!DY125*VLOOKUP('Données projet'!$B$14,Paramètres!$A$1:$I$89,3,0)*0.475*44/12</f>
        <v>2.5993113858913772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15.131462217078912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222.63461538461539</v>
      </c>
      <c r="L126" s="12">
        <f>VLOOKUP(A126,'Données projet'!$A$35:$I$55,9,0)</f>
        <v>3.8301282051282044</v>
      </c>
      <c r="M126" s="12">
        <f t="array" ref="M126">INDEX(L:L,MIN(IF(ISNUMBER(L126:L322),ROW(L126:L322),"")))</f>
        <v>3.8301282051282044</v>
      </c>
      <c r="N126" s="13">
        <f>IF('Données projet'!$A$36&gt;35,N125+M126-V125,IF(A126&lt;'Données projet'!$A$36,$K$205^A126,IF(A126='Données projet'!$A$36,'Données projet'!$B$36,N125+M126-V125)))</f>
        <v>222.63461538461587</v>
      </c>
      <c r="O126" s="13">
        <f>N126*VLOOKUP('Données projet'!$B$9,Paramètres!$A$1:$I$89,3,0)*VLOOKUP('Données projet'!$B$9,Paramètres!$A$1:$I$89,5,0)</f>
        <v>201.43980000000045</v>
      </c>
      <c r="P126" s="13">
        <f t="shared" si="87"/>
        <v>50.06045996470462</v>
      </c>
      <c r="Q126" s="20">
        <f t="shared" si="107"/>
        <v>438.02961943852802</v>
      </c>
      <c r="R126" s="59">
        <f t="shared" si="55"/>
        <v>731.36295277186127</v>
      </c>
      <c r="S126" s="59">
        <f ca="1">AVERAGE(OFFSET($R$3,0,0,'Données projet'!$E$9+1,1))-AVERAGE(OFFSET($H$3,0,0,'Données projet'!$E$9+1,1))</f>
        <v>384.05928630855732</v>
      </c>
      <c r="T126" s="59">
        <f t="shared" si="88"/>
        <v>279.93992813630513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77.17307692307692</v>
      </c>
      <c r="W126" s="16">
        <f>IF(ISNA(VLOOKUP(A126,'Données projet'!$A$35:$I$55,5,0)),0%,VLOOKUP(A126,'Données projet'!$A$35:$I$55,5,0)*VLOOKUP('Données projet'!$B$9,Paramètres!$A$1:$I$89,7,0))</f>
        <v>0.38700000000000001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129.12212127250342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129.12212127250342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2.5913461538461497</v>
      </c>
      <c r="AI126" s="13">
        <f>IF('Données projet'!$A$62&gt;35,AI125+AH126-AQ125,IF(A126&lt;'Données projet'!$A$62,$AF$205^A126,IF(A126='Données projet'!$A$62,'Données projet'!$B$62,AI125+AH126-AQ125)))</f>
        <v>95.439102564102768</v>
      </c>
      <c r="AJ126" s="13">
        <f>AI126*VLOOKUP('Données projet'!$B$10,Paramètres!$A$1:$I$89,3,0)*VLOOKUP('Données projet'!$B$10,Paramètres!$A$1:$I$89,5,0)</f>
        <v>81.886750000000191</v>
      </c>
      <c r="AK126" s="13">
        <f t="shared" si="89"/>
        <v>22.59787658839414</v>
      </c>
      <c r="AL126" s="20">
        <f t="shared" si="58"/>
        <v>181.9773913081201</v>
      </c>
      <c r="AM126" s="59">
        <f t="shared" si="59"/>
        <v>475.31072464145342</v>
      </c>
      <c r="AN126" s="59">
        <f ca="1">AVERAGE(OFFSET($AM$3,0,0,'Données projet'!$E$10+1,1))-AVERAGE(OFFSET($H$3,0,0,'Données projet'!$E$10+1,1))</f>
        <v>335.02113791949211</v>
      </c>
      <c r="AO126" s="59">
        <f t="shared" si="90"/>
        <v>222.06886429435099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75.27965765067556</v>
      </c>
      <c r="AV126" s="21">
        <f>EXP(-LN(2)/25)*AV125+(1-EXP(-LN(2)/25))/(LN(2)/25)*Calculateur!AQ126*Calculateur!AS126*VLOOKUP('Données projet'!$B$10,Paramètres!$A$1:$I$89,3,0)*0.475*44/12</f>
        <v>52.419872235016662</v>
      </c>
      <c r="AW126" s="21">
        <f>EXP(-LN(2)/2)*AW125+(1-EXP(-LN(2)/2))/(LN(2)/2)*AQ126*AT126*VLOOKUP('Données projet'!$B$10,Paramètres!$A$1:$I$89,3,0)*0.475*44/12</f>
        <v>1.9985941736567818</v>
      </c>
      <c r="AX126" s="21">
        <f t="shared" si="60"/>
        <v>129.698124059349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5.3066239316239274</v>
      </c>
      <c r="BD126" s="12">
        <f>IF('Données projet'!$A$88&gt;35,BD125+BC126-BL125,IF(A126&lt;'Données projet'!$A$88,$BA$205^A126,IF(A126='Données projet'!$A$88,'Données projet'!$B$88,BD125+BC126-BL125)))</f>
        <v>267.68162393162351</v>
      </c>
      <c r="BE126" s="13">
        <f>BD126*VLOOKUP('Données projet'!$B$11,Paramètres!$A$1:$I$89,3,0)*VLOOKUP('Données projet'!$B$11,Paramètres!$A$1:$I$89,5,0)</f>
        <v>258.9016666666663</v>
      </c>
      <c r="BF126" s="13">
        <f t="shared" si="91"/>
        <v>62.488200023189847</v>
      </c>
      <c r="BG126" s="20">
        <f t="shared" si="61"/>
        <v>559.75401781816606</v>
      </c>
      <c r="BH126" s="59">
        <f t="shared" si="62"/>
        <v>853.08735115149943</v>
      </c>
      <c r="BI126" s="59">
        <f ca="1">AVERAGE(OFFSET($BH$3,0,0,'Données projet'!$E$11+1,1))-AVERAGE(OFFSET($H$3,0,0,'Données projet'!$E$11+1,1))</f>
        <v>366.51581861366333</v>
      </c>
      <c r="BJ126" s="59">
        <f t="shared" si="92"/>
        <v>225.01415116995503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31.307041040070605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31.307041040070605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204.00000000000017</v>
      </c>
      <c r="BZ126" s="13">
        <f>BY126*VLOOKUP('Données projet'!$B$12,Paramètres!$A$1:$I$89,3,0)*VLOOKUP('Données projet'!$B$12,Paramètres!$A$1:$I$89,5,0)</f>
        <v>133.66080000000011</v>
      </c>
      <c r="CA126" s="13">
        <f t="shared" si="93"/>
        <v>34.840890682716783</v>
      </c>
      <c r="CB126" s="20">
        <f t="shared" si="64"/>
        <v>293.4737779390652</v>
      </c>
      <c r="CC126" s="59">
        <f t="shared" si="65"/>
        <v>586.80711127239852</v>
      </c>
      <c r="CD126" s="59">
        <f ca="1">AVERAGE(OFFSET($CC$3,0,0,'Données projet'!$E$12+1,1))-AVERAGE(OFFSET($H$3,0,0,'Données projet'!$E$12+1,1))</f>
        <v>230.58262378842818</v>
      </c>
      <c r="CE126" s="59">
        <f t="shared" si="94"/>
        <v>235.68746142880792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0.99338050980353942</v>
      </c>
      <c r="CL126" s="21">
        <f>EXP(-LN(2)/25)*CL125+(1-EXP(-LN(2)/25))/(LN(2)/25)*Calculateur!CG126*Calculateur!CI126*VLOOKUP('Données projet'!$B$12,Paramètres!$A$1:$I$89,3,0)*0.475*44/12</f>
        <v>4.321037702504686</v>
      </c>
      <c r="CM126" s="21">
        <f>EXP(-LN(2)/2)*CM125+(1-EXP(-LN(2)/2))/(LN(2)/2)*CG126*CJ126*VLOOKUP('Données projet'!$B$12,Paramètres!$A$1:$I$89,3,0)*0.475*44/12</f>
        <v>3.2121467798158601E-5</v>
      </c>
      <c r="CN126" s="22">
        <f t="shared" si="66"/>
        <v>5.3144503337760236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1.7053025658242404E-13</v>
      </c>
      <c r="CU126" s="17">
        <f>CT126*VLOOKUP('Données projet'!$B$13,Paramètres!$A$1:$I$89,3,0)*VLOOKUP('Données projet'!$B$13,Paramètres!$A$1:$I$89,5,0)</f>
        <v>1.3301360013429075E-13</v>
      </c>
      <c r="CV126" s="13">
        <f t="shared" si="95"/>
        <v>1.9329766731057041E-12</v>
      </c>
      <c r="CW126" s="20">
        <f t="shared" si="67"/>
        <v>3.5982663925596575E-12</v>
      </c>
      <c r="CX126" s="59">
        <f t="shared" si="68"/>
        <v>293.3333333333369</v>
      </c>
      <c r="CY126" s="59">
        <f ca="1">AVERAGE(OFFSET($CX$3,0,0,'Données projet'!$E$13+1,1))-AVERAGE(OFFSET($H$3,0,0,'Données projet'!$E$13+1,1))</f>
        <v>288.80569134263209</v>
      </c>
      <c r="CZ126" s="59">
        <f t="shared" si="96"/>
        <v>283.48738729114024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27.845479941246936</v>
      </c>
      <c r="DG126" s="21">
        <f>EXP(-LN(2)/25)*DG125+(1-EXP(-LN(2)/25))/(LN(2)/25)*Calculateur!DB126*Calculateur!DD126*VLOOKUP('Données projet'!$B$13,Paramètres!$A$1:$I$89,3,0)*0.475*44/12</f>
        <v>15.262312216833868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43.107792158080805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266.99999999999983</v>
      </c>
      <c r="DP126" s="17">
        <f>DO126*VLOOKUP('Données projet'!$B$14,Paramètres!$A$1:$I$89,3,0)*VLOOKUP('Données projet'!$B$14,Paramètres!$A$1:$I$89,5,0)</f>
        <v>212.42519999999985</v>
      </c>
      <c r="DQ126" s="13">
        <f t="shared" si="97"/>
        <v>52.465198231787184</v>
      </c>
      <c r="DR126" s="20">
        <f t="shared" si="70"/>
        <v>461.35077692036231</v>
      </c>
      <c r="DS126" s="59">
        <f t="shared" si="71"/>
        <v>754.68411025369562</v>
      </c>
      <c r="DT126" s="59">
        <f ca="1">AVERAGE(OFFSET($DS$3,0,0,'Données projet'!$E$14+1,1))-AVERAGE(OFFSET($H$3,0,0,'Données projet'!$E$14+1,1))</f>
        <v>299.10536994156814</v>
      </c>
      <c r="DU126" s="59">
        <f t="shared" si="98"/>
        <v>292.57799203101769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12.286402997245185</v>
      </c>
      <c r="EB126" s="21">
        <f>EXP(-LN(2)/25)*EB125+(1-EXP(-LN(2)/25))/(LN(2)/25)*Calculateur!DW126*Calculateur!DY126*VLOOKUP('Données projet'!$B$14,Paramètres!$A$1:$I$89,3,0)*0.475*44/12</f>
        <v>2.5282330793523324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14.814636076597518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2.3349358974358978</v>
      </c>
      <c r="N127" s="13">
        <f>IF('Données projet'!$A$36&gt;35,N126+M127-V126,IF(A127&lt;'Données projet'!$A$36,$K$205^A127,IF(A127='Données projet'!$A$36,'Données projet'!$B$36,N126+M127-V126)))</f>
        <v>147.79647435897488</v>
      </c>
      <c r="O127" s="13">
        <f>N127*VLOOKUP('Données projet'!$B$9,Paramètres!$A$1:$I$89,3,0)*VLOOKUP('Données projet'!$B$9,Paramètres!$A$1:$I$89,5,0)</f>
        <v>133.72625000000048</v>
      </c>
      <c r="P127" s="13">
        <f t="shared" si="87"/>
        <v>34.855965018185749</v>
      </c>
      <c r="Q127" s="20">
        <f t="shared" si="107"/>
        <v>293.61402449000764</v>
      </c>
      <c r="R127" s="59">
        <f t="shared" si="55"/>
        <v>586.94735782334101</v>
      </c>
      <c r="S127" s="59">
        <f ca="1">AVERAGE(OFFSET($R$3,0,0,'Données projet'!$E$9+1,1))-AVERAGE(OFFSET($H$3,0,0,'Données projet'!$E$9+1,1))</f>
        <v>384.05928630855732</v>
      </c>
      <c r="T127" s="59">
        <f t="shared" si="88"/>
        <v>279.93992813630513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126.59011523106703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126.59011523106703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2.5913461538461497</v>
      </c>
      <c r="AI127" s="13">
        <f>IF('Données projet'!$A$62&gt;35,AI126+AH127-AQ126,IF(A127&lt;'Données projet'!$A$62,$AF$205^A127,IF(A127='Données projet'!$A$62,'Données projet'!$B$62,AI126+AH127-AQ126)))</f>
        <v>98.030448717948914</v>
      </c>
      <c r="AJ127" s="13">
        <f>AI127*VLOOKUP('Données projet'!$B$10,Paramètres!$A$1:$I$89,3,0)*VLOOKUP('Données projet'!$B$10,Paramètres!$A$1:$I$89,5,0)</f>
        <v>84.110125000000181</v>
      </c>
      <c r="AK127" s="13">
        <f t="shared" si="89"/>
        <v>23.139182087878137</v>
      </c>
      <c r="AL127" s="20">
        <f t="shared" si="58"/>
        <v>186.79254317805476</v>
      </c>
      <c r="AM127" s="59">
        <f t="shared" si="59"/>
        <v>480.12587651138807</v>
      </c>
      <c r="AN127" s="59">
        <f ca="1">AVERAGE(OFFSET($AM$3,0,0,'Données projet'!$E$10+1,1))-AVERAGE(OFFSET($H$3,0,0,'Données projet'!$E$10+1,1))</f>
        <v>335.02113791949211</v>
      </c>
      <c r="AO127" s="59">
        <f t="shared" si="90"/>
        <v>222.06886429435099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73.803469480203148</v>
      </c>
      <c r="AV127" s="21">
        <f>EXP(-LN(2)/25)*AV126+(1-EXP(-LN(2)/25))/(LN(2)/25)*Calculateur!AQ127*Calculateur!AS127*VLOOKUP('Données projet'!$B$10,Paramètres!$A$1:$I$89,3,0)*0.475*44/12</f>
        <v>50.986448072108857</v>
      </c>
      <c r="AW127" s="21">
        <f>EXP(-LN(2)/2)*AW126+(1-EXP(-LN(2)/2))/(LN(2)/2)*AQ127*AT127*VLOOKUP('Données projet'!$B$10,Paramètres!$A$1:$I$89,3,0)*0.475*44/12</f>
        <v>1.4132194930326349</v>
      </c>
      <c r="AX127" s="21">
        <f t="shared" si="60"/>
        <v>126.20313704534465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5.3066239316239274</v>
      </c>
      <c r="BD127" s="12">
        <f>IF('Données projet'!$A$88&gt;35,BD126+BC127-BL126,IF(A127&lt;'Données projet'!$A$88,$BA$205^A127,IF(A127='Données projet'!$A$88,'Données projet'!$B$88,BD126+BC127-BL126)))</f>
        <v>272.98824786324741</v>
      </c>
      <c r="BE127" s="13">
        <f>BD127*VLOOKUP('Données projet'!$B$11,Paramètres!$A$1:$I$89,3,0)*VLOOKUP('Données projet'!$B$11,Paramètres!$A$1:$I$89,5,0)</f>
        <v>264.03423333333291</v>
      </c>
      <c r="BF127" s="13">
        <f t="shared" si="91"/>
        <v>63.581541360559179</v>
      </c>
      <c r="BG127" s="20">
        <f t="shared" si="61"/>
        <v>570.59747425852868</v>
      </c>
      <c r="BH127" s="59">
        <f t="shared" si="62"/>
        <v>863.93080759186205</v>
      </c>
      <c r="BI127" s="59">
        <f ca="1">AVERAGE(OFFSET($BH$3,0,0,'Données projet'!$E$11+1,1))-AVERAGE(OFFSET($H$3,0,0,'Données projet'!$E$11+1,1))</f>
        <v>366.51581861366333</v>
      </c>
      <c r="BJ127" s="59">
        <f t="shared" si="92"/>
        <v>225.01415116995503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30.693129060684338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30.693129060684338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204.00000000000017</v>
      </c>
      <c r="BZ127" s="13">
        <f>BY127*VLOOKUP('Données projet'!$B$12,Paramètres!$A$1:$I$89,3,0)*VLOOKUP('Données projet'!$B$12,Paramètres!$A$1:$I$89,5,0)</f>
        <v>133.66080000000011</v>
      </c>
      <c r="CA127" s="13">
        <f t="shared" si="93"/>
        <v>34.840890682716783</v>
      </c>
      <c r="CB127" s="20">
        <f t="shared" si="64"/>
        <v>293.4737779390652</v>
      </c>
      <c r="CC127" s="59">
        <f t="shared" si="65"/>
        <v>586.80711127239852</v>
      </c>
      <c r="CD127" s="59">
        <f ca="1">AVERAGE(OFFSET($CC$3,0,0,'Données projet'!$E$12+1,1))-AVERAGE(OFFSET($H$3,0,0,'Données projet'!$E$12+1,1))</f>
        <v>230.58262378842818</v>
      </c>
      <c r="CE127" s="59">
        <f t="shared" si="94"/>
        <v>235.68746142880792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0.97390092390857508</v>
      </c>
      <c r="CL127" s="21">
        <f>EXP(-LN(2)/25)*CL126+(1-EXP(-LN(2)/25))/(LN(2)/25)*Calculateur!CG127*Calculateur!CI127*VLOOKUP('Données projet'!$B$12,Paramètres!$A$1:$I$89,3,0)*0.475*44/12</f>
        <v>4.2028786992961988</v>
      </c>
      <c r="CM127" s="21">
        <f>EXP(-LN(2)/2)*CM126+(1-EXP(-LN(2)/2))/(LN(2)/2)*CG127*CJ127*VLOOKUP('Données projet'!$B$12,Paramètres!$A$1:$I$89,3,0)*0.475*44/12</f>
        <v>2.2713307701743267E-5</v>
      </c>
      <c r="CN127" s="22">
        <f t="shared" si="66"/>
        <v>5.1768023365124751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1.7053025658242404E-13</v>
      </c>
      <c r="CU127" s="17">
        <f>CT127*VLOOKUP('Données projet'!$B$13,Paramètres!$A$1:$I$89,3,0)*VLOOKUP('Données projet'!$B$13,Paramètres!$A$1:$I$89,5,0)</f>
        <v>1.3301360013429075E-13</v>
      </c>
      <c r="CV127" s="13">
        <f t="shared" si="95"/>
        <v>1.9329766731057041E-12</v>
      </c>
      <c r="CW127" s="20">
        <f t="shared" si="67"/>
        <v>3.5982663925596575E-12</v>
      </c>
      <c r="CX127" s="59">
        <f t="shared" si="68"/>
        <v>293.3333333333369</v>
      </c>
      <c r="CY127" s="59">
        <f ca="1">AVERAGE(OFFSET($CX$3,0,0,'Données projet'!$E$13+1,1))-AVERAGE(OFFSET($H$3,0,0,'Données projet'!$E$13+1,1))</f>
        <v>288.80569134263209</v>
      </c>
      <c r="CZ127" s="59">
        <f t="shared" si="96"/>
        <v>283.48738729114024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27.299447063664811</v>
      </c>
      <c r="DG127" s="21">
        <f>EXP(-LN(2)/25)*DG126+(1-EXP(-LN(2)/25))/(LN(2)/25)*Calculateur!DB127*Calculateur!DD127*VLOOKUP('Données projet'!$B$13,Paramètres!$A$1:$I$89,3,0)*0.475*44/12</f>
        <v>14.844963486654429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42.144410550319236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266.99999999999983</v>
      </c>
      <c r="DP127" s="17">
        <f>DO127*VLOOKUP('Données projet'!$B$14,Paramètres!$A$1:$I$89,3,0)*VLOOKUP('Données projet'!$B$14,Paramètres!$A$1:$I$89,5,0)</f>
        <v>212.42519999999985</v>
      </c>
      <c r="DQ127" s="13">
        <f t="shared" si="97"/>
        <v>52.465198231787184</v>
      </c>
      <c r="DR127" s="20">
        <f t="shared" si="70"/>
        <v>461.35077692036231</v>
      </c>
      <c r="DS127" s="59">
        <f t="shared" si="71"/>
        <v>754.68411025369562</v>
      </c>
      <c r="DT127" s="59">
        <f ca="1">AVERAGE(OFFSET($DS$3,0,0,'Données projet'!$E$14+1,1))-AVERAGE(OFFSET($H$3,0,0,'Données projet'!$E$14+1,1))</f>
        <v>299.10536994156814</v>
      </c>
      <c r="DU127" s="59">
        <f t="shared" si="98"/>
        <v>292.57799203101769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12.045474128435067</v>
      </c>
      <c r="EB127" s="21">
        <f>EXP(-LN(2)/25)*EB126+(1-EXP(-LN(2)/25))/(LN(2)/25)*Calculateur!DW127*Calculateur!DY127*VLOOKUP('Données projet'!$B$14,Paramètres!$A$1:$I$89,3,0)*0.475*44/12</f>
        <v>2.4590984128434434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14.504572541278511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2.3349358974358978</v>
      </c>
      <c r="N128" s="13">
        <f>IF('Données projet'!$A$36&gt;35,N127+M128-V127,IF(A128&lt;'Données projet'!$A$36,$K$205^A128,IF(A128='Données projet'!$A$36,'Données projet'!$B$36,N127+M128-V127)))</f>
        <v>150.13141025641079</v>
      </c>
      <c r="O128" s="13">
        <f>N128*VLOOKUP('Données projet'!$B$9,Paramètres!$A$1:$I$89,3,0)*VLOOKUP('Données projet'!$B$9,Paramètres!$A$1:$I$89,5,0)</f>
        <v>135.83890000000048</v>
      </c>
      <c r="P128" s="13">
        <f t="shared" si="87"/>
        <v>35.342088427890417</v>
      </c>
      <c r="Q128" s="20">
        <f t="shared" si="107"/>
        <v>298.14022151190994</v>
      </c>
      <c r="R128" s="59">
        <f t="shared" si="55"/>
        <v>591.47355484524326</v>
      </c>
      <c r="S128" s="59">
        <f ca="1">AVERAGE(OFFSET($R$3,0,0,'Données projet'!$E$9+1,1))-AVERAGE(OFFSET($H$3,0,0,'Données projet'!$E$9+1,1))</f>
        <v>384.05928630855732</v>
      </c>
      <c r="T128" s="59">
        <f t="shared" si="88"/>
        <v>279.93992813630513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124.10776028373201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124.10776028373201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100.62179487179486</v>
      </c>
      <c r="AG128" s="12">
        <f>VLOOKUP(A128,'Données projet'!$A$61:$I$81,9,0)</f>
        <v>2.5913461538461497</v>
      </c>
      <c r="AH128" s="12">
        <f t="array" ref="AH128">INDEX(AG:AG,MIN(IF(ISNUMBER(AG128:AG324),ROW(AG128:AG324),"")))</f>
        <v>2.5913461538461497</v>
      </c>
      <c r="AI128" s="13">
        <f>IF('Données projet'!$A$62&gt;35,AI127+AH128-AQ127,IF(A128&lt;'Données projet'!$A$62,$AF$205^A128,IF(A128='Données projet'!$A$62,'Données projet'!$B$62,AI127+AH128-AQ127)))</f>
        <v>100.62179487179506</v>
      </c>
      <c r="AJ128" s="13">
        <f>AI128*VLOOKUP('Données projet'!$B$10,Paramètres!$A$1:$I$89,3,0)*VLOOKUP('Données projet'!$B$10,Paramètres!$A$1:$I$89,5,0)</f>
        <v>86.333500000000171</v>
      </c>
      <c r="AK128" s="13">
        <f t="shared" si="89"/>
        <v>23.678824384070392</v>
      </c>
      <c r="AL128" s="20">
        <f t="shared" si="58"/>
        <v>191.60479830225623</v>
      </c>
      <c r="AM128" s="59">
        <f t="shared" si="59"/>
        <v>484.93813163558957</v>
      </c>
      <c r="AN128" s="59">
        <f ca="1">AVERAGE(OFFSET($AM$3,0,0,'Données projet'!$E$10+1,1))-AVERAGE(OFFSET($H$3,0,0,'Données projet'!$E$10+1,1))</f>
        <v>335.02113791949211</v>
      </c>
      <c r="AO128" s="59">
        <f t="shared" si="90"/>
        <v>222.06886429435099</v>
      </c>
      <c r="AP128" s="15">
        <f>IF(ISNA(VLOOKUP(A128,'Données projet'!$A$61:$I$81,3,0)),0,VLOOKUP(A128,'Données projet'!$A$61:$I$81,3,0))</f>
        <v>12</v>
      </c>
      <c r="AQ128" s="15">
        <f>IF(ISNA(VLOOKUP(A128,'Données projet'!$A$61:$I$81,4,0)),0,VLOOKUP(A128,'Données projet'!$A$61:$I$81,4,0))</f>
        <v>100.62179487179486</v>
      </c>
      <c r="AR128" s="16">
        <f>IF(ISNA(VLOOKUP(A128,'Données projet'!$A$61:$I$81,5,0)),0%,VLOOKUP(A128,'Données projet'!$A$61:$I$81,5,0)*VLOOKUP('Données projet'!$B$10,Paramètres!$A$1:$I$89,7,0))</f>
        <v>0.318</v>
      </c>
      <c r="AS128" s="16">
        <f>IF(ISNA(VLOOKUP(A128,'Données projet'!$A$61:$I$81,6,0)),0%,VLOOKUP(A128,'Données projet'!$A$61:$I$81,6,0)*VLOOKUP('Données projet'!$B$10,Paramètres!$A$1:$I$89,7,0))</f>
        <v>0.1855</v>
      </c>
      <c r="AT128" s="16">
        <f>IF(ISNA(VLOOKUP(A128,'Données projet'!$A$61:$I$81,7,0)),0%,VLOOKUP(A128,'Données projet'!$A$61:$I$81,7,0))</f>
        <v>0.05</v>
      </c>
      <c r="AU128" s="21">
        <f>EXP(-LN(2)/35)*AU127+(1-EXP(-LN(2)/35))/(LN(2)/35)*AQ128*AR128*VLOOKUP('Données projet'!$B$10,Paramètres!$A$1:$I$89,3,0)*0.475*44/12</f>
        <v>102.70587084899554</v>
      </c>
      <c r="AV128" s="21">
        <f>EXP(-LN(2)/25)*AV127+(1-EXP(-LN(2)/25))/(LN(2)/25)*Calculateur!AQ128*Calculateur!AS128*VLOOKUP('Données projet'!$B$10,Paramètres!$A$1:$I$89,3,0)*0.475*44/12</f>
        <v>67.226471800310918</v>
      </c>
      <c r="AW128" s="21">
        <f>EXP(-LN(2)/2)*AW127+(1-EXP(-LN(2)/2))/(LN(2)/2)*AQ128*AT128*VLOOKUP('Données projet'!$B$10,Paramètres!$A$1:$I$89,3,0)*0.475*44/12</f>
        <v>5.0721961309326051</v>
      </c>
      <c r="AX128" s="21">
        <f t="shared" si="60"/>
        <v>175.00453878023907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278.29487179487177</v>
      </c>
      <c r="BB128" s="12">
        <f>VLOOKUP(A128,'Données projet'!$A$87:$I$107,9,0)</f>
        <v>5.3066239316239274</v>
      </c>
      <c r="BC128" s="12">
        <f t="array" ref="BC128">INDEX(BB:BB,MIN(IF(ISNUMBER(BB128:BB324),ROW(BB128:BB324),"")))</f>
        <v>5.3066239316239274</v>
      </c>
      <c r="BD128" s="12">
        <f>IF('Données projet'!$A$88&gt;35,BD127+BC128-BL127,IF(A128&lt;'Données projet'!$A$88,$BA$205^A128,IF(A128='Données projet'!$A$88,'Données projet'!$B$88,BD127+BC128-BL127)))</f>
        <v>278.29487179487131</v>
      </c>
      <c r="BE128" s="13">
        <f>BD128*VLOOKUP('Données projet'!$B$11,Paramètres!$A$1:$I$89,3,0)*VLOOKUP('Données projet'!$B$11,Paramètres!$A$1:$I$89,5,0)</f>
        <v>269.16679999999957</v>
      </c>
      <c r="BF128" s="13">
        <f t="shared" si="91"/>
        <v>64.672411424632728</v>
      </c>
      <c r="BG128" s="20">
        <f t="shared" si="61"/>
        <v>581.43662656456797</v>
      </c>
      <c r="BH128" s="59">
        <f t="shared" si="62"/>
        <v>874.76995989790134</v>
      </c>
      <c r="BI128" s="59">
        <f ca="1">AVERAGE(OFFSET($BH$3,0,0,'Données projet'!$E$11+1,1))-AVERAGE(OFFSET($H$3,0,0,'Données projet'!$E$11+1,1))</f>
        <v>366.51581861366333</v>
      </c>
      <c r="BJ128" s="59">
        <f t="shared" si="92"/>
        <v>225.01415116995503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48.160256410256409</v>
      </c>
      <c r="BM128" s="16">
        <f>IF(ISNA(VLOOKUP(A128,'Données projet'!$A$87:$I$107,5,0)),0%,VLOOKUP(A128,'Données projet'!$A$87:$I$107,5,0)*VLOOKUP('Données projet'!$B$11,Paramètres!$A$1:$I$89,7,0))</f>
        <v>0.30099999999999999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45.590791062587137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45.590791062587137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204.00000000000017</v>
      </c>
      <c r="BZ128" s="13">
        <f>BY128*VLOOKUP('Données projet'!$B$12,Paramètres!$A$1:$I$89,3,0)*VLOOKUP('Données projet'!$B$12,Paramètres!$A$1:$I$89,5,0)</f>
        <v>133.66080000000011</v>
      </c>
      <c r="CA128" s="13">
        <f t="shared" si="93"/>
        <v>34.840890682716783</v>
      </c>
      <c r="CB128" s="20">
        <f t="shared" si="64"/>
        <v>293.4737779390652</v>
      </c>
      <c r="CC128" s="59">
        <f t="shared" si="65"/>
        <v>586.80711127239852</v>
      </c>
      <c r="CD128" s="59">
        <f ca="1">AVERAGE(OFFSET($CC$3,0,0,'Données projet'!$E$12+1,1))-AVERAGE(OFFSET($H$3,0,0,'Données projet'!$E$12+1,1))</f>
        <v>230.58262378842818</v>
      </c>
      <c r="CE128" s="59">
        <f t="shared" si="94"/>
        <v>235.68746142880792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0.95480332081163677</v>
      </c>
      <c r="CL128" s="21">
        <f>EXP(-LN(2)/25)*CL127+(1-EXP(-LN(2)/25))/(LN(2)/25)*Calculateur!CG128*Calculateur!CI128*VLOOKUP('Données projet'!$B$12,Paramètres!$A$1:$I$89,3,0)*0.475*44/12</f>
        <v>4.0879507602441594</v>
      </c>
      <c r="CM128" s="21">
        <f>EXP(-LN(2)/2)*CM127+(1-EXP(-LN(2)/2))/(LN(2)/2)*CG128*CJ128*VLOOKUP('Données projet'!$B$12,Paramètres!$A$1:$I$89,3,0)*0.475*44/12</f>
        <v>1.6060733899079301E-5</v>
      </c>
      <c r="CN128" s="22">
        <f t="shared" si="66"/>
        <v>5.0427701417896955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1.7053025658242404E-13</v>
      </c>
      <c r="CU128" s="17">
        <f>CT128*VLOOKUP('Données projet'!$B$13,Paramètres!$A$1:$I$89,3,0)*VLOOKUP('Données projet'!$B$13,Paramètres!$A$1:$I$89,5,0)</f>
        <v>1.3301360013429075E-13</v>
      </c>
      <c r="CV128" s="13">
        <f t="shared" si="95"/>
        <v>1.9329766731057041E-12</v>
      </c>
      <c r="CW128" s="20">
        <f t="shared" si="67"/>
        <v>3.5982663925596575E-12</v>
      </c>
      <c r="CX128" s="59">
        <f t="shared" si="68"/>
        <v>293.3333333333369</v>
      </c>
      <c r="CY128" s="59">
        <f ca="1">AVERAGE(OFFSET($CX$3,0,0,'Données projet'!$E$13+1,1))-AVERAGE(OFFSET($H$3,0,0,'Données projet'!$E$13+1,1))</f>
        <v>288.80569134263209</v>
      </c>
      <c r="CZ128" s="59">
        <f t="shared" si="96"/>
        <v>283.48738729114024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26.764121557764902</v>
      </c>
      <c r="DG128" s="21">
        <f>EXP(-LN(2)/25)*DG127+(1-EXP(-LN(2)/25))/(LN(2)/25)*Calculateur!DB128*Calculateur!DD128*VLOOKUP('Données projet'!$B$13,Paramètres!$A$1:$I$89,3,0)*0.475*44/12</f>
        <v>14.439027179449162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41.203148737214065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266.99999999999983</v>
      </c>
      <c r="DP128" s="17">
        <f>DO128*VLOOKUP('Données projet'!$B$14,Paramètres!$A$1:$I$89,3,0)*VLOOKUP('Données projet'!$B$14,Paramètres!$A$1:$I$89,5,0)</f>
        <v>212.42519999999985</v>
      </c>
      <c r="DQ128" s="13">
        <f t="shared" si="97"/>
        <v>52.465198231787184</v>
      </c>
      <c r="DR128" s="20">
        <f t="shared" si="70"/>
        <v>461.35077692036231</v>
      </c>
      <c r="DS128" s="59">
        <f t="shared" si="71"/>
        <v>754.68411025369562</v>
      </c>
      <c r="DT128" s="59">
        <f ca="1">AVERAGE(OFFSET($DS$3,0,0,'Données projet'!$E$14+1,1))-AVERAGE(OFFSET($H$3,0,0,'Données projet'!$E$14+1,1))</f>
        <v>299.10536994156814</v>
      </c>
      <c r="DU128" s="59">
        <f t="shared" si="98"/>
        <v>292.57799203101769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11.809269727790216</v>
      </c>
      <c r="EB128" s="21">
        <f>EXP(-LN(2)/25)*EB127+(1-EXP(-LN(2)/25))/(LN(2)/25)*Calculateur!DW128*Calculateur!DY128*VLOOKUP('Données projet'!$B$14,Paramètres!$A$1:$I$89,3,0)*0.475*44/12</f>
        <v>2.3918542374258744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14.201123965216091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2.3349358974358978</v>
      </c>
      <c r="N129" s="13">
        <f>IF('Données projet'!$A$36&gt;35,N128+M129-V128,IF(A129&lt;'Données projet'!$A$36,$K$205^A129,IF(A129='Données projet'!$A$36,'Données projet'!$B$36,N128+M129-V128)))</f>
        <v>152.4663461538467</v>
      </c>
      <c r="O129" s="13">
        <f>N129*VLOOKUP('Données projet'!$B$9,Paramètres!$A$1:$I$89,3,0)*VLOOKUP('Données projet'!$B$9,Paramètres!$A$1:$I$89,5,0)</f>
        <v>137.95155000000048</v>
      </c>
      <c r="P129" s="13">
        <f t="shared" si="87"/>
        <v>35.827332555199952</v>
      </c>
      <c r="Q129" s="20">
        <f t="shared" si="107"/>
        <v>302.66488711697406</v>
      </c>
      <c r="R129" s="59">
        <f t="shared" si="55"/>
        <v>595.99822045030737</v>
      </c>
      <c r="S129" s="59">
        <f ca="1">AVERAGE(OFFSET($R$3,0,0,'Données projet'!$E$9+1,1))-AVERAGE(OFFSET($H$3,0,0,'Données projet'!$E$9+1,1))</f>
        <v>384.05928630855732</v>
      </c>
      <c r="T129" s="59">
        <f t="shared" si="88"/>
        <v>279.93992813630513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121.67408280282721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121.67408280282721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1.9895196601282805E-13</v>
      </c>
      <c r="AJ129" s="13">
        <f>AI129*VLOOKUP('Données projet'!$B$10,Paramètres!$A$1:$I$89,3,0)*VLOOKUP('Données projet'!$B$10,Paramètres!$A$1:$I$89,5,0)</f>
        <v>1.707007868390065E-13</v>
      </c>
      <c r="AK129" s="13">
        <f t="shared" si="89"/>
        <v>2.4096578055149408E-12</v>
      </c>
      <c r="AL129" s="20">
        <f t="shared" si="58"/>
        <v>4.4941245483497909E-12</v>
      </c>
      <c r="AM129" s="59">
        <f t="shared" si="59"/>
        <v>293.33333333333781</v>
      </c>
      <c r="AN129" s="59">
        <f ca="1">AVERAGE(OFFSET($AM$3,0,0,'Données projet'!$E$10+1,1))-AVERAGE(OFFSET($H$3,0,0,'Données projet'!$E$10+1,1))</f>
        <v>335.02113791949211</v>
      </c>
      <c r="AO129" s="59">
        <f t="shared" si="90"/>
        <v>222.06886429435099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100.69187136604234</v>
      </c>
      <c r="AV129" s="21">
        <f>EXP(-LN(2)/25)*AV128+(1-EXP(-LN(2)/25))/(LN(2)/25)*Calculateur!AQ129*Calculateur!AS129*VLOOKUP('Données projet'!$B$10,Paramètres!$A$1:$I$89,3,0)*0.475*44/12</f>
        <v>65.38816039364491</v>
      </c>
      <c r="AW129" s="21">
        <f>EXP(-LN(2)/2)*AW128+(1-EXP(-LN(2)/2))/(LN(2)/2)*AQ129*AT129*VLOOKUP('Données projet'!$B$10,Paramètres!$A$1:$I$89,3,0)*0.475*44/12</f>
        <v>3.5865842796906149</v>
      </c>
      <c r="AX129" s="21">
        <f t="shared" si="60"/>
        <v>169.66661603937786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5.2446581196581219</v>
      </c>
      <c r="BD129" s="12">
        <f>IF('Données projet'!$A$88&gt;35,BD128+BC129-BL128,IF(A129&lt;'Données projet'!$A$88,$BA$205^A129,IF(A129='Données projet'!$A$88,'Données projet'!$B$88,BD128+BC129-BL128)))</f>
        <v>235.37927350427304</v>
      </c>
      <c r="BE129" s="13">
        <f>BD129*VLOOKUP('Données projet'!$B$11,Paramètres!$A$1:$I$89,3,0)*VLOOKUP('Données projet'!$B$11,Paramètres!$A$1:$I$89,5,0)</f>
        <v>227.65883333333289</v>
      </c>
      <c r="BF129" s="13">
        <f t="shared" si="91"/>
        <v>55.776165528866244</v>
      </c>
      <c r="BG129" s="20">
        <f t="shared" si="61"/>
        <v>493.6492896849968</v>
      </c>
      <c r="BH129" s="59">
        <f t="shared" si="62"/>
        <v>786.98262301833006</v>
      </c>
      <c r="BI129" s="59">
        <f ca="1">AVERAGE(OFFSET($BH$3,0,0,'Données projet'!$E$11+1,1))-AVERAGE(OFFSET($H$3,0,0,'Données projet'!$E$11+1,1))</f>
        <v>366.51581861366333</v>
      </c>
      <c r="BJ129" s="59">
        <f t="shared" si="92"/>
        <v>225.01415116995503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44.696783457486575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44.696783457486575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204.00000000000017</v>
      </c>
      <c r="BZ129" s="13">
        <f>BY129*VLOOKUP('Données projet'!$B$12,Paramètres!$A$1:$I$89,3,0)*VLOOKUP('Données projet'!$B$12,Paramètres!$A$1:$I$89,5,0)</f>
        <v>133.66080000000011</v>
      </c>
      <c r="CA129" s="13">
        <f t="shared" si="93"/>
        <v>34.840890682716783</v>
      </c>
      <c r="CB129" s="20">
        <f t="shared" si="64"/>
        <v>293.4737779390652</v>
      </c>
      <c r="CC129" s="59">
        <f t="shared" si="65"/>
        <v>586.80711127239852</v>
      </c>
      <c r="CD129" s="59">
        <f ca="1">AVERAGE(OFFSET($CC$3,0,0,'Données projet'!$E$12+1,1))-AVERAGE(OFFSET($H$3,0,0,'Données projet'!$E$12+1,1))</f>
        <v>230.58262378842818</v>
      </c>
      <c r="CE129" s="59">
        <f t="shared" si="94"/>
        <v>235.68746142880792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0.93608021006304176</v>
      </c>
      <c r="CL129" s="21">
        <f>EXP(-LN(2)/25)*CL128+(1-EXP(-LN(2)/25))/(LN(2)/25)*Calculateur!CG129*Calculateur!CI129*VLOOKUP('Données projet'!$B$12,Paramètres!$A$1:$I$89,3,0)*0.475*44/12</f>
        <v>3.9761655317292957</v>
      </c>
      <c r="CM129" s="21">
        <f>EXP(-LN(2)/2)*CM128+(1-EXP(-LN(2)/2))/(LN(2)/2)*CG129*CJ129*VLOOKUP('Données projet'!$B$12,Paramètres!$A$1:$I$89,3,0)*0.475*44/12</f>
        <v>1.1356653850871633E-5</v>
      </c>
      <c r="CN129" s="22">
        <f t="shared" si="66"/>
        <v>4.9122570984461884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1.7053025658242404E-13</v>
      </c>
      <c r="CU129" s="17">
        <f>CT129*VLOOKUP('Données projet'!$B$13,Paramètres!$A$1:$I$89,3,0)*VLOOKUP('Données projet'!$B$13,Paramètres!$A$1:$I$89,5,0)</f>
        <v>1.3301360013429075E-13</v>
      </c>
      <c r="CV129" s="13">
        <f t="shared" si="95"/>
        <v>1.9329766731057041E-12</v>
      </c>
      <c r="CW129" s="20">
        <f t="shared" si="67"/>
        <v>3.5982663925596575E-12</v>
      </c>
      <c r="CX129" s="59">
        <f t="shared" si="68"/>
        <v>293.3333333333369</v>
      </c>
      <c r="CY129" s="59">
        <f ca="1">AVERAGE(OFFSET($CX$3,0,0,'Données projet'!$E$13+1,1))-AVERAGE(OFFSET($H$3,0,0,'Données projet'!$E$13+1,1))</f>
        <v>288.80569134263209</v>
      </c>
      <c r="CZ129" s="59">
        <f t="shared" si="96"/>
        <v>283.48738729114024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26.239293458519374</v>
      </c>
      <c r="DG129" s="21">
        <f>EXP(-LN(2)/25)*DG128+(1-EXP(-LN(2)/25))/(LN(2)/25)*Calculateur!DB129*Calculateur!DD129*VLOOKUP('Données projet'!$B$13,Paramètres!$A$1:$I$89,3,0)*0.475*44/12</f>
        <v>14.044191221911687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40.283484680431059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266.99999999999983</v>
      </c>
      <c r="DP129" s="17">
        <f>DO129*VLOOKUP('Données projet'!$B$14,Paramètres!$A$1:$I$89,3,0)*VLOOKUP('Données projet'!$B$14,Paramètres!$A$1:$I$89,5,0)</f>
        <v>212.42519999999985</v>
      </c>
      <c r="DQ129" s="13">
        <f t="shared" si="97"/>
        <v>52.465198231787184</v>
      </c>
      <c r="DR129" s="20">
        <f t="shared" si="70"/>
        <v>461.35077692036231</v>
      </c>
      <c r="DS129" s="59">
        <f t="shared" si="71"/>
        <v>754.68411025369562</v>
      </c>
      <c r="DT129" s="59">
        <f ca="1">AVERAGE(OFFSET($DS$3,0,0,'Données projet'!$E$14+1,1))-AVERAGE(OFFSET($H$3,0,0,'Données projet'!$E$14+1,1))</f>
        <v>299.10536994156814</v>
      </c>
      <c r="DU129" s="59">
        <f t="shared" si="98"/>
        <v>292.57799203101769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11.577697151371552</v>
      </c>
      <c r="EB129" s="21">
        <f>EXP(-LN(2)/25)*EB128+(1-EXP(-LN(2)/25))/(LN(2)/25)*Calculateur!DW129*Calculateur!DY129*VLOOKUP('Données projet'!$B$14,Paramètres!$A$1:$I$89,3,0)*0.475*44/12</f>
        <v>2.3264488575213162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13.904146008892869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154.80128205128204</v>
      </c>
      <c r="L130" s="12">
        <f>VLOOKUP(A130,'Données projet'!$A$35:$I$55,9,0)</f>
        <v>2.3349358974358978</v>
      </c>
      <c r="M130" s="12">
        <f t="array" ref="M130">INDEX(L:L,MIN(IF(ISNUMBER(L130:L326),ROW(L130:L326),"")))</f>
        <v>2.3349358974358978</v>
      </c>
      <c r="N130" s="13">
        <f>IF('Données projet'!$A$36&gt;35,N129+M130-V129,IF(A130&lt;'Données projet'!$A$36,$K$205^A130,IF(A130='Données projet'!$A$36,'Données projet'!$B$36,N129+M130-V129)))</f>
        <v>154.80128205128261</v>
      </c>
      <c r="O130" s="13">
        <f>N130*VLOOKUP('Données projet'!$B$9,Paramètres!$A$1:$I$89,3,0)*VLOOKUP('Données projet'!$B$9,Paramètres!$A$1:$I$89,5,0)</f>
        <v>140.06420000000051</v>
      </c>
      <c r="P130" s="13">
        <f t="shared" si="87"/>
        <v>36.311712421027522</v>
      </c>
      <c r="Q130" s="20">
        <f t="shared" si="107"/>
        <v>307.1880474666238</v>
      </c>
      <c r="R130" s="59">
        <f t="shared" si="55"/>
        <v>600.52138079995711</v>
      </c>
      <c r="S130" s="59">
        <f ca="1">AVERAGE(OFFSET($R$3,0,0,'Données projet'!$E$9+1,1))-AVERAGE(OFFSET($H$3,0,0,'Données projet'!$E$9+1,1))</f>
        <v>384.05928630855732</v>
      </c>
      <c r="T130" s="59">
        <f t="shared" si="88"/>
        <v>279.93992813630513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49.916666666666671</v>
      </c>
      <c r="W130" s="16">
        <f>IF(ISNA(VLOOKUP(A130,'Données projet'!$A$35:$I$55,5,0)),0%,VLOOKUP(A130,'Données projet'!$A$35:$I$55,5,0)*VLOOKUP('Données projet'!$B$9,Paramètres!$A$1:$I$89,7,0))</f>
        <v>0.38700000000000001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138.61031359676292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138.61031359676292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1.9895196601282805E-13</v>
      </c>
      <c r="AJ130" s="13">
        <f>AI130*VLOOKUP('Données projet'!$B$10,Paramètres!$A$1:$I$89,3,0)*VLOOKUP('Données projet'!$B$10,Paramètres!$A$1:$I$89,5,0)</f>
        <v>1.707007868390065E-13</v>
      </c>
      <c r="AK130" s="13">
        <f t="shared" si="89"/>
        <v>2.4096578055149408E-12</v>
      </c>
      <c r="AL130" s="20">
        <f t="shared" si="58"/>
        <v>4.4941245483497909E-12</v>
      </c>
      <c r="AM130" s="59">
        <f t="shared" si="59"/>
        <v>293.33333333333781</v>
      </c>
      <c r="AN130" s="59">
        <f ca="1">AVERAGE(OFFSET($AM$3,0,0,'Données projet'!$E$10+1,1))-AVERAGE(OFFSET($H$3,0,0,'Données projet'!$E$10+1,1))</f>
        <v>335.02113791949211</v>
      </c>
      <c r="AO130" s="59">
        <f t="shared" si="90"/>
        <v>222.06886429435099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98.717365184531459</v>
      </c>
      <c r="AV130" s="21">
        <f>EXP(-LN(2)/25)*AV129+(1-EXP(-LN(2)/25))/(LN(2)/25)*Calculateur!AQ130*Calculateur!AS130*VLOOKUP('Données projet'!$B$10,Paramètres!$A$1:$I$89,3,0)*0.475*44/12</f>
        <v>63.60011770906678</v>
      </c>
      <c r="AW130" s="21">
        <f>EXP(-LN(2)/2)*AW129+(1-EXP(-LN(2)/2))/(LN(2)/2)*AQ130*AT130*VLOOKUP('Données projet'!$B$10,Paramètres!$A$1:$I$89,3,0)*0.475*44/12</f>
        <v>2.536098065466303</v>
      </c>
      <c r="AX130" s="21">
        <f t="shared" si="60"/>
        <v>164.85358095906454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5.2446581196581219</v>
      </c>
      <c r="BD130" s="12">
        <f>IF('Données projet'!$A$88&gt;35,BD129+BC130-BL129,IF(A130&lt;'Données projet'!$A$88,$BA$205^A130,IF(A130='Données projet'!$A$88,'Données projet'!$B$88,BD129+BC130-BL129)))</f>
        <v>240.62393162393116</v>
      </c>
      <c r="BE130" s="13">
        <f>BD130*VLOOKUP('Données projet'!$B$11,Paramètres!$A$1:$I$89,3,0)*VLOOKUP('Données projet'!$B$11,Paramètres!$A$1:$I$89,5,0)</f>
        <v>232.73146666666622</v>
      </c>
      <c r="BF130" s="13">
        <f t="shared" si="91"/>
        <v>56.872882063392389</v>
      </c>
      <c r="BG130" s="20">
        <f t="shared" si="61"/>
        <v>504.39424070485211</v>
      </c>
      <c r="BH130" s="59">
        <f t="shared" si="62"/>
        <v>797.72757403818537</v>
      </c>
      <c r="BI130" s="59">
        <f ca="1">AVERAGE(OFFSET($BH$3,0,0,'Données projet'!$E$11+1,1))-AVERAGE(OFFSET($H$3,0,0,'Données projet'!$E$11+1,1))</f>
        <v>366.51581861366333</v>
      </c>
      <c r="BJ130" s="59">
        <f t="shared" si="92"/>
        <v>225.01415116995503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43.820306796231236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43.820306796231236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204.00000000000017</v>
      </c>
      <c r="BZ130" s="13">
        <f>BY130*VLOOKUP('Données projet'!$B$12,Paramètres!$A$1:$I$89,3,0)*VLOOKUP('Données projet'!$B$12,Paramètres!$A$1:$I$89,5,0)</f>
        <v>133.66080000000011</v>
      </c>
      <c r="CA130" s="13">
        <f t="shared" si="93"/>
        <v>34.840890682716783</v>
      </c>
      <c r="CB130" s="20">
        <f t="shared" si="64"/>
        <v>293.4737779390652</v>
      </c>
      <c r="CC130" s="59">
        <f t="shared" si="65"/>
        <v>586.80711127239852</v>
      </c>
      <c r="CD130" s="59">
        <f ca="1">AVERAGE(OFFSET($CC$3,0,0,'Données projet'!$E$12+1,1))-AVERAGE(OFFSET($H$3,0,0,'Données projet'!$E$12+1,1))</f>
        <v>230.58262378842818</v>
      </c>
      <c r="CE130" s="59">
        <f t="shared" si="94"/>
        <v>235.68746142880792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0.91772424809625675</v>
      </c>
      <c r="CL130" s="21">
        <f>EXP(-LN(2)/25)*CL129+(1-EXP(-LN(2)/25))/(LN(2)/25)*Calculateur!CG130*Calculateur!CI130*VLOOKUP('Données projet'!$B$12,Paramètres!$A$1:$I$89,3,0)*0.475*44/12</f>
        <v>3.8674370761667003</v>
      </c>
      <c r="CM130" s="21">
        <f>EXP(-LN(2)/2)*CM129+(1-EXP(-LN(2)/2))/(LN(2)/2)*CG130*CJ130*VLOOKUP('Données projet'!$B$12,Paramètres!$A$1:$I$89,3,0)*0.475*44/12</f>
        <v>8.0303669495396503E-6</v>
      </c>
      <c r="CN130" s="22">
        <f t="shared" si="66"/>
        <v>4.7851693546299066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1.7053025658242404E-13</v>
      </c>
      <c r="CU130" s="17">
        <f>CT130*VLOOKUP('Données projet'!$B$13,Paramètres!$A$1:$I$89,3,0)*VLOOKUP('Données projet'!$B$13,Paramètres!$A$1:$I$89,5,0)</f>
        <v>1.3301360013429075E-13</v>
      </c>
      <c r="CV130" s="13">
        <f t="shared" si="95"/>
        <v>1.9329766731057041E-12</v>
      </c>
      <c r="CW130" s="20">
        <f t="shared" si="67"/>
        <v>3.5982663925596575E-12</v>
      </c>
      <c r="CX130" s="59">
        <f t="shared" si="68"/>
        <v>293.3333333333369</v>
      </c>
      <c r="CY130" s="59">
        <f ca="1">AVERAGE(OFFSET($CX$3,0,0,'Données projet'!$E$13+1,1))-AVERAGE(OFFSET($H$3,0,0,'Données projet'!$E$13+1,1))</f>
        <v>288.80569134263209</v>
      </c>
      <c r="CZ130" s="59">
        <f t="shared" si="96"/>
        <v>283.48738729114024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25.724756918186515</v>
      </c>
      <c r="DG130" s="21">
        <f>EXP(-LN(2)/25)*DG129+(1-EXP(-LN(2)/25))/(LN(2)/25)*Calculateur!DB130*Calculateur!DD130*VLOOKUP('Données projet'!$B$13,Paramètres!$A$1:$I$89,3,0)*0.475*44/12</f>
        <v>13.660152074396594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39.384908992583107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266.99999999999983</v>
      </c>
      <c r="DP130" s="17">
        <f>DO130*VLOOKUP('Données projet'!$B$14,Paramètres!$A$1:$I$89,3,0)*VLOOKUP('Données projet'!$B$14,Paramètres!$A$1:$I$89,5,0)</f>
        <v>212.42519999999985</v>
      </c>
      <c r="DQ130" s="13">
        <f t="shared" si="97"/>
        <v>52.465198231787184</v>
      </c>
      <c r="DR130" s="20">
        <f t="shared" si="70"/>
        <v>461.35077692036231</v>
      </c>
      <c r="DS130" s="59">
        <f t="shared" si="71"/>
        <v>754.68411025369562</v>
      </c>
      <c r="DT130" s="59">
        <f ca="1">AVERAGE(OFFSET($DS$3,0,0,'Données projet'!$E$14+1,1))-AVERAGE(OFFSET($H$3,0,0,'Données projet'!$E$14+1,1))</f>
        <v>299.10536994156814</v>
      </c>
      <c r="DU130" s="59">
        <f t="shared" si="98"/>
        <v>292.57799203101769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11.350665571931133</v>
      </c>
      <c r="EB130" s="21">
        <f>EXP(-LN(2)/25)*EB129+(1-EXP(-LN(2)/25))/(LN(2)/25)*Calculateur!DW130*Calculateur!DY130*VLOOKUP('Données projet'!$B$14,Paramètres!$A$1:$I$89,3,0)*0.475*44/12</f>
        <v>2.2628319911697674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13.6134975631009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1.5064102564102591</v>
      </c>
      <c r="N131" s="13">
        <f>IF('Données projet'!$A$36&gt;35,N130+M131-V130,IF(A131&lt;'Données projet'!$A$36,$K$205^A131,IF(A131='Données projet'!$A$36,'Données projet'!$B$36,N130+M131-V130)))</f>
        <v>106.39102564102619</v>
      </c>
      <c r="O131" s="13">
        <f>N131*VLOOKUP('Données projet'!$B$9,Paramètres!$A$1:$I$89,3,0)*VLOOKUP('Données projet'!$B$9,Paramètres!$A$1:$I$89,5,0)</f>
        <v>96.262600000000489</v>
      </c>
      <c r="P131" s="13">
        <f t="shared" si="87"/>
        <v>26.069649320395936</v>
      </c>
      <c r="Q131" s="20">
        <f t="shared" ref="Q131:Q153" si="108">(O131+P131)*0.475*44/12</f>
        <v>213.06200089969045</v>
      </c>
      <c r="R131" s="59">
        <f t="shared" ref="R131:R194" si="109">Q131+(I131+J131)*44/12</f>
        <v>506.39533423302373</v>
      </c>
      <c r="S131" s="59">
        <f ca="1">AVERAGE(OFFSET($R$3,0,0,'Données projet'!$E$9+1,1))-AVERAGE(OFFSET($H$3,0,0,'Données projet'!$E$9+1,1))</f>
        <v>384.05928630855732</v>
      </c>
      <c r="T131" s="59">
        <f t="shared" si="88"/>
        <v>279.93992813630513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135.89224989107367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135.89224989107367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1.9895196601282805E-13</v>
      </c>
      <c r="AJ131" s="13">
        <f>AI131*VLOOKUP('Données projet'!$B$10,Paramètres!$A$1:$I$89,3,0)*VLOOKUP('Données projet'!$B$10,Paramètres!$A$1:$I$89,5,0)</f>
        <v>1.707007868390065E-13</v>
      </c>
      <c r="AK131" s="13">
        <f t="shared" si="89"/>
        <v>2.4096578055149408E-12</v>
      </c>
      <c r="AL131" s="20">
        <f t="shared" si="58"/>
        <v>4.4941245483497909E-12</v>
      </c>
      <c r="AM131" s="59">
        <f t="shared" si="59"/>
        <v>293.33333333333781</v>
      </c>
      <c r="AN131" s="59">
        <f ca="1">AVERAGE(OFFSET($AM$3,0,0,'Données projet'!$E$10+1,1))-AVERAGE(OFFSET($H$3,0,0,'Données projet'!$E$10+1,1))</f>
        <v>335.02113791949211</v>
      </c>
      <c r="AO131" s="59">
        <f t="shared" si="90"/>
        <v>222.06886429435099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96.781577864910147</v>
      </c>
      <c r="AV131" s="21">
        <f>EXP(-LN(2)/25)*AV130+(1-EXP(-LN(2)/25))/(LN(2)/25)*Calculateur!AQ131*Calculateur!AS131*VLOOKUP('Données projet'!$B$10,Paramètres!$A$1:$I$89,3,0)*0.475*44/12</f>
        <v>61.860969145727516</v>
      </c>
      <c r="AW131" s="21">
        <f>EXP(-LN(2)/2)*AW130+(1-EXP(-LN(2)/2))/(LN(2)/2)*AQ131*AT131*VLOOKUP('Données projet'!$B$10,Paramètres!$A$1:$I$89,3,0)*0.475*44/12</f>
        <v>1.7932921398453077</v>
      </c>
      <c r="AX131" s="21">
        <f t="shared" si="60"/>
        <v>160.43583915048296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5.2446581196581219</v>
      </c>
      <c r="BD131" s="12">
        <f>IF('Données projet'!$A$88&gt;35,BD130+BC131-BL130,IF(A131&lt;'Données projet'!$A$88,$BA$205^A131,IF(A131='Données projet'!$A$88,'Données projet'!$B$88,BD130+BC131-BL130)))</f>
        <v>245.86858974358927</v>
      </c>
      <c r="BE131" s="13">
        <f>BD131*VLOOKUP('Données projet'!$B$11,Paramètres!$A$1:$I$89,3,0)*VLOOKUP('Données projet'!$B$11,Paramètres!$A$1:$I$89,5,0)</f>
        <v>237.80409999999952</v>
      </c>
      <c r="BF131" s="13">
        <f t="shared" si="91"/>
        <v>57.966819452422889</v>
      </c>
      <c r="BG131" s="20">
        <f t="shared" si="61"/>
        <v>515.13435137963563</v>
      </c>
      <c r="BH131" s="59">
        <f t="shared" si="62"/>
        <v>808.467684712969</v>
      </c>
      <c r="BI131" s="59">
        <f ca="1">AVERAGE(OFFSET($BH$3,0,0,'Données projet'!$E$11+1,1))-AVERAGE(OFFSET($H$3,0,0,'Données projet'!$E$11+1,1))</f>
        <v>366.51581861366333</v>
      </c>
      <c r="BJ131" s="59">
        <f t="shared" si="92"/>
        <v>225.01415116995503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42.961017307705141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42.961017307705141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204.00000000000017</v>
      </c>
      <c r="BZ131" s="13">
        <f>BY131*VLOOKUP('Données projet'!$B$12,Paramètres!$A$1:$I$89,3,0)*VLOOKUP('Données projet'!$B$12,Paramètres!$A$1:$I$89,5,0)</f>
        <v>133.66080000000011</v>
      </c>
      <c r="CA131" s="13">
        <f t="shared" si="93"/>
        <v>34.840890682716783</v>
      </c>
      <c r="CB131" s="20">
        <f t="shared" si="64"/>
        <v>293.4737779390652</v>
      </c>
      <c r="CC131" s="59">
        <f t="shared" si="65"/>
        <v>586.80711127239852</v>
      </c>
      <c r="CD131" s="59">
        <f ca="1">AVERAGE(OFFSET($CC$3,0,0,'Données projet'!$E$12+1,1))-AVERAGE(OFFSET($H$3,0,0,'Données projet'!$E$12+1,1))</f>
        <v>230.58262378842818</v>
      </c>
      <c r="CE131" s="59">
        <f t="shared" si="94"/>
        <v>235.68746142880792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0.89972823534760915</v>
      </c>
      <c r="CL131" s="21">
        <f>EXP(-LN(2)/25)*CL130+(1-EXP(-LN(2)/25))/(LN(2)/25)*Calculateur!CG131*Calculateur!CI131*VLOOKUP('Données projet'!$B$12,Paramètres!$A$1:$I$89,3,0)*0.475*44/12</f>
        <v>3.7616818059392454</v>
      </c>
      <c r="CM131" s="21">
        <f>EXP(-LN(2)/2)*CM130+(1-EXP(-LN(2)/2))/(LN(2)/2)*CG131*CJ131*VLOOKUP('Données projet'!$B$12,Paramètres!$A$1:$I$89,3,0)*0.475*44/12</f>
        <v>5.6783269254358167E-6</v>
      </c>
      <c r="CN131" s="22">
        <f t="shared" si="66"/>
        <v>4.66141571961378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1.7053025658242404E-13</v>
      </c>
      <c r="CU131" s="17">
        <f>CT131*VLOOKUP('Données projet'!$B$13,Paramètres!$A$1:$I$89,3,0)*VLOOKUP('Données projet'!$B$13,Paramètres!$A$1:$I$89,5,0)</f>
        <v>1.3301360013429075E-13</v>
      </c>
      <c r="CV131" s="13">
        <f t="shared" si="95"/>
        <v>1.9329766731057041E-12</v>
      </c>
      <c r="CW131" s="20">
        <f t="shared" si="67"/>
        <v>3.5982663925596575E-12</v>
      </c>
      <c r="CX131" s="59">
        <f t="shared" si="68"/>
        <v>293.3333333333369</v>
      </c>
      <c r="CY131" s="59">
        <f ca="1">AVERAGE(OFFSET($CX$3,0,0,'Données projet'!$E$13+1,1))-AVERAGE(OFFSET($H$3,0,0,'Données projet'!$E$13+1,1))</f>
        <v>288.80569134263209</v>
      </c>
      <c r="CZ131" s="59">
        <f t="shared" si="96"/>
        <v>283.48738729114024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25.220310125573285</v>
      </c>
      <c r="DG131" s="21">
        <f>EXP(-LN(2)/25)*DG130+(1-EXP(-LN(2)/25))/(LN(2)/25)*Calculateur!DB131*Calculateur!DD131*VLOOKUP('Données projet'!$B$13,Paramètres!$A$1:$I$89,3,0)*0.475*44/12</f>
        <v>13.286614497566042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38.506924623139327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266.99999999999983</v>
      </c>
      <c r="DP131" s="17">
        <f>DO131*VLOOKUP('Données projet'!$B$14,Paramètres!$A$1:$I$89,3,0)*VLOOKUP('Données projet'!$B$14,Paramètres!$A$1:$I$89,5,0)</f>
        <v>212.42519999999985</v>
      </c>
      <c r="DQ131" s="13">
        <f t="shared" si="97"/>
        <v>52.465198231787184</v>
      </c>
      <c r="DR131" s="20">
        <f t="shared" si="70"/>
        <v>461.35077692036231</v>
      </c>
      <c r="DS131" s="59">
        <f t="shared" si="71"/>
        <v>754.68411025369562</v>
      </c>
      <c r="DT131" s="59">
        <f ca="1">AVERAGE(OFFSET($DS$3,0,0,'Données projet'!$E$14+1,1))-AVERAGE(OFFSET($H$3,0,0,'Données projet'!$E$14+1,1))</f>
        <v>299.10536994156814</v>
      </c>
      <c r="DU131" s="59">
        <f t="shared" si="98"/>
        <v>292.57799203101769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11.128085943287951</v>
      </c>
      <c r="EB131" s="21">
        <f>EXP(-LN(2)/25)*EB130+(1-EXP(-LN(2)/25))/(LN(2)/25)*Calculateur!DW131*Calculateur!DY131*VLOOKUP('Données projet'!$B$14,Paramètres!$A$1:$I$89,3,0)*0.475*44/12</f>
        <v>2.2009547313740674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13.329040674662018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1.5064102564102591</v>
      </c>
      <c r="N132" s="13">
        <f>IF('Données projet'!$A$36&gt;35,N131+M132-V131,IF(A132&lt;'Données projet'!$A$36,$K$205^A132,IF(A132='Données projet'!$A$36,'Données projet'!$B$36,N131+M132-V131)))</f>
        <v>107.89743589743645</v>
      </c>
      <c r="O132" s="13">
        <f>N132*VLOOKUP('Données projet'!$B$9,Paramètres!$A$1:$I$89,3,0)*VLOOKUP('Données projet'!$B$9,Paramètres!$A$1:$I$89,5,0)</f>
        <v>97.625600000000489</v>
      </c>
      <c r="P132" s="13">
        <f t="shared" si="87"/>
        <v>26.395540798282454</v>
      </c>
      <c r="Q132" s="20">
        <f t="shared" si="108"/>
        <v>216.00348689034277</v>
      </c>
      <c r="R132" s="59">
        <f t="shared" si="109"/>
        <v>509.33682022367611</v>
      </c>
      <c r="S132" s="59">
        <f ca="1">AVERAGE(OFFSET($R$3,0,0,'Données projet'!$E$9+1,1))-AVERAGE(OFFSET($H$3,0,0,'Données projet'!$E$9+1,1))</f>
        <v>384.05928630855732</v>
      </c>
      <c r="T132" s="59">
        <f t="shared" si="88"/>
        <v>279.93992813630513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133.22748575679782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133.22748575679782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1.9895196601282805E-13</v>
      </c>
      <c r="AJ132" s="13">
        <f>AI132*VLOOKUP('Données projet'!$B$10,Paramètres!$A$1:$I$89,3,0)*VLOOKUP('Données projet'!$B$10,Paramètres!$A$1:$I$89,5,0)</f>
        <v>1.707007868390065E-13</v>
      </c>
      <c r="AK132" s="13">
        <f t="shared" si="89"/>
        <v>2.4096578055149408E-12</v>
      </c>
      <c r="AL132" s="20">
        <f t="shared" ref="AL132:AL153" si="112">(AJ132+AK132)*0.475*44/12</f>
        <v>4.4941245483497909E-12</v>
      </c>
      <c r="AM132" s="59">
        <f t="shared" ref="AM132:AM195" si="113">AL132+(AD132+AE132)*44/12</f>
        <v>293.33333333333781</v>
      </c>
      <c r="AN132" s="59">
        <f ca="1">AVERAGE(OFFSET($AM$3,0,0,'Données projet'!$E$10+1,1))-AVERAGE(OFFSET($H$3,0,0,'Données projet'!$E$10+1,1))</f>
        <v>335.02113791949211</v>
      </c>
      <c r="AO132" s="59">
        <f t="shared" si="90"/>
        <v>222.06886429435099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94.883750153912942</v>
      </c>
      <c r="AV132" s="21">
        <f>EXP(-LN(2)/25)*AV131+(1-EXP(-LN(2)/25))/(LN(2)/25)*Calculateur!AQ132*Calculateur!AS132*VLOOKUP('Données projet'!$B$10,Paramètres!$A$1:$I$89,3,0)*0.475*44/12</f>
        <v>60.169377691310615</v>
      </c>
      <c r="AW132" s="21">
        <f>EXP(-LN(2)/2)*AW131+(1-EXP(-LN(2)/2))/(LN(2)/2)*AQ132*AT132*VLOOKUP('Données projet'!$B$10,Paramètres!$A$1:$I$89,3,0)*0.475*44/12</f>
        <v>1.2680490327331517</v>
      </c>
      <c r="AX132" s="21">
        <f t="shared" ref="AX132:AX153" si="114">SUM(AU132:AW132)</f>
        <v>156.32117687795673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5.2446581196581219</v>
      </c>
      <c r="BD132" s="12">
        <f>IF('Données projet'!$A$88&gt;35,BD131+BC132-BL131,IF(A132&lt;'Données projet'!$A$88,$BA$205^A132,IF(A132='Données projet'!$A$88,'Données projet'!$B$88,BD131+BC132-BL131)))</f>
        <v>251.11324786324738</v>
      </c>
      <c r="BE132" s="13">
        <f>BD132*VLOOKUP('Données projet'!$B$11,Paramètres!$A$1:$I$89,3,0)*VLOOKUP('Données projet'!$B$11,Paramètres!$A$1:$I$89,5,0)</f>
        <v>242.87673333333288</v>
      </c>
      <c r="BF132" s="13">
        <f t="shared" si="91"/>
        <v>59.058043806802971</v>
      </c>
      <c r="BG132" s="20">
        <f t="shared" ref="BG132:BG153" si="115">(BE132+BF132)*0.475*44/12</f>
        <v>525.86973685240321</v>
      </c>
      <c r="BH132" s="59">
        <f t="shared" ref="BH132:BH195" si="116">BG132+(AY132+AZ132)*44/12</f>
        <v>819.20307018573658</v>
      </c>
      <c r="BI132" s="59">
        <f ca="1">AVERAGE(OFFSET($BH$3,0,0,'Données projet'!$E$11+1,1))-AVERAGE(OFFSET($H$3,0,0,'Données projet'!$E$11+1,1))</f>
        <v>366.51581861366333</v>
      </c>
      <c r="BJ132" s="59">
        <f t="shared" si="92"/>
        <v>225.01415116995503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42.118577961934207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42.118577961934207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204.00000000000017</v>
      </c>
      <c r="BZ132" s="13">
        <f>BY132*VLOOKUP('Données projet'!$B$12,Paramètres!$A$1:$I$89,3,0)*VLOOKUP('Données projet'!$B$12,Paramètres!$A$1:$I$89,5,0)</f>
        <v>133.66080000000011</v>
      </c>
      <c r="CA132" s="13">
        <f t="shared" si="93"/>
        <v>34.840890682716783</v>
      </c>
      <c r="CB132" s="20">
        <f t="shared" ref="CB132:CB153" si="118">(BZ132+CA132)*0.475*44/12</f>
        <v>293.4737779390652</v>
      </c>
      <c r="CC132" s="59">
        <f t="shared" ref="CC132:CC195" si="119">CB132+(BT132+BU132)*44/12</f>
        <v>586.80711127239852</v>
      </c>
      <c r="CD132" s="59">
        <f ca="1">AVERAGE(OFFSET($CC$3,0,0,'Données projet'!$E$12+1,1))-AVERAGE(OFFSET($H$3,0,0,'Données projet'!$E$12+1,1))</f>
        <v>230.58262378842818</v>
      </c>
      <c r="CE132" s="59">
        <f t="shared" si="94"/>
        <v>235.68746142880792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0.88208511343247853</v>
      </c>
      <c r="CL132" s="21">
        <f>EXP(-LN(2)/25)*CL131+(1-EXP(-LN(2)/25))/(LN(2)/25)*Calculateur!CG132*Calculateur!CI132*VLOOKUP('Données projet'!$B$12,Paramètres!$A$1:$I$89,3,0)*0.475*44/12</f>
        <v>3.6588184191375879</v>
      </c>
      <c r="CM132" s="21">
        <f>EXP(-LN(2)/2)*CM131+(1-EXP(-LN(2)/2))/(LN(2)/2)*CG132*CJ132*VLOOKUP('Données projet'!$B$12,Paramètres!$A$1:$I$89,3,0)*0.475*44/12</f>
        <v>4.0151834747698251E-6</v>
      </c>
      <c r="CN132" s="22">
        <f t="shared" ref="CN132:CN153" si="120">SUM(CK132:CM132)</f>
        <v>4.540907547753541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1.7053025658242404E-13</v>
      </c>
      <c r="CU132" s="17">
        <f>CT132*VLOOKUP('Données projet'!$B$13,Paramètres!$A$1:$I$89,3,0)*VLOOKUP('Données projet'!$B$13,Paramètres!$A$1:$I$89,5,0)</f>
        <v>1.3301360013429075E-13</v>
      </c>
      <c r="CV132" s="13">
        <f t="shared" si="95"/>
        <v>1.9329766731057041E-12</v>
      </c>
      <c r="CW132" s="20">
        <f t="shared" ref="CW132:CW153" si="121">(CU132+CV132)*0.475*44/12</f>
        <v>3.5982663925596575E-12</v>
      </c>
      <c r="CX132" s="59">
        <f t="shared" ref="CX132:CX195" si="122">CW132+(CO132+CP132)*44/12</f>
        <v>293.3333333333369</v>
      </c>
      <c r="CY132" s="59">
        <f ca="1">AVERAGE(OFFSET($CX$3,0,0,'Données projet'!$E$13+1,1))-AVERAGE(OFFSET($H$3,0,0,'Données projet'!$E$13+1,1))</f>
        <v>288.80569134263209</v>
      </c>
      <c r="CZ132" s="59">
        <f t="shared" si="96"/>
        <v>283.48738729114024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24.725755226881038</v>
      </c>
      <c r="DG132" s="21">
        <f>EXP(-LN(2)/25)*DG131+(1-EXP(-LN(2)/25))/(LN(2)/25)*Calculateur!DB132*Calculateur!DD132*VLOOKUP('Données projet'!$B$13,Paramètres!$A$1:$I$89,3,0)*0.475*44/12</f>
        <v>12.923291325417409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37.649046552298444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266.99999999999983</v>
      </c>
      <c r="DP132" s="17">
        <f>DO132*VLOOKUP('Données projet'!$B$14,Paramètres!$A$1:$I$89,3,0)*VLOOKUP('Données projet'!$B$14,Paramètres!$A$1:$I$89,5,0)</f>
        <v>212.42519999999985</v>
      </c>
      <c r="DQ132" s="13">
        <f t="shared" si="97"/>
        <v>52.465198231787184</v>
      </c>
      <c r="DR132" s="20">
        <f t="shared" ref="DR132:DR153" si="124">(DP132+DQ132)*0.475*44/12</f>
        <v>461.35077692036231</v>
      </c>
      <c r="DS132" s="59">
        <f t="shared" ref="DS132:DS195" si="125">DR132+(DJ132+DK132)*44/12</f>
        <v>754.68411025369562</v>
      </c>
      <c r="DT132" s="59">
        <f ca="1">AVERAGE(OFFSET($DS$3,0,0,'Données projet'!$E$14+1,1))-AVERAGE(OFFSET($H$3,0,0,'Données projet'!$E$14+1,1))</f>
        <v>299.10536994156814</v>
      </c>
      <c r="DU132" s="59">
        <f t="shared" si="98"/>
        <v>292.57799203101769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10.909870965402293</v>
      </c>
      <c r="EB132" s="21">
        <f>EXP(-LN(2)/25)*EB131+(1-EXP(-LN(2)/25))/(LN(2)/25)*Calculateur!DW132*Calculateur!DY132*VLOOKUP('Données projet'!$B$14,Paramètres!$A$1:$I$89,3,0)*0.475*44/12</f>
        <v>2.1407695085014646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13.050640473903758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1.5064102564102591</v>
      </c>
      <c r="N133" s="13">
        <f>IF('Données projet'!$A$36&gt;35,N132+M133-V132,IF(A133&lt;'Données projet'!$A$36,$K$205^A133,IF(A133='Données projet'!$A$36,'Données projet'!$B$36,N132+M133-V132)))</f>
        <v>109.40384615384671</v>
      </c>
      <c r="O133" s="13">
        <f>N133*VLOOKUP('Données projet'!$B$9,Paramètres!$A$1:$I$89,3,0)*VLOOKUP('Données projet'!$B$9,Paramètres!$A$1:$I$89,5,0)</f>
        <v>98.988600000000503</v>
      </c>
      <c r="P133" s="13">
        <f t="shared" ref="P133:P196" si="141">EXP(-1.0587+0.8836*LN(O133)+0.284)</f>
        <v>26.720903075724102</v>
      </c>
      <c r="Q133" s="20">
        <f t="shared" si="108"/>
        <v>218.94405119022034</v>
      </c>
      <c r="R133" s="59">
        <f t="shared" si="109"/>
        <v>512.27738452355368</v>
      </c>
      <c r="S133" s="59">
        <f ca="1">AVERAGE(OFFSET($R$3,0,0,'Données projet'!$E$9+1,1))-AVERAGE(OFFSET($H$3,0,0,'Données projet'!$E$9+1,1))</f>
        <v>384.05928630855732</v>
      </c>
      <c r="T133" s="59">
        <f t="shared" ref="T133:T196" si="142">$T$3</f>
        <v>279.93992813630513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130.61497602184949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130.61497602184949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1.9895196601282805E-13</v>
      </c>
      <c r="AJ133" s="13">
        <f>AI133*VLOOKUP('Données projet'!$B$10,Paramètres!$A$1:$I$89,3,0)*VLOOKUP('Données projet'!$B$10,Paramètres!$A$1:$I$89,5,0)</f>
        <v>1.707007868390065E-13</v>
      </c>
      <c r="AK133" s="13">
        <f t="shared" ref="AK133:AK153" si="143">EXP(-1.0587+0.8836*LN(AJ133)+0.284)</f>
        <v>2.4096578055149408E-12</v>
      </c>
      <c r="AL133" s="20">
        <f t="shared" si="112"/>
        <v>4.4941245483497909E-12</v>
      </c>
      <c r="AM133" s="59">
        <f t="shared" si="113"/>
        <v>293.33333333333781</v>
      </c>
      <c r="AN133" s="59">
        <f ca="1">AVERAGE(OFFSET($AM$3,0,0,'Données projet'!$E$10+1,1))-AVERAGE(OFFSET($H$3,0,0,'Données projet'!$E$10+1,1))</f>
        <v>335.02113791949211</v>
      </c>
      <c r="AO133" s="59">
        <f t="shared" ref="AO133:AO196" si="144">$AO$3</f>
        <v>222.06886429435099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93.023137686767782</v>
      </c>
      <c r="AV133" s="21">
        <f>EXP(-LN(2)/25)*AV132+(1-EXP(-LN(2)/25))/(LN(2)/25)*Calculateur!AQ133*Calculateur!AS133*VLOOKUP('Données projet'!$B$10,Paramètres!$A$1:$I$89,3,0)*0.475*44/12</f>
        <v>58.524042894171671</v>
      </c>
      <c r="AW133" s="21">
        <f>EXP(-LN(2)/2)*AW132+(1-EXP(-LN(2)/2))/(LN(2)/2)*AQ133*AT133*VLOOKUP('Données projet'!$B$10,Paramètres!$A$1:$I$89,3,0)*0.475*44/12</f>
        <v>0.89664606992265405</v>
      </c>
      <c r="AX133" s="21">
        <f t="shared" si="114"/>
        <v>152.44382665086212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5.2446581196581219</v>
      </c>
      <c r="BD133" s="12">
        <f>IF('Données projet'!$A$88&gt;35,BD132+BC133-BL132,IF(A133&lt;'Données projet'!$A$88,$BA$205^A133,IF(A133='Données projet'!$A$88,'Données projet'!$B$88,BD132+BC133-BL132)))</f>
        <v>256.35790598290549</v>
      </c>
      <c r="BE133" s="13">
        <f>BD133*VLOOKUP('Données projet'!$B$11,Paramètres!$A$1:$I$89,3,0)*VLOOKUP('Données projet'!$B$11,Paramètres!$A$1:$I$89,5,0)</f>
        <v>247.94936666666621</v>
      </c>
      <c r="BF133" s="13">
        <f t="shared" ref="BF133:BF153" si="145">EXP(-1.0587+0.8836*LN(BE133)+0.284)</f>
        <v>60.14661831803555</v>
      </c>
      <c r="BG133" s="20">
        <f t="shared" si="115"/>
        <v>536.60050718168884</v>
      </c>
      <c r="BH133" s="59">
        <f t="shared" si="116"/>
        <v>829.93384051502221</v>
      </c>
      <c r="BI133" s="59">
        <f ca="1">AVERAGE(OFFSET($BH$3,0,0,'Données projet'!$E$11+1,1))-AVERAGE(OFFSET($H$3,0,0,'Données projet'!$E$11+1,1))</f>
        <v>366.51581861366333</v>
      </c>
      <c r="BJ133" s="59">
        <f t="shared" ref="BJ133:BJ196" si="146">$BJ$3</f>
        <v>225.01415116995503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41.292658337896576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41.292658337896576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204.00000000000017</v>
      </c>
      <c r="BZ133" s="13">
        <f>BY133*VLOOKUP('Données projet'!$B$12,Paramètres!$A$1:$I$89,3,0)*VLOOKUP('Données projet'!$B$12,Paramètres!$A$1:$I$89,5,0)</f>
        <v>133.66080000000011</v>
      </c>
      <c r="CA133" s="13">
        <f t="shared" ref="CA133:CA153" si="147">EXP(-1.0587+0.8836*LN(BZ133)+0.284)</f>
        <v>34.840890682716783</v>
      </c>
      <c r="CB133" s="20">
        <f t="shared" si="118"/>
        <v>293.4737779390652</v>
      </c>
      <c r="CC133" s="59">
        <f t="shared" si="119"/>
        <v>586.80711127239852</v>
      </c>
      <c r="CD133" s="59">
        <f ca="1">AVERAGE(OFFSET($CC$3,0,0,'Données projet'!$E$12+1,1))-AVERAGE(OFFSET($H$3,0,0,'Données projet'!$E$12+1,1))</f>
        <v>230.58262378842818</v>
      </c>
      <c r="CE133" s="59">
        <f t="shared" ref="CE133:CE196" si="148">$CE$3</f>
        <v>235.68746142880792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0.86478796237686184</v>
      </c>
      <c r="CL133" s="21">
        <f>EXP(-LN(2)/25)*CL132+(1-EXP(-LN(2)/25))/(LN(2)/25)*Calculateur!CG133*Calculateur!CI133*VLOOKUP('Données projet'!$B$12,Paramètres!$A$1:$I$89,3,0)*0.475*44/12</f>
        <v>3.5587678370573723</v>
      </c>
      <c r="CM133" s="21">
        <f>EXP(-LN(2)/2)*CM132+(1-EXP(-LN(2)/2))/(LN(2)/2)*CG133*CJ133*VLOOKUP('Données projet'!$B$12,Paramètres!$A$1:$I$89,3,0)*0.475*44/12</f>
        <v>2.8391634627179084E-6</v>
      </c>
      <c r="CN133" s="22">
        <f t="shared" si="120"/>
        <v>4.4235586385976964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1.7053025658242404E-13</v>
      </c>
      <c r="CU133" s="17">
        <f>CT133*VLOOKUP('Données projet'!$B$13,Paramètres!$A$1:$I$89,3,0)*VLOOKUP('Données projet'!$B$13,Paramètres!$A$1:$I$89,5,0)</f>
        <v>1.3301360013429075E-13</v>
      </c>
      <c r="CV133" s="13">
        <f t="shared" ref="CV133:CV153" si="149">EXP(-1.0587+0.8836*LN(CU133)+0.284)</f>
        <v>1.9329766731057041E-12</v>
      </c>
      <c r="CW133" s="20">
        <f t="shared" si="121"/>
        <v>3.5982663925596575E-12</v>
      </c>
      <c r="CX133" s="59">
        <f t="shared" si="122"/>
        <v>293.3333333333369</v>
      </c>
      <c r="CY133" s="59">
        <f ca="1">AVERAGE(OFFSET($CX$3,0,0,'Données projet'!$E$13+1,1))-AVERAGE(OFFSET($H$3,0,0,'Données projet'!$E$13+1,1))</f>
        <v>288.80569134263209</v>
      </c>
      <c r="CZ133" s="59">
        <f t="shared" ref="CZ133:CZ196" si="150">$CZ$3</f>
        <v>283.48738729114024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24.240898248103441</v>
      </c>
      <c r="DG133" s="21">
        <f>EXP(-LN(2)/25)*DG132+(1-EXP(-LN(2)/25))/(LN(2)/25)*Calculateur!DB133*Calculateur!DD133*VLOOKUP('Données projet'!$B$13,Paramètres!$A$1:$I$89,3,0)*0.475*44/12</f>
        <v>12.569903244517516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36.810801492620953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266.99999999999983</v>
      </c>
      <c r="DP133" s="17">
        <f>DO133*VLOOKUP('Données projet'!$B$14,Paramètres!$A$1:$I$89,3,0)*VLOOKUP('Données projet'!$B$14,Paramètres!$A$1:$I$89,5,0)</f>
        <v>212.42519999999985</v>
      </c>
      <c r="DQ133" s="13">
        <f t="shared" ref="DQ133:DQ153" si="151">EXP(-1.0587+0.8836*LN(DP133)+0.284)</f>
        <v>52.465198231787184</v>
      </c>
      <c r="DR133" s="20">
        <f t="shared" si="124"/>
        <v>461.35077692036231</v>
      </c>
      <c r="DS133" s="59">
        <f t="shared" si="125"/>
        <v>754.68411025369562</v>
      </c>
      <c r="DT133" s="59">
        <f ca="1">AVERAGE(OFFSET($DS$3,0,0,'Données projet'!$E$14+1,1))-AVERAGE(OFFSET($H$3,0,0,'Données projet'!$E$14+1,1))</f>
        <v>299.10536994156814</v>
      </c>
      <c r="DU133" s="59">
        <f t="shared" ref="DU133:DU196" si="152">$DU$3</f>
        <v>292.57799203101769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10.695935050134979</v>
      </c>
      <c r="EB133" s="21">
        <f>EXP(-LN(2)/25)*EB132+(1-EXP(-LN(2)/25))/(LN(2)/25)*Calculateur!DW133*Calculateur!DY133*VLOOKUP('Données projet'!$B$14,Paramètres!$A$1:$I$89,3,0)*0.475*44/12</f>
        <v>2.0822300537133165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12.778165103848295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110.91025641025641</v>
      </c>
      <c r="L134" s="12">
        <f>VLOOKUP(A134,'Données projet'!$A$35:$I$55,9,0)</f>
        <v>1.5064102564102591</v>
      </c>
      <c r="M134" s="12">
        <f t="array" ref="M134">INDEX(L:L,MIN(IF(ISNUMBER(L134:L330),ROW(L134:L330),"")))</f>
        <v>1.5064102564102591</v>
      </c>
      <c r="N134" s="13">
        <f>IF('Données projet'!$A$36&gt;35,N133+M134-V133,IF(A134&lt;'Données projet'!$A$36,$K$205^A134,IF(A134='Données projet'!$A$36,'Données projet'!$B$36,N133+M134-V133)))</f>
        <v>110.91025641025698</v>
      </c>
      <c r="O134" s="13">
        <f>N134*VLOOKUP('Données projet'!$B$9,Paramètres!$A$1:$I$89,3,0)*VLOOKUP('Données projet'!$B$9,Paramètres!$A$1:$I$89,5,0)</f>
        <v>100.3516000000005</v>
      </c>
      <c r="P134" s="13">
        <f t="shared" si="141"/>
        <v>27.045744281593826</v>
      </c>
      <c r="Q134" s="20">
        <f t="shared" si="108"/>
        <v>221.88370795711012</v>
      </c>
      <c r="R134" s="59">
        <f t="shared" si="109"/>
        <v>515.21704129044338</v>
      </c>
      <c r="S134" s="59">
        <f ca="1">AVERAGE(OFFSET($R$3,0,0,'Données projet'!$E$9+1,1))-AVERAGE(OFFSET($H$3,0,0,'Données projet'!$E$9+1,1))</f>
        <v>384.05928630855732</v>
      </c>
      <c r="T134" s="59">
        <f t="shared" si="142"/>
        <v>279.93992813630513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110.91025641025641</v>
      </c>
      <c r="W134" s="16">
        <f>IF(ISNA(VLOOKUP(A134,'Données projet'!$A$35:$I$55,5,0)),0%,VLOOKUP(A134,'Données projet'!$A$35:$I$55,5,0)*VLOOKUP('Données projet'!$B$9,Paramètres!$A$1:$I$89,7,0))</f>
        <v>0.38700000000000001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170.98582016742182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170.98582016742182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1.9895196601282805E-13</v>
      </c>
      <c r="AJ134" s="13">
        <f>AI134*VLOOKUP('Données projet'!$B$10,Paramètres!$A$1:$I$89,3,0)*VLOOKUP('Données projet'!$B$10,Paramètres!$A$1:$I$89,5,0)</f>
        <v>1.707007868390065E-13</v>
      </c>
      <c r="AK134" s="13">
        <f t="shared" si="143"/>
        <v>2.4096578055149408E-12</v>
      </c>
      <c r="AL134" s="20">
        <f t="shared" si="112"/>
        <v>4.4941245483497909E-12</v>
      </c>
      <c r="AM134" s="59">
        <f t="shared" si="113"/>
        <v>293.33333333333781</v>
      </c>
      <c r="AN134" s="59">
        <f ca="1">AVERAGE(OFFSET($AM$3,0,0,'Données projet'!$E$10+1,1))-AVERAGE(OFFSET($H$3,0,0,'Données projet'!$E$10+1,1))</f>
        <v>335.02113791949211</v>
      </c>
      <c r="AO134" s="59">
        <f t="shared" si="144"/>
        <v>222.06886429435099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91.199010695241796</v>
      </c>
      <c r="AV134" s="21">
        <f>EXP(-LN(2)/25)*AV133+(1-EXP(-LN(2)/25))/(LN(2)/25)*Calculateur!AQ134*Calculateur!AS134*VLOOKUP('Données projet'!$B$10,Paramètres!$A$1:$I$89,3,0)*0.475*44/12</f>
        <v>56.923699863584886</v>
      </c>
      <c r="AW134" s="21">
        <f>EXP(-LN(2)/2)*AW133+(1-EXP(-LN(2)/2))/(LN(2)/2)*AQ134*AT134*VLOOKUP('Données projet'!$B$10,Paramètres!$A$1:$I$89,3,0)*0.475*44/12</f>
        <v>0.63402451636657597</v>
      </c>
      <c r="AX134" s="21">
        <f t="shared" si="114"/>
        <v>148.75673507519323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5.2446581196581219</v>
      </c>
      <c r="BD134" s="12">
        <f>IF('Données projet'!$A$88&gt;35,BD133+BC134-BL133,IF(A134&lt;'Données projet'!$A$88,$BA$205^A134,IF(A134='Données projet'!$A$88,'Données projet'!$B$88,BD133+BC134-BL133)))</f>
        <v>261.60256410256363</v>
      </c>
      <c r="BE134" s="13">
        <f>BD134*VLOOKUP('Données projet'!$B$11,Paramètres!$A$1:$I$89,3,0)*VLOOKUP('Données projet'!$B$11,Paramètres!$A$1:$I$89,5,0)</f>
        <v>253.02199999999957</v>
      </c>
      <c r="BF134" s="13">
        <f t="shared" si="145"/>
        <v>61.232603444238507</v>
      </c>
      <c r="BG134" s="20">
        <f t="shared" si="115"/>
        <v>547.32676766538123</v>
      </c>
      <c r="BH134" s="59">
        <f t="shared" si="116"/>
        <v>840.6601009987146</v>
      </c>
      <c r="BI134" s="59">
        <f ca="1">AVERAGE(OFFSET($BH$3,0,0,'Données projet'!$E$11+1,1))-AVERAGE(OFFSET($H$3,0,0,'Données projet'!$E$11+1,1))</f>
        <v>366.51581861366333</v>
      </c>
      <c r="BJ134" s="59">
        <f t="shared" si="146"/>
        <v>225.01415116995503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40.482934493925093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40.482934493925093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204.00000000000017</v>
      </c>
      <c r="BZ134" s="13">
        <f>BY134*VLOOKUP('Données projet'!$B$12,Paramètres!$A$1:$I$89,3,0)*VLOOKUP('Données projet'!$B$12,Paramètres!$A$1:$I$89,5,0)</f>
        <v>133.66080000000011</v>
      </c>
      <c r="CA134" s="13">
        <f t="shared" si="147"/>
        <v>34.840890682716783</v>
      </c>
      <c r="CB134" s="20">
        <f t="shared" si="118"/>
        <v>293.4737779390652</v>
      </c>
      <c r="CC134" s="59">
        <f t="shared" si="119"/>
        <v>586.80711127239852</v>
      </c>
      <c r="CD134" s="59">
        <f ca="1">AVERAGE(OFFSET($CC$3,0,0,'Données projet'!$E$12+1,1))-AVERAGE(OFFSET($H$3,0,0,'Données projet'!$E$12+1,1))</f>
        <v>230.58262378842818</v>
      </c>
      <c r="CE134" s="59">
        <f t="shared" si="148"/>
        <v>235.68746142880792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0.84782999790322544</v>
      </c>
      <c r="CL134" s="21">
        <f>EXP(-LN(2)/25)*CL133+(1-EXP(-LN(2)/25))/(LN(2)/25)*Calculateur!CG134*Calculateur!CI134*VLOOKUP('Données projet'!$B$12,Paramètres!$A$1:$I$89,3,0)*0.475*44/12</f>
        <v>3.4614531434055715</v>
      </c>
      <c r="CM134" s="21">
        <f>EXP(-LN(2)/2)*CM133+(1-EXP(-LN(2)/2))/(LN(2)/2)*CG134*CJ134*VLOOKUP('Données projet'!$B$12,Paramètres!$A$1:$I$89,3,0)*0.475*44/12</f>
        <v>2.0075917373849126E-6</v>
      </c>
      <c r="CN134" s="22">
        <f t="shared" si="120"/>
        <v>4.3092851489005346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1.7053025658242404E-13</v>
      </c>
      <c r="CU134" s="17">
        <f>CT134*VLOOKUP('Données projet'!$B$13,Paramètres!$A$1:$I$89,3,0)*VLOOKUP('Données projet'!$B$13,Paramètres!$A$1:$I$89,5,0)</f>
        <v>1.3301360013429075E-13</v>
      </c>
      <c r="CV134" s="13">
        <f t="shared" si="149"/>
        <v>1.9329766731057041E-12</v>
      </c>
      <c r="CW134" s="20">
        <f t="shared" si="121"/>
        <v>3.5982663925596575E-12</v>
      </c>
      <c r="CX134" s="59">
        <f t="shared" si="122"/>
        <v>293.3333333333369</v>
      </c>
      <c r="CY134" s="59">
        <f ca="1">AVERAGE(OFFSET($CX$3,0,0,'Données projet'!$E$13+1,1))-AVERAGE(OFFSET($H$3,0,0,'Données projet'!$E$13+1,1))</f>
        <v>288.80569134263209</v>
      </c>
      <c r="CZ134" s="59">
        <f t="shared" si="150"/>
        <v>283.48738729114024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23.765549018946118</v>
      </c>
      <c r="DG134" s="21">
        <f>EXP(-LN(2)/25)*DG133+(1-EXP(-LN(2)/25))/(LN(2)/25)*Calculateur!DB134*Calculateur!DD134*VLOOKUP('Données projet'!$B$13,Paramètres!$A$1:$I$89,3,0)*0.475*44/12</f>
        <v>12.226178579273702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35.991727598219818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266.99999999999983</v>
      </c>
      <c r="DP134" s="17">
        <f>DO134*VLOOKUP('Données projet'!$B$14,Paramètres!$A$1:$I$89,3,0)*VLOOKUP('Données projet'!$B$14,Paramètres!$A$1:$I$89,5,0)</f>
        <v>212.42519999999985</v>
      </c>
      <c r="DQ134" s="13">
        <f t="shared" si="151"/>
        <v>52.465198231787184</v>
      </c>
      <c r="DR134" s="20">
        <f t="shared" si="124"/>
        <v>461.35077692036231</v>
      </c>
      <c r="DS134" s="59">
        <f t="shared" si="125"/>
        <v>754.68411025369562</v>
      </c>
      <c r="DT134" s="59">
        <f ca="1">AVERAGE(OFFSET($DS$3,0,0,'Données projet'!$E$14+1,1))-AVERAGE(OFFSET($H$3,0,0,'Données projet'!$E$14+1,1))</f>
        <v>299.10536994156814</v>
      </c>
      <c r="DU134" s="59">
        <f t="shared" si="152"/>
        <v>292.57799203101769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10.486194287678034</v>
      </c>
      <c r="EB134" s="21">
        <f>EXP(-LN(2)/25)*EB133+(1-EXP(-LN(2)/25))/(LN(2)/25)*Calculateur!DW134*Calculateur!DY134*VLOOKUP('Données projet'!$B$14,Paramètres!$A$1:$I$89,3,0)*0.475*44/12</f>
        <v>2.0252913633948064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12.51148565107284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5.1431925385259092E-13</v>
      </c>
      <c r="P135" s="13">
        <f t="shared" si="141"/>
        <v>6.3855359115685756E-12</v>
      </c>
      <c r="Q135" s="20">
        <f t="shared" si="108"/>
        <v>1.2017247746441865E-11</v>
      </c>
      <c r="R135" s="59">
        <f t="shared" si="109"/>
        <v>293.33333333334531</v>
      </c>
      <c r="S135" s="59">
        <f ca="1">AVERAGE(OFFSET($R$3,0,0,'Données projet'!$E$9+1,1))-AVERAGE(OFFSET($H$3,0,0,'Données projet'!$E$9+1,1))</f>
        <v>384.05928630855732</v>
      </c>
      <c r="T135" s="59">
        <f t="shared" si="142"/>
        <v>279.93992813630513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167.63289252499109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167.63289252499109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1.9895196601282805E-13</v>
      </c>
      <c r="AJ135" s="13">
        <f>AI135*VLOOKUP('Données projet'!$B$10,Paramètres!$A$1:$I$89,3,0)*VLOOKUP('Données projet'!$B$10,Paramètres!$A$1:$I$89,5,0)</f>
        <v>1.707007868390065E-13</v>
      </c>
      <c r="AK135" s="13">
        <f t="shared" si="143"/>
        <v>2.4096578055149408E-12</v>
      </c>
      <c r="AL135" s="20">
        <f t="shared" si="112"/>
        <v>4.4941245483497909E-12</v>
      </c>
      <c r="AM135" s="59">
        <f t="shared" si="113"/>
        <v>293.33333333333781</v>
      </c>
      <c r="AN135" s="59">
        <f ca="1">AVERAGE(OFFSET($AM$3,0,0,'Données projet'!$E$10+1,1))-AVERAGE(OFFSET($H$3,0,0,'Données projet'!$E$10+1,1))</f>
        <v>335.02113791949211</v>
      </c>
      <c r="AO135" s="59">
        <f t="shared" si="144"/>
        <v>222.06886429435099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89.410653721412032</v>
      </c>
      <c r="AV135" s="21">
        <f>EXP(-LN(2)/25)*AV134+(1-EXP(-LN(2)/25))/(LN(2)/25)*Calculateur!AQ135*Calculateur!AS135*VLOOKUP('Données projet'!$B$10,Paramètres!$A$1:$I$89,3,0)*0.475*44/12</f>
        <v>55.367118297327885</v>
      </c>
      <c r="AW135" s="21">
        <f>EXP(-LN(2)/2)*AW134+(1-EXP(-LN(2)/2))/(LN(2)/2)*AQ135*AT135*VLOOKUP('Données projet'!$B$10,Paramètres!$A$1:$I$89,3,0)*0.475*44/12</f>
        <v>0.44832303496132708</v>
      </c>
      <c r="AX135" s="21">
        <f t="shared" si="114"/>
        <v>145.22609505370124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5.2446581196581219</v>
      </c>
      <c r="BD135" s="12">
        <f>IF('Données projet'!$A$88&gt;35,BD134+BC135-BL134,IF(A135&lt;'Données projet'!$A$88,$BA$205^A135,IF(A135='Données projet'!$A$88,'Données projet'!$B$88,BD134+BC135-BL134)))</f>
        <v>266.84722222222177</v>
      </c>
      <c r="BE135" s="13">
        <f>BD135*VLOOKUP('Données projet'!$B$11,Paramètres!$A$1:$I$89,3,0)*VLOOKUP('Données projet'!$B$11,Paramètres!$A$1:$I$89,5,0)</f>
        <v>258.09463333333292</v>
      </c>
      <c r="BF135" s="13">
        <f t="shared" si="145"/>
        <v>62.316057080767997</v>
      </c>
      <c r="BG135" s="20">
        <f t="shared" si="115"/>
        <v>558.0486191378925</v>
      </c>
      <c r="BH135" s="59">
        <f t="shared" si="116"/>
        <v>851.38195247122576</v>
      </c>
      <c r="BI135" s="59">
        <f ca="1">AVERAGE(OFFSET($BH$3,0,0,'Données projet'!$E$11+1,1))-AVERAGE(OFFSET($H$3,0,0,'Données projet'!$E$11+1,1))</f>
        <v>366.51581861366333</v>
      </c>
      <c r="BJ135" s="59">
        <f t="shared" si="146"/>
        <v>225.01415116995503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39.689088840651117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39.689088840651117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204.00000000000017</v>
      </c>
      <c r="BZ135" s="13">
        <f>BY135*VLOOKUP('Données projet'!$B$12,Paramètres!$A$1:$I$89,3,0)*VLOOKUP('Données projet'!$B$12,Paramètres!$A$1:$I$89,5,0)</f>
        <v>133.66080000000011</v>
      </c>
      <c r="CA135" s="13">
        <f t="shared" si="147"/>
        <v>34.840890682716783</v>
      </c>
      <c r="CB135" s="20">
        <f t="shared" si="118"/>
        <v>293.4737779390652</v>
      </c>
      <c r="CC135" s="59">
        <f t="shared" si="119"/>
        <v>586.80711127239852</v>
      </c>
      <c r="CD135" s="59">
        <f ca="1">AVERAGE(OFFSET($CC$3,0,0,'Données projet'!$E$12+1,1))-AVERAGE(OFFSET($H$3,0,0,'Données projet'!$E$12+1,1))</f>
        <v>230.58262378842818</v>
      </c>
      <c r="CE135" s="59">
        <f t="shared" si="148"/>
        <v>235.68746142880792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0.83120456876958004</v>
      </c>
      <c r="CL135" s="21">
        <f>EXP(-LN(2)/25)*CL134+(1-EXP(-LN(2)/25))/(LN(2)/25)*Calculateur!CG135*Calculateur!CI135*VLOOKUP('Données projet'!$B$12,Paramètres!$A$1:$I$89,3,0)*0.475*44/12</f>
        <v>3.3667995251692364</v>
      </c>
      <c r="CM135" s="21">
        <f>EXP(-LN(2)/2)*CM134+(1-EXP(-LN(2)/2))/(LN(2)/2)*CG135*CJ135*VLOOKUP('Données projet'!$B$12,Paramètres!$A$1:$I$89,3,0)*0.475*44/12</f>
        <v>1.4195817313589542E-6</v>
      </c>
      <c r="CN135" s="22">
        <f t="shared" si="120"/>
        <v>4.1980055135205481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1.7053025658242404E-13</v>
      </c>
      <c r="CU135" s="17">
        <f>CT135*VLOOKUP('Données projet'!$B$13,Paramètres!$A$1:$I$89,3,0)*VLOOKUP('Données projet'!$B$13,Paramètres!$A$1:$I$89,5,0)</f>
        <v>1.3301360013429075E-13</v>
      </c>
      <c r="CV135" s="13">
        <f t="shared" si="149"/>
        <v>1.9329766731057041E-12</v>
      </c>
      <c r="CW135" s="20">
        <f t="shared" si="121"/>
        <v>3.5982663925596575E-12</v>
      </c>
      <c r="CX135" s="59">
        <f t="shared" si="122"/>
        <v>293.3333333333369</v>
      </c>
      <c r="CY135" s="59">
        <f ca="1">AVERAGE(OFFSET($CX$3,0,0,'Données projet'!$E$13+1,1))-AVERAGE(OFFSET($H$3,0,0,'Données projet'!$E$13+1,1))</f>
        <v>288.80569134263209</v>
      </c>
      <c r="CZ135" s="59">
        <f t="shared" si="150"/>
        <v>283.48738729114024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23.29952109823817</v>
      </c>
      <c r="DG135" s="21">
        <f>EXP(-LN(2)/25)*DG134+(1-EXP(-LN(2)/25))/(LN(2)/25)*Calculateur!DB135*Calculateur!DD135*VLOOKUP('Données projet'!$B$13,Paramètres!$A$1:$I$89,3,0)*0.475*44/12</f>
        <v>11.891853083076674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35.191374181314842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266.99999999999983</v>
      </c>
      <c r="DP135" s="17">
        <f>DO135*VLOOKUP('Données projet'!$B$14,Paramètres!$A$1:$I$89,3,0)*VLOOKUP('Données projet'!$B$14,Paramètres!$A$1:$I$89,5,0)</f>
        <v>212.42519999999985</v>
      </c>
      <c r="DQ135" s="13">
        <f t="shared" si="151"/>
        <v>52.465198231787184</v>
      </c>
      <c r="DR135" s="20">
        <f t="shared" si="124"/>
        <v>461.35077692036231</v>
      </c>
      <c r="DS135" s="59">
        <f t="shared" si="125"/>
        <v>754.68411025369562</v>
      </c>
      <c r="DT135" s="59">
        <f ca="1">AVERAGE(OFFSET($DS$3,0,0,'Données projet'!$E$14+1,1))-AVERAGE(OFFSET($H$3,0,0,'Données projet'!$E$14+1,1))</f>
        <v>299.10536994156814</v>
      </c>
      <c r="DU135" s="59">
        <f t="shared" si="152"/>
        <v>292.57799203101769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10.280566413643635</v>
      </c>
      <c r="EB135" s="21">
        <f>EXP(-LN(2)/25)*EB134+(1-EXP(-LN(2)/25))/(LN(2)/25)*Calculateur!DW135*Calculateur!DY135*VLOOKUP('Données projet'!$B$14,Paramètres!$A$1:$I$89,3,0)*0.475*44/12</f>
        <v>1.9699096645573315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12.250476078200967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5.1431925385259092E-13</v>
      </c>
      <c r="P136" s="13">
        <f t="shared" si="141"/>
        <v>6.3855359115685756E-12</v>
      </c>
      <c r="Q136" s="20">
        <f t="shared" si="108"/>
        <v>1.2017247746441865E-11</v>
      </c>
      <c r="R136" s="59">
        <f t="shared" si="109"/>
        <v>293.33333333334531</v>
      </c>
      <c r="S136" s="59">
        <f ca="1">AVERAGE(OFFSET($R$3,0,0,'Données projet'!$E$9+1,1))-AVERAGE(OFFSET($H$3,0,0,'Données projet'!$E$9+1,1))</f>
        <v>384.05928630855732</v>
      </c>
      <c r="T136" s="59">
        <f t="shared" si="142"/>
        <v>279.93992813630513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164.34571374854451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164.34571374854451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1.9895196601282805E-13</v>
      </c>
      <c r="AJ136" s="13">
        <f>AI136*VLOOKUP('Données projet'!$B$10,Paramètres!$A$1:$I$89,3,0)*VLOOKUP('Données projet'!$B$10,Paramètres!$A$1:$I$89,5,0)</f>
        <v>1.707007868390065E-13</v>
      </c>
      <c r="AK136" s="13">
        <f t="shared" si="143"/>
        <v>2.4096578055149408E-12</v>
      </c>
      <c r="AL136" s="20">
        <f t="shared" si="112"/>
        <v>4.4941245483497909E-12</v>
      </c>
      <c r="AM136" s="59">
        <f t="shared" si="113"/>
        <v>293.33333333333781</v>
      </c>
      <c r="AN136" s="59">
        <f ca="1">AVERAGE(OFFSET($AM$3,0,0,'Données projet'!$E$10+1,1))-AVERAGE(OFFSET($H$3,0,0,'Données projet'!$E$10+1,1))</f>
        <v>335.02113791949211</v>
      </c>
      <c r="AO136" s="59">
        <f t="shared" si="144"/>
        <v>222.06886429435099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87.657365337049015</v>
      </c>
      <c r="AV136" s="21">
        <f>EXP(-LN(2)/25)*AV135+(1-EXP(-LN(2)/25))/(LN(2)/25)*Calculateur!AQ136*Calculateur!AS136*VLOOKUP('Données projet'!$B$10,Paramètres!$A$1:$I$89,3,0)*0.475*44/12</f>
        <v>53.853101535857249</v>
      </c>
      <c r="AW136" s="21">
        <f>EXP(-LN(2)/2)*AW135+(1-EXP(-LN(2)/2))/(LN(2)/2)*AQ136*AT136*VLOOKUP('Données projet'!$B$10,Paramètres!$A$1:$I$89,3,0)*0.475*44/12</f>
        <v>0.31701225818328804</v>
      </c>
      <c r="AX136" s="21">
        <f t="shared" si="114"/>
        <v>141.82747913108955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5.2446581196581219</v>
      </c>
      <c r="BD136" s="12">
        <f>IF('Données projet'!$A$88&gt;35,BD135+BC136-BL135,IF(A136&lt;'Données projet'!$A$88,$BA$205^A136,IF(A136='Données projet'!$A$88,'Données projet'!$B$88,BD135+BC136-BL135)))</f>
        <v>272.09188034187991</v>
      </c>
      <c r="BE136" s="13">
        <f>BD136*VLOOKUP('Données projet'!$B$11,Paramètres!$A$1:$I$89,3,0)*VLOOKUP('Données projet'!$B$11,Paramètres!$A$1:$I$89,5,0)</f>
        <v>263.16726666666625</v>
      </c>
      <c r="BF136" s="13">
        <f t="shared" si="145"/>
        <v>63.39703471704955</v>
      </c>
      <c r="BG136" s="20">
        <f t="shared" si="115"/>
        <v>568.76615824330497</v>
      </c>
      <c r="BH136" s="59">
        <f t="shared" si="116"/>
        <v>862.09949157663823</v>
      </c>
      <c r="BI136" s="59">
        <f ca="1">AVERAGE(OFFSET($BH$3,0,0,'Données projet'!$E$11+1,1))-AVERAGE(OFFSET($H$3,0,0,'Données projet'!$E$11+1,1))</f>
        <v>366.51581861366333</v>
      </c>
      <c r="BJ136" s="59">
        <f t="shared" si="146"/>
        <v>225.01415116995503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38.910810016439804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38.910810016439804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204.00000000000017</v>
      </c>
      <c r="BZ136" s="13">
        <f>BY136*VLOOKUP('Données projet'!$B$12,Paramètres!$A$1:$I$89,3,0)*VLOOKUP('Données projet'!$B$12,Paramètres!$A$1:$I$89,5,0)</f>
        <v>133.66080000000011</v>
      </c>
      <c r="CA136" s="13">
        <f t="shared" si="147"/>
        <v>34.840890682716783</v>
      </c>
      <c r="CB136" s="20">
        <f t="shared" si="118"/>
        <v>293.4737779390652</v>
      </c>
      <c r="CC136" s="59">
        <f t="shared" si="119"/>
        <v>586.80711127239852</v>
      </c>
      <c r="CD136" s="59">
        <f ca="1">AVERAGE(OFFSET($CC$3,0,0,'Données projet'!$E$12+1,1))-AVERAGE(OFFSET($H$3,0,0,'Données projet'!$E$12+1,1))</f>
        <v>230.58262378842818</v>
      </c>
      <c r="CE136" s="59">
        <f t="shared" si="148"/>
        <v>235.68746142880792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0.81490515416073495</v>
      </c>
      <c r="CL136" s="21">
        <f>EXP(-LN(2)/25)*CL135+(1-EXP(-LN(2)/25))/(LN(2)/25)*Calculateur!CG136*Calculateur!CI136*VLOOKUP('Données projet'!$B$12,Paramètres!$A$1:$I$89,3,0)*0.475*44/12</f>
        <v>3.2747342151011916</v>
      </c>
      <c r="CM136" s="21">
        <f>EXP(-LN(2)/2)*CM135+(1-EXP(-LN(2)/2))/(LN(2)/2)*CG136*CJ136*VLOOKUP('Données projet'!$B$12,Paramètres!$A$1:$I$89,3,0)*0.475*44/12</f>
        <v>1.0037958686924563E-6</v>
      </c>
      <c r="CN136" s="22">
        <f t="shared" si="120"/>
        <v>4.0896403730577955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1.7053025658242404E-13</v>
      </c>
      <c r="CU136" s="17">
        <f>CT136*VLOOKUP('Données projet'!$B$13,Paramètres!$A$1:$I$89,3,0)*VLOOKUP('Données projet'!$B$13,Paramètres!$A$1:$I$89,5,0)</f>
        <v>1.3301360013429075E-13</v>
      </c>
      <c r="CV136" s="13">
        <f t="shared" si="149"/>
        <v>1.9329766731057041E-12</v>
      </c>
      <c r="CW136" s="20">
        <f t="shared" si="121"/>
        <v>3.5982663925596575E-12</v>
      </c>
      <c r="CX136" s="59">
        <f t="shared" si="122"/>
        <v>293.3333333333369</v>
      </c>
      <c r="CY136" s="59">
        <f ca="1">AVERAGE(OFFSET($CX$3,0,0,'Données projet'!$E$13+1,1))-AVERAGE(OFFSET($H$3,0,0,'Données projet'!$E$13+1,1))</f>
        <v>288.80569134263209</v>
      </c>
      <c r="CZ136" s="59">
        <f t="shared" si="150"/>
        <v>283.48738729114024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22.84263170080634</v>
      </c>
      <c r="DG136" s="21">
        <f>EXP(-LN(2)/25)*DG135+(1-EXP(-LN(2)/25))/(LN(2)/25)*Calculateur!DB136*Calculateur!DD136*VLOOKUP('Données projet'!$B$13,Paramètres!$A$1:$I$89,3,0)*0.475*44/12</f>
        <v>11.566669735154568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34.409301435960906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266.99999999999983</v>
      </c>
      <c r="DP136" s="17">
        <f>DO136*VLOOKUP('Données projet'!$B$14,Paramètres!$A$1:$I$89,3,0)*VLOOKUP('Données projet'!$B$14,Paramètres!$A$1:$I$89,5,0)</f>
        <v>212.42519999999985</v>
      </c>
      <c r="DQ136" s="13">
        <f t="shared" si="151"/>
        <v>52.465198231787184</v>
      </c>
      <c r="DR136" s="20">
        <f t="shared" si="124"/>
        <v>461.35077692036231</v>
      </c>
      <c r="DS136" s="59">
        <f t="shared" si="125"/>
        <v>754.68411025369562</v>
      </c>
      <c r="DT136" s="59">
        <f ca="1">AVERAGE(OFFSET($DS$3,0,0,'Données projet'!$E$14+1,1))-AVERAGE(OFFSET($H$3,0,0,'Données projet'!$E$14+1,1))</f>
        <v>299.10536994156814</v>
      </c>
      <c r="DU136" s="59">
        <f t="shared" si="152"/>
        <v>292.57799203101769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10.078970776798434</v>
      </c>
      <c r="EB136" s="21">
        <f>EXP(-LN(2)/25)*EB135+(1-EXP(-LN(2)/25))/(LN(2)/25)*Calculateur!DW136*Calculateur!DY136*VLOOKUP('Données projet'!$B$14,Paramètres!$A$1:$I$89,3,0)*0.475*44/12</f>
        <v>1.9160423811869642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11.995013157985397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5.1431925385259092E-13</v>
      </c>
      <c r="P137" s="13">
        <f t="shared" si="141"/>
        <v>6.3855359115685756E-12</v>
      </c>
      <c r="Q137" s="20">
        <f t="shared" si="108"/>
        <v>1.2017247746441865E-11</v>
      </c>
      <c r="R137" s="59">
        <f t="shared" si="109"/>
        <v>293.33333333334531</v>
      </c>
      <c r="S137" s="59">
        <f ca="1">AVERAGE(OFFSET($R$3,0,0,'Données projet'!$E$9+1,1))-AVERAGE(OFFSET($H$3,0,0,'Données projet'!$E$9+1,1))</f>
        <v>384.05928630855732</v>
      </c>
      <c r="T137" s="59">
        <f t="shared" si="142"/>
        <v>279.93992813630513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161.12299454292295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161.12299454292295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1.9895196601282805E-13</v>
      </c>
      <c r="AJ137" s="13">
        <f>AI137*VLOOKUP('Données projet'!$B$10,Paramètres!$A$1:$I$89,3,0)*VLOOKUP('Données projet'!$B$10,Paramètres!$A$1:$I$89,5,0)</f>
        <v>1.707007868390065E-13</v>
      </c>
      <c r="AK137" s="13">
        <f t="shared" si="143"/>
        <v>2.4096578055149408E-12</v>
      </c>
      <c r="AL137" s="20">
        <f t="shared" si="112"/>
        <v>4.4941245483497909E-12</v>
      </c>
      <c r="AM137" s="59">
        <f t="shared" si="113"/>
        <v>293.33333333333781</v>
      </c>
      <c r="AN137" s="59">
        <f ca="1">AVERAGE(OFFSET($AM$3,0,0,'Données projet'!$E$10+1,1))-AVERAGE(OFFSET($H$3,0,0,'Données projet'!$E$10+1,1))</f>
        <v>335.02113791949211</v>
      </c>
      <c r="AO137" s="59">
        <f t="shared" si="144"/>
        <v>222.06886429435099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85.938457868503036</v>
      </c>
      <c r="AV137" s="21">
        <f>EXP(-LN(2)/25)*AV136+(1-EXP(-LN(2)/25))/(LN(2)/25)*Calculateur!AQ137*Calculateur!AS137*VLOOKUP('Données projet'!$B$10,Paramètres!$A$1:$I$89,3,0)*0.475*44/12</f>
        <v>52.380485642347708</v>
      </c>
      <c r="AW137" s="21">
        <f>EXP(-LN(2)/2)*AW136+(1-EXP(-LN(2)/2))/(LN(2)/2)*AQ137*AT137*VLOOKUP('Données projet'!$B$10,Paramètres!$A$1:$I$89,3,0)*0.475*44/12</f>
        <v>0.2241615174806636</v>
      </c>
      <c r="AX137" s="21">
        <f t="shared" si="114"/>
        <v>138.54310502833141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5.2446581196581219</v>
      </c>
      <c r="BD137" s="12">
        <f>IF('Données projet'!$A$88&gt;35,BD136+BC137-BL136,IF(A137&lt;'Données projet'!$A$88,$BA$205^A137,IF(A137='Données projet'!$A$88,'Données projet'!$B$88,BD136+BC137-BL136)))</f>
        <v>277.33653846153805</v>
      </c>
      <c r="BE137" s="13">
        <f>BD137*VLOOKUP('Données projet'!$B$11,Paramètres!$A$1:$I$89,3,0)*VLOOKUP('Données projet'!$B$11,Paramètres!$A$1:$I$89,5,0)</f>
        <v>268.23989999999964</v>
      </c>
      <c r="BF137" s="13">
        <f t="shared" si="145"/>
        <v>64.475589580974699</v>
      </c>
      <c r="BG137" s="20">
        <f t="shared" si="115"/>
        <v>579.47947768686356</v>
      </c>
      <c r="BH137" s="59">
        <f t="shared" si="116"/>
        <v>872.81281102019693</v>
      </c>
      <c r="BI137" s="59">
        <f ca="1">AVERAGE(OFFSET($BH$3,0,0,'Données projet'!$E$11+1,1))-AVERAGE(OFFSET($H$3,0,0,'Données projet'!$E$11+1,1))</f>
        <v>366.51581861366333</v>
      </c>
      <c r="BJ137" s="59">
        <f t="shared" si="146"/>
        <v>225.01415116995503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38.147792765268065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38.147792765268065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204.00000000000017</v>
      </c>
      <c r="BZ137" s="13">
        <f>BY137*VLOOKUP('Données projet'!$B$12,Paramètres!$A$1:$I$89,3,0)*VLOOKUP('Données projet'!$B$12,Paramètres!$A$1:$I$89,5,0)</f>
        <v>133.66080000000011</v>
      </c>
      <c r="CA137" s="13">
        <f t="shared" si="147"/>
        <v>34.840890682716783</v>
      </c>
      <c r="CB137" s="20">
        <f t="shared" si="118"/>
        <v>293.4737779390652</v>
      </c>
      <c r="CC137" s="59">
        <f t="shared" si="119"/>
        <v>586.80711127239852</v>
      </c>
      <c r="CD137" s="59">
        <f ca="1">AVERAGE(OFFSET($CC$3,0,0,'Données projet'!$E$12+1,1))-AVERAGE(OFFSET($H$3,0,0,'Données projet'!$E$12+1,1))</f>
        <v>230.58262378842818</v>
      </c>
      <c r="CE137" s="59">
        <f t="shared" si="148"/>
        <v>235.68746142880792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0.798925361130708</v>
      </c>
      <c r="CL137" s="21">
        <f>EXP(-LN(2)/25)*CL136+(1-EXP(-LN(2)/25))/(LN(2)/25)*Calculateur!CG137*Calculateur!CI137*VLOOKUP('Données projet'!$B$12,Paramètres!$A$1:$I$89,3,0)*0.475*44/12</f>
        <v>3.1851864357784616</v>
      </c>
      <c r="CM137" s="21">
        <f>EXP(-LN(2)/2)*CM136+(1-EXP(-LN(2)/2))/(LN(2)/2)*CG137*CJ137*VLOOKUP('Données projet'!$B$12,Paramètres!$A$1:$I$89,3,0)*0.475*44/12</f>
        <v>7.0979086567947709E-7</v>
      </c>
      <c r="CN137" s="22">
        <f t="shared" si="120"/>
        <v>3.9841125067000354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1.7053025658242404E-13</v>
      </c>
      <c r="CU137" s="17">
        <f>CT137*VLOOKUP('Données projet'!$B$13,Paramètres!$A$1:$I$89,3,0)*VLOOKUP('Données projet'!$B$13,Paramètres!$A$1:$I$89,5,0)</f>
        <v>1.3301360013429075E-13</v>
      </c>
      <c r="CV137" s="13">
        <f t="shared" si="149"/>
        <v>1.9329766731057041E-12</v>
      </c>
      <c r="CW137" s="20">
        <f t="shared" si="121"/>
        <v>3.5982663925596575E-12</v>
      </c>
      <c r="CX137" s="59">
        <f t="shared" si="122"/>
        <v>293.3333333333369</v>
      </c>
      <c r="CY137" s="59">
        <f ca="1">AVERAGE(OFFSET($CX$3,0,0,'Données projet'!$E$13+1,1))-AVERAGE(OFFSET($H$3,0,0,'Données projet'!$E$13+1,1))</f>
        <v>288.80569134263209</v>
      </c>
      <c r="CZ137" s="59">
        <f t="shared" si="150"/>
        <v>283.48738729114024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22.394701625783132</v>
      </c>
      <c r="DG137" s="21">
        <f>EXP(-LN(2)/25)*DG136+(1-EXP(-LN(2)/25))/(LN(2)/25)*Calculateur!DB137*Calculateur!DD137*VLOOKUP('Données projet'!$B$13,Paramètres!$A$1:$I$89,3,0)*0.475*44/12</f>
        <v>11.250378542982041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33.645080168765176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266.99999999999983</v>
      </c>
      <c r="DP137" s="17">
        <f>DO137*VLOOKUP('Données projet'!$B$14,Paramètres!$A$1:$I$89,3,0)*VLOOKUP('Données projet'!$B$14,Paramètres!$A$1:$I$89,5,0)</f>
        <v>212.42519999999985</v>
      </c>
      <c r="DQ137" s="13">
        <f t="shared" si="151"/>
        <v>52.465198231787184</v>
      </c>
      <c r="DR137" s="20">
        <f t="shared" si="124"/>
        <v>461.35077692036231</v>
      </c>
      <c r="DS137" s="59">
        <f t="shared" si="125"/>
        <v>754.68411025369562</v>
      </c>
      <c r="DT137" s="59">
        <f ca="1">AVERAGE(OFFSET($DS$3,0,0,'Données projet'!$E$14+1,1))-AVERAGE(OFFSET($H$3,0,0,'Données projet'!$E$14+1,1))</f>
        <v>299.10536994156814</v>
      </c>
      <c r="DU137" s="59">
        <f t="shared" si="152"/>
        <v>292.57799203101769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9.881328307430568</v>
      </c>
      <c r="EB137" s="21">
        <f>EXP(-LN(2)/25)*EB136+(1-EXP(-LN(2)/25))/(LN(2)/25)*Calculateur!DW137*Calculateur!DY137*VLOOKUP('Données projet'!$B$14,Paramètres!$A$1:$I$89,3,0)*0.475*44/12</f>
        <v>1.863648101513117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11.744976408943685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5.1431925385259092E-13</v>
      </c>
      <c r="P138" s="13">
        <f t="shared" si="141"/>
        <v>6.3855359115685756E-12</v>
      </c>
      <c r="Q138" s="20">
        <f t="shared" si="108"/>
        <v>1.2017247746441865E-11</v>
      </c>
      <c r="R138" s="59">
        <f t="shared" si="109"/>
        <v>293.33333333334531</v>
      </c>
      <c r="S138" s="59">
        <f ca="1">AVERAGE(OFFSET($R$3,0,0,'Données projet'!$E$9+1,1))-AVERAGE(OFFSET($H$3,0,0,'Données projet'!$E$9+1,1))</f>
        <v>384.05928630855732</v>
      </c>
      <c r="T138" s="59">
        <f t="shared" si="142"/>
        <v>279.93992813630513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157.96347089525904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157.96347089525904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1.9895196601282805E-13</v>
      </c>
      <c r="AJ138" s="13">
        <f>AI138*VLOOKUP('Données projet'!$B$10,Paramètres!$A$1:$I$89,3,0)*VLOOKUP('Données projet'!$B$10,Paramètres!$A$1:$I$89,5,0)</f>
        <v>1.707007868390065E-13</v>
      </c>
      <c r="AK138" s="13">
        <f t="shared" si="143"/>
        <v>2.4096578055149408E-12</v>
      </c>
      <c r="AL138" s="20">
        <f t="shared" si="112"/>
        <v>4.4941245483497909E-12</v>
      </c>
      <c r="AM138" s="59">
        <f t="shared" si="113"/>
        <v>293.33333333333781</v>
      </c>
      <c r="AN138" s="59">
        <f ca="1">AVERAGE(OFFSET($AM$3,0,0,'Données projet'!$E$10+1,1))-AVERAGE(OFFSET($H$3,0,0,'Données projet'!$E$10+1,1))</f>
        <v>335.02113791949211</v>
      </c>
      <c r="AO138" s="59">
        <f t="shared" si="144"/>
        <v>222.06886429435099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84.253257126985218</v>
      </c>
      <c r="AV138" s="21">
        <f>EXP(-LN(2)/25)*AV137+(1-EXP(-LN(2)/25))/(LN(2)/25)*Calculateur!AQ138*Calculateur!AS138*VLOOKUP('Données projet'!$B$10,Paramètres!$A$1:$I$89,3,0)*0.475*44/12</f>
        <v>50.948138507887684</v>
      </c>
      <c r="AW138" s="21">
        <f>EXP(-LN(2)/2)*AW137+(1-EXP(-LN(2)/2))/(LN(2)/2)*AQ138*AT138*VLOOKUP('Données projet'!$B$10,Paramètres!$A$1:$I$89,3,0)*0.475*44/12</f>
        <v>0.15850612909164405</v>
      </c>
      <c r="AX138" s="21">
        <f t="shared" si="114"/>
        <v>135.35990176396456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5.2446581196581219</v>
      </c>
      <c r="BD138" s="12">
        <f>IF('Données projet'!$A$88&gt;35,BD137+BC138-BL137,IF(A138&lt;'Données projet'!$A$88,$BA$205^A138,IF(A138='Données projet'!$A$88,'Données projet'!$B$88,BD137+BC138-BL137)))</f>
        <v>282.5811965811962</v>
      </c>
      <c r="BE138" s="13">
        <f>BD138*VLOOKUP('Données projet'!$B$11,Paramètres!$A$1:$I$89,3,0)*VLOOKUP('Données projet'!$B$11,Paramètres!$A$1:$I$89,5,0)</f>
        <v>273.31253333333296</v>
      </c>
      <c r="BF138" s="13">
        <f t="shared" si="145"/>
        <v>65.55177277206684</v>
      </c>
      <c r="BG138" s="20">
        <f t="shared" si="115"/>
        <v>590.18866646690458</v>
      </c>
      <c r="BH138" s="59">
        <f t="shared" si="116"/>
        <v>883.52199980023784</v>
      </c>
      <c r="BI138" s="59">
        <f ca="1">AVERAGE(OFFSET($BH$3,0,0,'Données projet'!$E$11+1,1))-AVERAGE(OFFSET($H$3,0,0,'Données projet'!$E$11+1,1))</f>
        <v>366.51581861366333</v>
      </c>
      <c r="BJ138" s="59">
        <f t="shared" si="146"/>
        <v>225.01415116995503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37.399737816997238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37.399737816997238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204.00000000000017</v>
      </c>
      <c r="BZ138" s="13">
        <f>BY138*VLOOKUP('Données projet'!$B$12,Paramètres!$A$1:$I$89,3,0)*VLOOKUP('Données projet'!$B$12,Paramètres!$A$1:$I$89,5,0)</f>
        <v>133.66080000000011</v>
      </c>
      <c r="CA138" s="13">
        <f t="shared" si="147"/>
        <v>34.840890682716783</v>
      </c>
      <c r="CB138" s="20">
        <f t="shared" si="118"/>
        <v>293.4737779390652</v>
      </c>
      <c r="CC138" s="59">
        <f t="shared" si="119"/>
        <v>586.80711127239852</v>
      </c>
      <c r="CD138" s="59">
        <f ca="1">AVERAGE(OFFSET($CC$3,0,0,'Données projet'!$E$12+1,1))-AVERAGE(OFFSET($H$3,0,0,'Données projet'!$E$12+1,1))</f>
        <v>230.58262378842818</v>
      </c>
      <c r="CE138" s="59">
        <f t="shared" si="148"/>
        <v>235.68746142880792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0.78325892209528858</v>
      </c>
      <c r="CL138" s="21">
        <f>EXP(-LN(2)/25)*CL137+(1-EXP(-LN(2)/25))/(LN(2)/25)*Calculateur!CG138*Calculateur!CI138*VLOOKUP('Données projet'!$B$12,Paramètres!$A$1:$I$89,3,0)*0.475*44/12</f>
        <v>3.0980873451904247</v>
      </c>
      <c r="CM138" s="21">
        <f>EXP(-LN(2)/2)*CM137+(1-EXP(-LN(2)/2))/(LN(2)/2)*CG138*CJ138*VLOOKUP('Données projet'!$B$12,Paramètres!$A$1:$I$89,3,0)*0.475*44/12</f>
        <v>5.0189793434622814E-7</v>
      </c>
      <c r="CN138" s="22">
        <f t="shared" si="120"/>
        <v>3.8813467691836476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1.7053025658242404E-13</v>
      </c>
      <c r="CU138" s="17">
        <f>CT138*VLOOKUP('Données projet'!$B$13,Paramètres!$A$1:$I$89,3,0)*VLOOKUP('Données projet'!$B$13,Paramètres!$A$1:$I$89,5,0)</f>
        <v>1.3301360013429075E-13</v>
      </c>
      <c r="CV138" s="13">
        <f t="shared" si="149"/>
        <v>1.9329766731057041E-12</v>
      </c>
      <c r="CW138" s="20">
        <f t="shared" si="121"/>
        <v>3.5982663925596575E-12</v>
      </c>
      <c r="CX138" s="59">
        <f t="shared" si="122"/>
        <v>293.3333333333369</v>
      </c>
      <c r="CY138" s="59">
        <f ca="1">AVERAGE(OFFSET($CX$3,0,0,'Données projet'!$E$13+1,1))-AVERAGE(OFFSET($H$3,0,0,'Données projet'!$E$13+1,1))</f>
        <v>288.80569134263209</v>
      </c>
      <c r="CZ138" s="59">
        <f t="shared" si="150"/>
        <v>283.48738729114024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21.955555186320762</v>
      </c>
      <c r="DG138" s="21">
        <f>EXP(-LN(2)/25)*DG137+(1-EXP(-LN(2)/25))/(LN(2)/25)*Calculateur!DB138*Calculateur!DD138*VLOOKUP('Données projet'!$B$13,Paramètres!$A$1:$I$89,3,0)*0.475*44/12</f>
        <v>10.942736350092503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32.898291536413268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266.99999999999983</v>
      </c>
      <c r="DP138" s="17">
        <f>DO138*VLOOKUP('Données projet'!$B$14,Paramètres!$A$1:$I$89,3,0)*VLOOKUP('Données projet'!$B$14,Paramètres!$A$1:$I$89,5,0)</f>
        <v>212.42519999999985</v>
      </c>
      <c r="DQ138" s="13">
        <f t="shared" si="151"/>
        <v>52.465198231787184</v>
      </c>
      <c r="DR138" s="20">
        <f t="shared" si="124"/>
        <v>461.35077692036231</v>
      </c>
      <c r="DS138" s="59">
        <f t="shared" si="125"/>
        <v>754.68411025369562</v>
      </c>
      <c r="DT138" s="59">
        <f ca="1">AVERAGE(OFFSET($DS$3,0,0,'Données projet'!$E$14+1,1))-AVERAGE(OFFSET($H$3,0,0,'Données projet'!$E$14+1,1))</f>
        <v>299.10536994156814</v>
      </c>
      <c r="DU138" s="59">
        <f t="shared" si="152"/>
        <v>292.57799203101769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9.6875614863370032</v>
      </c>
      <c r="EB138" s="21">
        <f>EXP(-LN(2)/25)*EB137+(1-EXP(-LN(2)/25))/(LN(2)/25)*Calculateur!DW138*Calculateur!DY138*VLOOKUP('Données projet'!$B$14,Paramètres!$A$1:$I$89,3,0)*0.475*44/12</f>
        <v>1.8126865461722466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11.50024803250925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5.1431925385259092E-13</v>
      </c>
      <c r="P139" s="13">
        <f t="shared" si="141"/>
        <v>6.3855359115685756E-12</v>
      </c>
      <c r="Q139" s="20">
        <f t="shared" si="108"/>
        <v>1.2017247746441865E-11</v>
      </c>
      <c r="R139" s="59">
        <f t="shared" si="109"/>
        <v>293.33333333334531</v>
      </c>
      <c r="S139" s="59">
        <f ca="1">AVERAGE(OFFSET($R$3,0,0,'Données projet'!$E$9+1,1))-AVERAGE(OFFSET($H$3,0,0,'Données projet'!$E$9+1,1))</f>
        <v>384.05928630855732</v>
      </c>
      <c r="T139" s="59">
        <f t="shared" si="142"/>
        <v>279.93992813630513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154.86590357920664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154.86590357920664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1.9895196601282805E-13</v>
      </c>
      <c r="AJ139" s="13">
        <f>AI139*VLOOKUP('Données projet'!$B$10,Paramètres!$A$1:$I$89,3,0)*VLOOKUP('Données projet'!$B$10,Paramètres!$A$1:$I$89,5,0)</f>
        <v>1.707007868390065E-13</v>
      </c>
      <c r="AK139" s="13">
        <f t="shared" si="143"/>
        <v>2.4096578055149408E-12</v>
      </c>
      <c r="AL139" s="20">
        <f t="shared" si="112"/>
        <v>4.4941245483497909E-12</v>
      </c>
      <c r="AM139" s="59">
        <f t="shared" si="113"/>
        <v>293.33333333333781</v>
      </c>
      <c r="AN139" s="59">
        <f ca="1">AVERAGE(OFFSET($AM$3,0,0,'Données projet'!$E$10+1,1))-AVERAGE(OFFSET($H$3,0,0,'Données projet'!$E$10+1,1))</f>
        <v>335.02113791949211</v>
      </c>
      <c r="AO139" s="59">
        <f t="shared" si="144"/>
        <v>222.06886429435099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82.601102144137599</v>
      </c>
      <c r="AV139" s="21">
        <f>EXP(-LN(2)/25)*AV138+(1-EXP(-LN(2)/25))/(LN(2)/25)*Calculateur!AQ139*Calculateur!AS139*VLOOKUP('Données projet'!$B$10,Paramètres!$A$1:$I$89,3,0)*0.475*44/12</f>
        <v>49.554958981143336</v>
      </c>
      <c r="AW139" s="21">
        <f>EXP(-LN(2)/2)*AW138+(1-EXP(-LN(2)/2))/(LN(2)/2)*AQ139*AT139*VLOOKUP('Données projet'!$B$10,Paramètres!$A$1:$I$89,3,0)*0.475*44/12</f>
        <v>0.11208075874033181</v>
      </c>
      <c r="AX139" s="21">
        <f t="shared" si="114"/>
        <v>132.26814188402125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5.2446581196581219</v>
      </c>
      <c r="BD139" s="12">
        <f>IF('Données projet'!$A$88&gt;35,BD138+BC139-BL138,IF(A139&lt;'Données projet'!$A$88,$BA$205^A139,IF(A139='Données projet'!$A$88,'Données projet'!$B$88,BD138+BC139-BL138)))</f>
        <v>287.82585470085434</v>
      </c>
      <c r="BE139" s="13">
        <f>BD139*VLOOKUP('Données projet'!$B$11,Paramètres!$A$1:$I$89,3,0)*VLOOKUP('Données projet'!$B$11,Paramètres!$A$1:$I$89,5,0)</f>
        <v>278.38516666666629</v>
      </c>
      <c r="BF139" s="13">
        <f t="shared" si="145"/>
        <v>66.625633384480764</v>
      </c>
      <c r="BG139" s="20">
        <f t="shared" si="115"/>
        <v>600.89381008908106</v>
      </c>
      <c r="BH139" s="59">
        <f t="shared" si="116"/>
        <v>894.22714342241443</v>
      </c>
      <c r="BI139" s="59">
        <f ca="1">AVERAGE(OFFSET($BH$3,0,0,'Données projet'!$E$11+1,1))-AVERAGE(OFFSET($H$3,0,0,'Données projet'!$E$11+1,1))</f>
        <v>366.51581861366333</v>
      </c>
      <c r="BJ139" s="59">
        <f t="shared" si="146"/>
        <v>225.01415116995503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36.666351769993533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36.666351769993533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204.00000000000017</v>
      </c>
      <c r="BZ139" s="13">
        <f>BY139*VLOOKUP('Données projet'!$B$12,Paramètres!$A$1:$I$89,3,0)*VLOOKUP('Données projet'!$B$12,Paramètres!$A$1:$I$89,5,0)</f>
        <v>133.66080000000011</v>
      </c>
      <c r="CA139" s="13">
        <f t="shared" si="147"/>
        <v>34.840890682716783</v>
      </c>
      <c r="CB139" s="20">
        <f t="shared" si="118"/>
        <v>293.4737779390652</v>
      </c>
      <c r="CC139" s="59">
        <f t="shared" si="119"/>
        <v>586.80711127239852</v>
      </c>
      <c r="CD139" s="59">
        <f ca="1">AVERAGE(OFFSET($CC$3,0,0,'Données projet'!$E$12+1,1))-AVERAGE(OFFSET($H$3,0,0,'Données projet'!$E$12+1,1))</f>
        <v>230.58262378842818</v>
      </c>
      <c r="CE139" s="59">
        <f t="shared" si="148"/>
        <v>235.68746142880792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0.76789969237376943</v>
      </c>
      <c r="CL139" s="21">
        <f>EXP(-LN(2)/25)*CL138+(1-EXP(-LN(2)/25))/(LN(2)/25)*Calculateur!CG139*Calculateur!CI139*VLOOKUP('Données projet'!$B$12,Paramètres!$A$1:$I$89,3,0)*0.475*44/12</f>
        <v>3.0133699838148598</v>
      </c>
      <c r="CM139" s="21">
        <f>EXP(-LN(2)/2)*CM138+(1-EXP(-LN(2)/2))/(LN(2)/2)*CG139*CJ139*VLOOKUP('Données projet'!$B$12,Paramètres!$A$1:$I$89,3,0)*0.475*44/12</f>
        <v>3.5489543283973855E-7</v>
      </c>
      <c r="CN139" s="22">
        <f t="shared" si="120"/>
        <v>3.7812700310840621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1.7053025658242404E-13</v>
      </c>
      <c r="CU139" s="17">
        <f>CT139*VLOOKUP('Données projet'!$B$13,Paramètres!$A$1:$I$89,3,0)*VLOOKUP('Données projet'!$B$13,Paramètres!$A$1:$I$89,5,0)</f>
        <v>1.3301360013429075E-13</v>
      </c>
      <c r="CV139" s="13">
        <f t="shared" si="149"/>
        <v>1.9329766731057041E-12</v>
      </c>
      <c r="CW139" s="20">
        <f t="shared" si="121"/>
        <v>3.5982663925596575E-12</v>
      </c>
      <c r="CX139" s="59">
        <f t="shared" si="122"/>
        <v>293.3333333333369</v>
      </c>
      <c r="CY139" s="59">
        <f ca="1">AVERAGE(OFFSET($CX$3,0,0,'Données projet'!$E$13+1,1))-AVERAGE(OFFSET($H$3,0,0,'Données projet'!$E$13+1,1))</f>
        <v>288.80569134263209</v>
      </c>
      <c r="CZ139" s="59">
        <f t="shared" si="150"/>
        <v>283.48738729114024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21.525020140683367</v>
      </c>
      <c r="DG139" s="21">
        <f>EXP(-LN(2)/25)*DG138+(1-EXP(-LN(2)/25))/(LN(2)/25)*Calculateur!DB139*Calculateur!DD139*VLOOKUP('Données projet'!$B$13,Paramètres!$A$1:$I$89,3,0)*0.475*44/12</f>
        <v>10.643506649145728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32.168526789829095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266.99999999999983</v>
      </c>
      <c r="DP139" s="17">
        <f>DO139*VLOOKUP('Données projet'!$B$14,Paramètres!$A$1:$I$89,3,0)*VLOOKUP('Données projet'!$B$14,Paramètres!$A$1:$I$89,5,0)</f>
        <v>212.42519999999985</v>
      </c>
      <c r="DQ139" s="13">
        <f t="shared" si="151"/>
        <v>52.465198231787184</v>
      </c>
      <c r="DR139" s="20">
        <f t="shared" si="124"/>
        <v>461.35077692036231</v>
      </c>
      <c r="DS139" s="59">
        <f t="shared" si="125"/>
        <v>754.68411025369562</v>
      </c>
      <c r="DT139" s="59">
        <f ca="1">AVERAGE(OFFSET($DS$3,0,0,'Données projet'!$E$14+1,1))-AVERAGE(OFFSET($H$3,0,0,'Données projet'!$E$14+1,1))</f>
        <v>299.10536994156814</v>
      </c>
      <c r="DU139" s="59">
        <f t="shared" si="152"/>
        <v>292.57799203101769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9.4975943144189934</v>
      </c>
      <c r="EB139" s="21">
        <f>EXP(-LN(2)/25)*EB138+(1-EXP(-LN(2)/25))/(LN(2)/25)*Calculateur!DW139*Calculateur!DY139*VLOOKUP('Données projet'!$B$14,Paramètres!$A$1:$I$89,3,0)*0.475*44/12</f>
        <v>1.7631185372421239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11.260712851661117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5.1431925385259092E-13</v>
      </c>
      <c r="P140" s="13">
        <f t="shared" si="141"/>
        <v>6.3855359115685756E-12</v>
      </c>
      <c r="Q140" s="20">
        <f t="shared" si="108"/>
        <v>1.2017247746441865E-11</v>
      </c>
      <c r="R140" s="59">
        <f t="shared" si="109"/>
        <v>293.33333333334531</v>
      </c>
      <c r="S140" s="59">
        <f ca="1">AVERAGE(OFFSET($R$3,0,0,'Données projet'!$E$9+1,1))-AVERAGE(OFFSET($H$3,0,0,'Données projet'!$E$9+1,1))</f>
        <v>384.05928630855732</v>
      </c>
      <c r="T140" s="59">
        <f t="shared" si="142"/>
        <v>279.93992813630513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151.82907766889255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151.82907766889255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1.9895196601282805E-13</v>
      </c>
      <c r="AJ140" s="13">
        <f>AI140*VLOOKUP('Données projet'!$B$10,Paramètres!$A$1:$I$89,3,0)*VLOOKUP('Données projet'!$B$10,Paramètres!$A$1:$I$89,5,0)</f>
        <v>1.707007868390065E-13</v>
      </c>
      <c r="AK140" s="13">
        <f t="shared" si="143"/>
        <v>2.4096578055149408E-12</v>
      </c>
      <c r="AL140" s="20">
        <f t="shared" si="112"/>
        <v>4.4941245483497909E-12</v>
      </c>
      <c r="AM140" s="59">
        <f t="shared" si="113"/>
        <v>293.33333333333781</v>
      </c>
      <c r="AN140" s="59">
        <f ca="1">AVERAGE(OFFSET($AM$3,0,0,'Données projet'!$E$10+1,1))-AVERAGE(OFFSET($H$3,0,0,'Données projet'!$E$10+1,1))</f>
        <v>335.02113791949211</v>
      </c>
      <c r="AO140" s="59">
        <f t="shared" si="144"/>
        <v>222.06886429435099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80.981344912788586</v>
      </c>
      <c r="AV140" s="21">
        <f>EXP(-LN(2)/25)*AV139+(1-EXP(-LN(2)/25))/(LN(2)/25)*Calculateur!AQ140*Calculateur!AS140*VLOOKUP('Données projet'!$B$10,Paramètres!$A$1:$I$89,3,0)*0.475*44/12</f>
        <v>48.199876021821936</v>
      </c>
      <c r="AW140" s="21">
        <f>EXP(-LN(2)/2)*AW139+(1-EXP(-LN(2)/2))/(LN(2)/2)*AQ140*AT140*VLOOKUP('Données projet'!$B$10,Paramètres!$A$1:$I$89,3,0)*0.475*44/12</f>
        <v>7.9253064545822038E-2</v>
      </c>
      <c r="AX140" s="21">
        <f t="shared" si="114"/>
        <v>129.26047399915632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293.07051282051282</v>
      </c>
      <c r="BB140" s="12">
        <f>VLOOKUP(A140,'Données projet'!$A$87:$I$107,9,0)</f>
        <v>5.2446581196581219</v>
      </c>
      <c r="BC140" s="12">
        <f t="array" ref="BC140">INDEX(BB:BB,MIN(IF(ISNUMBER(BB140:BB336),ROW(BB140:BB336),"")))</f>
        <v>5.2446581196581219</v>
      </c>
      <c r="BD140" s="12">
        <f>IF('Données projet'!$A$88&gt;35,BD139+BC140-BL139,IF(A140&lt;'Données projet'!$A$88,$BA$205^A140,IF(A140='Données projet'!$A$88,'Données projet'!$B$88,BD139+BC140-BL139)))</f>
        <v>293.07051282051248</v>
      </c>
      <c r="BE140" s="13">
        <f>BD140*VLOOKUP('Données projet'!$B$11,Paramètres!$A$1:$I$89,3,0)*VLOOKUP('Données projet'!$B$11,Paramètres!$A$1:$I$89,5,0)</f>
        <v>283.45779999999968</v>
      </c>
      <c r="BF140" s="13">
        <f t="shared" si="145"/>
        <v>67.697218620784142</v>
      </c>
      <c r="BG140" s="20">
        <f t="shared" si="115"/>
        <v>611.59499076453187</v>
      </c>
      <c r="BH140" s="59">
        <f t="shared" si="116"/>
        <v>904.92832409786524</v>
      </c>
      <c r="BI140" s="59">
        <f ca="1">AVERAGE(OFFSET($BH$3,0,0,'Données projet'!$E$11+1,1))-AVERAGE(OFFSET($H$3,0,0,'Données projet'!$E$11+1,1))</f>
        <v>366.51581861366333</v>
      </c>
      <c r="BJ140" s="59">
        <f t="shared" si="146"/>
        <v>225.01415116995503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51.160256410256409</v>
      </c>
      <c r="BM140" s="16">
        <f>IF(ISNA(VLOOKUP(A140,'Données projet'!$A$87:$I$107,5,0)),0%,VLOOKUP(A140,'Données projet'!$A$87:$I$107,5,0)*VLOOKUP('Données projet'!$B$11,Paramètres!$A$1:$I$89,7,0))</f>
        <v>0.30099999999999999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52.41238000670198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52.41238000670198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204.00000000000017</v>
      </c>
      <c r="BZ140" s="13">
        <f>BY140*VLOOKUP('Données projet'!$B$12,Paramètres!$A$1:$I$89,3,0)*VLOOKUP('Données projet'!$B$12,Paramètres!$A$1:$I$89,5,0)</f>
        <v>133.66080000000011</v>
      </c>
      <c r="CA140" s="13">
        <f t="shared" si="147"/>
        <v>34.840890682716783</v>
      </c>
      <c r="CB140" s="20">
        <f t="shared" si="118"/>
        <v>293.4737779390652</v>
      </c>
      <c r="CC140" s="59">
        <f t="shared" si="119"/>
        <v>586.80711127239852</v>
      </c>
      <c r="CD140" s="59">
        <f ca="1">AVERAGE(OFFSET($CC$3,0,0,'Données projet'!$E$12+1,1))-AVERAGE(OFFSET($H$3,0,0,'Données projet'!$E$12+1,1))</f>
        <v>230.58262378842818</v>
      </c>
      <c r="CE140" s="59">
        <f t="shared" si="148"/>
        <v>235.68746142880792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0.75284164777888418</v>
      </c>
      <c r="CL140" s="21">
        <f>EXP(-LN(2)/25)*CL139+(1-EXP(-LN(2)/25))/(LN(2)/25)*Calculateur!CG140*Calculateur!CI140*VLOOKUP('Données projet'!$B$12,Paramètres!$A$1:$I$89,3,0)*0.475*44/12</f>
        <v>2.9309692231412021</v>
      </c>
      <c r="CM140" s="21">
        <f>EXP(-LN(2)/2)*CM139+(1-EXP(-LN(2)/2))/(LN(2)/2)*CG140*CJ140*VLOOKUP('Données projet'!$B$12,Paramètres!$A$1:$I$89,3,0)*0.475*44/12</f>
        <v>2.5094896717311407E-7</v>
      </c>
      <c r="CN140" s="22">
        <f t="shared" si="120"/>
        <v>3.6838111218690539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1.7053025658242404E-13</v>
      </c>
      <c r="CU140" s="17">
        <f>CT140*VLOOKUP('Données projet'!$B$13,Paramètres!$A$1:$I$89,3,0)*VLOOKUP('Données projet'!$B$13,Paramètres!$A$1:$I$89,5,0)</f>
        <v>1.3301360013429075E-13</v>
      </c>
      <c r="CV140" s="13">
        <f t="shared" si="149"/>
        <v>1.9329766731057041E-12</v>
      </c>
      <c r="CW140" s="20">
        <f t="shared" si="121"/>
        <v>3.5982663925596575E-12</v>
      </c>
      <c r="CX140" s="59">
        <f t="shared" si="122"/>
        <v>293.3333333333369</v>
      </c>
      <c r="CY140" s="59">
        <f ca="1">AVERAGE(OFFSET($CX$3,0,0,'Données projet'!$E$13+1,1))-AVERAGE(OFFSET($H$3,0,0,'Données projet'!$E$13+1,1))</f>
        <v>288.80569134263209</v>
      </c>
      <c r="CZ140" s="59">
        <f t="shared" si="150"/>
        <v>283.48738729114024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21.102927624690473</v>
      </c>
      <c r="DG140" s="21">
        <f>EXP(-LN(2)/25)*DG139+(1-EXP(-LN(2)/25))/(LN(2)/25)*Calculateur!DB140*Calculateur!DD140*VLOOKUP('Données projet'!$B$13,Paramètres!$A$1:$I$89,3,0)*0.475*44/12</f>
        <v>10.352459400107149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31.455387024797623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266.99999999999983</v>
      </c>
      <c r="DP140" s="17">
        <f>DO140*VLOOKUP('Données projet'!$B$14,Paramètres!$A$1:$I$89,3,0)*VLOOKUP('Données projet'!$B$14,Paramètres!$A$1:$I$89,5,0)</f>
        <v>212.42519999999985</v>
      </c>
      <c r="DQ140" s="13">
        <f t="shared" si="151"/>
        <v>52.465198231787184</v>
      </c>
      <c r="DR140" s="20">
        <f t="shared" si="124"/>
        <v>461.35077692036231</v>
      </c>
      <c r="DS140" s="59">
        <f t="shared" si="125"/>
        <v>754.68411025369562</v>
      </c>
      <c r="DT140" s="59">
        <f ca="1">AVERAGE(OFFSET($DS$3,0,0,'Données projet'!$E$14+1,1))-AVERAGE(OFFSET($H$3,0,0,'Données projet'!$E$14+1,1))</f>
        <v>299.10536994156814</v>
      </c>
      <c r="DU140" s="59">
        <f t="shared" si="152"/>
        <v>292.57799203101769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9.3113522828737612</v>
      </c>
      <c r="EB140" s="21">
        <f>EXP(-LN(2)/25)*EB139+(1-EXP(-LN(2)/25))/(LN(2)/25)*Calculateur!DW140*Calculateur!DY140*VLOOKUP('Données projet'!$B$14,Paramètres!$A$1:$I$89,3,0)*0.475*44/12</f>
        <v>1.7149059681228638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11.026258250996625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5.1431925385259092E-13</v>
      </c>
      <c r="P141" s="13">
        <f t="shared" si="141"/>
        <v>6.3855359115685756E-12</v>
      </c>
      <c r="Q141" s="20">
        <f t="shared" si="108"/>
        <v>1.2017247746441865E-11</v>
      </c>
      <c r="R141" s="59">
        <f t="shared" si="109"/>
        <v>293.33333333334531</v>
      </c>
      <c r="S141" s="59">
        <f ca="1">AVERAGE(OFFSET($R$3,0,0,'Données projet'!$E$9+1,1))-AVERAGE(OFFSET($H$3,0,0,'Données projet'!$E$9+1,1))</f>
        <v>384.05928630855732</v>
      </c>
      <c r="T141" s="59">
        <f t="shared" si="142"/>
        <v>279.93992813630513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148.8518020623988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148.8518020623988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1.9895196601282805E-13</v>
      </c>
      <c r="AJ141" s="13">
        <f>AI141*VLOOKUP('Données projet'!$B$10,Paramètres!$A$1:$I$89,3,0)*VLOOKUP('Données projet'!$B$10,Paramètres!$A$1:$I$89,5,0)</f>
        <v>1.707007868390065E-13</v>
      </c>
      <c r="AK141" s="13">
        <f t="shared" si="143"/>
        <v>2.4096578055149408E-12</v>
      </c>
      <c r="AL141" s="20">
        <f t="shared" si="112"/>
        <v>4.4941245483497909E-12</v>
      </c>
      <c r="AM141" s="59">
        <f t="shared" si="113"/>
        <v>293.33333333333781</v>
      </c>
      <c r="AN141" s="59">
        <f ca="1">AVERAGE(OFFSET($AM$3,0,0,'Données projet'!$E$10+1,1))-AVERAGE(OFFSET($H$3,0,0,'Données projet'!$E$10+1,1))</f>
        <v>335.02113791949211</v>
      </c>
      <c r="AO141" s="59">
        <f t="shared" si="144"/>
        <v>222.06886429435099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79.393350132791966</v>
      </c>
      <c r="AV141" s="21">
        <f>EXP(-LN(2)/25)*AV140+(1-EXP(-LN(2)/25))/(LN(2)/25)*Calculateur!AQ141*Calculateur!AS141*VLOOKUP('Données projet'!$B$10,Paramètres!$A$1:$I$89,3,0)*0.475*44/12</f>
        <v>46.881847877283896</v>
      </c>
      <c r="AW141" s="21">
        <f>EXP(-LN(2)/2)*AW140+(1-EXP(-LN(2)/2))/(LN(2)/2)*AQ141*AT141*VLOOKUP('Données projet'!$B$10,Paramètres!$A$1:$I$89,3,0)*0.475*44/12</f>
        <v>5.6040379370165913E-2</v>
      </c>
      <c r="AX141" s="21">
        <f t="shared" si="114"/>
        <v>126.33123838944601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5.1063034188034209</v>
      </c>
      <c r="BD141" s="12">
        <f>IF('Données projet'!$A$88&gt;35,BD140+BC141-BL140,IF(A141&lt;'Données projet'!$A$88,$BA$205^A141,IF(A141='Données projet'!$A$88,'Données projet'!$B$88,BD140+BC141-BL140)))</f>
        <v>247.01655982905947</v>
      </c>
      <c r="BE141" s="13">
        <f>BD141*VLOOKUP('Données projet'!$B$11,Paramètres!$A$1:$I$89,3,0)*VLOOKUP('Données projet'!$B$11,Paramètres!$A$1:$I$89,5,0)</f>
        <v>238.91441666666631</v>
      </c>
      <c r="BF141" s="13">
        <f t="shared" si="145"/>
        <v>58.205900348154188</v>
      </c>
      <c r="BG141" s="20">
        <f t="shared" si="115"/>
        <v>517.4845521341457</v>
      </c>
      <c r="BH141" s="59">
        <f t="shared" si="116"/>
        <v>810.81788546747907</v>
      </c>
      <c r="BI141" s="59">
        <f ca="1">AVERAGE(OFFSET($BH$3,0,0,'Données projet'!$E$11+1,1))-AVERAGE(OFFSET($H$3,0,0,'Données projet'!$E$11+1,1))</f>
        <v>366.51581861366333</v>
      </c>
      <c r="BJ141" s="59">
        <f t="shared" si="146"/>
        <v>225.01415116995503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51.384605203165741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51.384605203165741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204.00000000000017</v>
      </c>
      <c r="BZ141" s="13">
        <f>BY141*VLOOKUP('Données projet'!$B$12,Paramètres!$A$1:$I$89,3,0)*VLOOKUP('Données projet'!$B$12,Paramètres!$A$1:$I$89,5,0)</f>
        <v>133.66080000000011</v>
      </c>
      <c r="CA141" s="13">
        <f t="shared" si="147"/>
        <v>34.840890682716783</v>
      </c>
      <c r="CB141" s="20">
        <f t="shared" si="118"/>
        <v>293.4737779390652</v>
      </c>
      <c r="CC141" s="59">
        <f t="shared" si="119"/>
        <v>586.80711127239852</v>
      </c>
      <c r="CD141" s="59">
        <f ca="1">AVERAGE(OFFSET($CC$3,0,0,'Données projet'!$E$12+1,1))-AVERAGE(OFFSET($H$3,0,0,'Données projet'!$E$12+1,1))</f>
        <v>230.58262378842818</v>
      </c>
      <c r="CE141" s="59">
        <f t="shared" si="148"/>
        <v>235.68746142880792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0.73807888225400431</v>
      </c>
      <c r="CL141" s="21">
        <f>EXP(-LN(2)/25)*CL140+(1-EXP(-LN(2)/25))/(LN(2)/25)*Calculateur!CG141*Calculateur!CI141*VLOOKUP('Données projet'!$B$12,Paramètres!$A$1:$I$89,3,0)*0.475*44/12</f>
        <v>2.8508217156014335</v>
      </c>
      <c r="CM141" s="21">
        <f>EXP(-LN(2)/2)*CM140+(1-EXP(-LN(2)/2))/(LN(2)/2)*CG141*CJ141*VLOOKUP('Données projet'!$B$12,Paramètres!$A$1:$I$89,3,0)*0.475*44/12</f>
        <v>1.7744771641986927E-7</v>
      </c>
      <c r="CN141" s="22">
        <f t="shared" si="120"/>
        <v>3.5889007753031543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1.7053025658242404E-13</v>
      </c>
      <c r="CU141" s="17">
        <f>CT141*VLOOKUP('Données projet'!$B$13,Paramètres!$A$1:$I$89,3,0)*VLOOKUP('Données projet'!$B$13,Paramètres!$A$1:$I$89,5,0)</f>
        <v>1.3301360013429075E-13</v>
      </c>
      <c r="CV141" s="13">
        <f t="shared" si="149"/>
        <v>1.9329766731057041E-12</v>
      </c>
      <c r="CW141" s="20">
        <f t="shared" si="121"/>
        <v>3.5982663925596575E-12</v>
      </c>
      <c r="CX141" s="59">
        <f t="shared" si="122"/>
        <v>293.3333333333369</v>
      </c>
      <c r="CY141" s="59">
        <f ca="1">AVERAGE(OFFSET($CX$3,0,0,'Données projet'!$E$13+1,1))-AVERAGE(OFFSET($H$3,0,0,'Données projet'!$E$13+1,1))</f>
        <v>288.80569134263209</v>
      </c>
      <c r="CZ141" s="59">
        <f t="shared" si="150"/>
        <v>283.48738729114024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20.689112085485188</v>
      </c>
      <c r="DG141" s="21">
        <f>EXP(-LN(2)/25)*DG140+(1-EXP(-LN(2)/25))/(LN(2)/25)*Calculateur!DB141*Calculateur!DD141*VLOOKUP('Données projet'!$B$13,Paramètres!$A$1:$I$89,3,0)*0.475*44/12</f>
        <v>10.06937085339904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30.758482938884228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266.99999999999983</v>
      </c>
      <c r="DP141" s="17">
        <f>DO141*VLOOKUP('Données projet'!$B$14,Paramètres!$A$1:$I$89,3,0)*VLOOKUP('Données projet'!$B$14,Paramètres!$A$1:$I$89,5,0)</f>
        <v>212.42519999999985</v>
      </c>
      <c r="DQ141" s="13">
        <f t="shared" si="151"/>
        <v>52.465198231787184</v>
      </c>
      <c r="DR141" s="20">
        <f t="shared" si="124"/>
        <v>461.35077692036231</v>
      </c>
      <c r="DS141" s="59">
        <f t="shared" si="125"/>
        <v>754.68411025369562</v>
      </c>
      <c r="DT141" s="59">
        <f ca="1">AVERAGE(OFFSET($DS$3,0,0,'Données projet'!$E$14+1,1))-AVERAGE(OFFSET($H$3,0,0,'Données projet'!$E$14+1,1))</f>
        <v>299.10536994156814</v>
      </c>
      <c r="DU141" s="59">
        <f t="shared" si="152"/>
        <v>292.57799203101769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9.128762343970708</v>
      </c>
      <c r="EB141" s="21">
        <f>EXP(-LN(2)/25)*EB140+(1-EXP(-LN(2)/25))/(LN(2)/25)*Calculateur!DW141*Calculateur!DY141*VLOOKUP('Données projet'!$B$14,Paramètres!$A$1:$I$89,3,0)*0.475*44/12</f>
        <v>1.6680117742415588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10.796774118212266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5.1431925385259092E-13</v>
      </c>
      <c r="P142" s="13">
        <f t="shared" si="141"/>
        <v>6.3855359115685756E-12</v>
      </c>
      <c r="Q142" s="20">
        <f t="shared" si="108"/>
        <v>1.2017247746441865E-11</v>
      </c>
      <c r="R142" s="59">
        <f t="shared" si="109"/>
        <v>293.33333333334531</v>
      </c>
      <c r="S142" s="59">
        <f ca="1">AVERAGE(OFFSET($R$3,0,0,'Données projet'!$E$9+1,1))-AVERAGE(OFFSET($H$3,0,0,'Données projet'!$E$9+1,1))</f>
        <v>384.05928630855732</v>
      </c>
      <c r="T142" s="59">
        <f t="shared" si="142"/>
        <v>279.93992813630513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145.9329090145896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145.9329090145896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1.9895196601282805E-13</v>
      </c>
      <c r="AJ142" s="13">
        <f>AI142*VLOOKUP('Données projet'!$B$10,Paramètres!$A$1:$I$89,3,0)*VLOOKUP('Données projet'!$B$10,Paramètres!$A$1:$I$89,5,0)</f>
        <v>1.707007868390065E-13</v>
      </c>
      <c r="AK142" s="13">
        <f t="shared" si="143"/>
        <v>2.4096578055149408E-12</v>
      </c>
      <c r="AL142" s="20">
        <f t="shared" si="112"/>
        <v>4.4941245483497909E-12</v>
      </c>
      <c r="AM142" s="59">
        <f t="shared" si="113"/>
        <v>293.33333333333781</v>
      </c>
      <c r="AN142" s="59">
        <f ca="1">AVERAGE(OFFSET($AM$3,0,0,'Données projet'!$E$10+1,1))-AVERAGE(OFFSET($H$3,0,0,'Données projet'!$E$10+1,1))</f>
        <v>335.02113791949211</v>
      </c>
      <c r="AO142" s="59">
        <f t="shared" si="144"/>
        <v>222.06886429435099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77.836494961849908</v>
      </c>
      <c r="AV142" s="21">
        <f>EXP(-LN(2)/25)*AV141+(1-EXP(-LN(2)/25))/(LN(2)/25)*Calculateur!AQ142*Calculateur!AS142*VLOOKUP('Données projet'!$B$10,Paramètres!$A$1:$I$89,3,0)*0.475*44/12</f>
        <v>45.599861281670336</v>
      </c>
      <c r="AW142" s="21">
        <f>EXP(-LN(2)/2)*AW141+(1-EXP(-LN(2)/2))/(LN(2)/2)*AQ142*AT142*VLOOKUP('Données projet'!$B$10,Paramètres!$A$1:$I$89,3,0)*0.475*44/12</f>
        <v>3.9626532272911026E-2</v>
      </c>
      <c r="AX142" s="21">
        <f t="shared" si="114"/>
        <v>123.47598277579314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5.1063034188034209</v>
      </c>
      <c r="BD142" s="12">
        <f>IF('Données projet'!$A$88&gt;35,BD141+BC142-BL141,IF(A142&lt;'Données projet'!$A$88,$BA$205^A142,IF(A142='Données projet'!$A$88,'Données projet'!$B$88,BD141+BC142-BL141)))</f>
        <v>252.12286324786288</v>
      </c>
      <c r="BE142" s="13">
        <f>BD142*VLOOKUP('Données projet'!$B$11,Paramètres!$A$1:$I$89,3,0)*VLOOKUP('Données projet'!$B$11,Paramètres!$A$1:$I$89,5,0)</f>
        <v>243.85323333333301</v>
      </c>
      <c r="BF142" s="13">
        <f t="shared" si="145"/>
        <v>59.267802329610895</v>
      </c>
      <c r="BG142" s="20">
        <f t="shared" si="115"/>
        <v>527.93580377962724</v>
      </c>
      <c r="BH142" s="59">
        <f t="shared" si="116"/>
        <v>821.26913711296061</v>
      </c>
      <c r="BI142" s="59">
        <f ca="1">AVERAGE(OFFSET($BH$3,0,0,'Données projet'!$E$11+1,1))-AVERAGE(OFFSET($H$3,0,0,'Données projet'!$E$11+1,1))</f>
        <v>366.51581861366333</v>
      </c>
      <c r="BJ142" s="59">
        <f t="shared" si="146"/>
        <v>225.01415116995503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50.376984436646119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50.376984436646119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204.00000000000017</v>
      </c>
      <c r="BZ142" s="13">
        <f>BY142*VLOOKUP('Données projet'!$B$12,Paramètres!$A$1:$I$89,3,0)*VLOOKUP('Données projet'!$B$12,Paramètres!$A$1:$I$89,5,0)</f>
        <v>133.66080000000011</v>
      </c>
      <c r="CA142" s="13">
        <f t="shared" si="147"/>
        <v>34.840890682716783</v>
      </c>
      <c r="CB142" s="20">
        <f t="shared" si="118"/>
        <v>293.4737779390652</v>
      </c>
      <c r="CC142" s="59">
        <f t="shared" si="119"/>
        <v>586.80711127239852</v>
      </c>
      <c r="CD142" s="59">
        <f ca="1">AVERAGE(OFFSET($CC$3,0,0,'Données projet'!$E$12+1,1))-AVERAGE(OFFSET($H$3,0,0,'Données projet'!$E$12+1,1))</f>
        <v>230.58262378842818</v>
      </c>
      <c r="CE142" s="59">
        <f t="shared" si="148"/>
        <v>235.68746142880792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0.72360560555666953</v>
      </c>
      <c r="CL142" s="21">
        <f>EXP(-LN(2)/25)*CL141+(1-EXP(-LN(2)/25))/(LN(2)/25)*Calculateur!CG142*Calculateur!CI142*VLOOKUP('Données projet'!$B$12,Paramètres!$A$1:$I$89,3,0)*0.475*44/12</f>
        <v>2.7728658458701139</v>
      </c>
      <c r="CM142" s="21">
        <f>EXP(-LN(2)/2)*CM141+(1-EXP(-LN(2)/2))/(LN(2)/2)*CG142*CJ142*VLOOKUP('Données projet'!$B$12,Paramètres!$A$1:$I$89,3,0)*0.475*44/12</f>
        <v>1.2547448358655704E-7</v>
      </c>
      <c r="CN142" s="22">
        <f t="shared" si="120"/>
        <v>3.4964715769012673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1.7053025658242404E-13</v>
      </c>
      <c r="CU142" s="17">
        <f>CT142*VLOOKUP('Données projet'!$B$13,Paramètres!$A$1:$I$89,3,0)*VLOOKUP('Données projet'!$B$13,Paramètres!$A$1:$I$89,5,0)</f>
        <v>1.3301360013429075E-13</v>
      </c>
      <c r="CV142" s="13">
        <f t="shared" si="149"/>
        <v>1.9329766731057041E-12</v>
      </c>
      <c r="CW142" s="20">
        <f t="shared" si="121"/>
        <v>3.5982663925596575E-12</v>
      </c>
      <c r="CX142" s="59">
        <f t="shared" si="122"/>
        <v>293.3333333333369</v>
      </c>
      <c r="CY142" s="59">
        <f ca="1">AVERAGE(OFFSET($CX$3,0,0,'Données projet'!$E$13+1,1))-AVERAGE(OFFSET($H$3,0,0,'Données projet'!$E$13+1,1))</f>
        <v>288.80569134263209</v>
      </c>
      <c r="CZ142" s="59">
        <f t="shared" si="150"/>
        <v>283.48738729114024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20.283411216601163</v>
      </c>
      <c r="DG142" s="21">
        <f>EXP(-LN(2)/25)*DG141+(1-EXP(-LN(2)/25))/(LN(2)/25)*Calculateur!DB142*Calculateur!DD142*VLOOKUP('Données projet'!$B$13,Paramètres!$A$1:$I$89,3,0)*0.475*44/12</f>
        <v>9.794023377887644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30.077434594488807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266.99999999999983</v>
      </c>
      <c r="DP142" s="17">
        <f>DO142*VLOOKUP('Données projet'!$B$14,Paramètres!$A$1:$I$89,3,0)*VLOOKUP('Données projet'!$B$14,Paramètres!$A$1:$I$89,5,0)</f>
        <v>212.42519999999985</v>
      </c>
      <c r="DQ142" s="13">
        <f t="shared" si="151"/>
        <v>52.465198231787184</v>
      </c>
      <c r="DR142" s="20">
        <f t="shared" si="124"/>
        <v>461.35077692036231</v>
      </c>
      <c r="DS142" s="59">
        <f t="shared" si="125"/>
        <v>754.68411025369562</v>
      </c>
      <c r="DT142" s="59">
        <f ca="1">AVERAGE(OFFSET($DS$3,0,0,'Données projet'!$E$14+1,1))-AVERAGE(OFFSET($H$3,0,0,'Données projet'!$E$14+1,1))</f>
        <v>299.10536994156814</v>
      </c>
      <c r="DU142" s="59">
        <f t="shared" si="152"/>
        <v>292.57799203101769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8.9497528824006789</v>
      </c>
      <c r="EB142" s="21">
        <f>EXP(-LN(2)/25)*EB141+(1-EXP(-LN(2)/25))/(LN(2)/25)*Calculateur!DW142*Calculateur!DY142*VLOOKUP('Données projet'!$B$14,Paramètres!$A$1:$I$89,3,0)*0.475*44/12</f>
        <v>1.6223999045579964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10.572152786958675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5.1431925385259092E-13</v>
      </c>
      <c r="P143" s="13">
        <f t="shared" si="141"/>
        <v>6.3855359115685756E-12</v>
      </c>
      <c r="Q143" s="20">
        <f t="shared" si="108"/>
        <v>1.2017247746441865E-11</v>
      </c>
      <c r="R143" s="59">
        <f t="shared" si="109"/>
        <v>293.33333333334531</v>
      </c>
      <c r="S143" s="59">
        <f ca="1">AVERAGE(OFFSET($R$3,0,0,'Données projet'!$E$9+1,1))-AVERAGE(OFFSET($H$3,0,0,'Données projet'!$E$9+1,1))</f>
        <v>384.05928630855732</v>
      </c>
      <c r="T143" s="59">
        <f t="shared" si="142"/>
        <v>279.93992813630513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143.07125367909896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143.07125367909896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1.9895196601282805E-13</v>
      </c>
      <c r="AJ143" s="13">
        <f>AI143*VLOOKUP('Données projet'!$B$10,Paramètres!$A$1:$I$89,3,0)*VLOOKUP('Données projet'!$B$10,Paramètres!$A$1:$I$89,5,0)</f>
        <v>1.707007868390065E-13</v>
      </c>
      <c r="AK143" s="13">
        <f t="shared" si="143"/>
        <v>2.4096578055149408E-12</v>
      </c>
      <c r="AL143" s="20">
        <f t="shared" si="112"/>
        <v>4.4941245483497909E-12</v>
      </c>
      <c r="AM143" s="59">
        <f t="shared" si="113"/>
        <v>293.33333333333781</v>
      </c>
      <c r="AN143" s="59">
        <f ca="1">AVERAGE(OFFSET($AM$3,0,0,'Données projet'!$E$10+1,1))-AVERAGE(OFFSET($H$3,0,0,'Données projet'!$E$10+1,1))</f>
        <v>335.02113791949211</v>
      </c>
      <c r="AO143" s="59">
        <f t="shared" si="144"/>
        <v>222.06886429435099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76.310168771222138</v>
      </c>
      <c r="AV143" s="21">
        <f>EXP(-LN(2)/25)*AV142+(1-EXP(-LN(2)/25))/(LN(2)/25)*Calculateur!AQ143*Calculateur!AS143*VLOOKUP('Données projet'!$B$10,Paramètres!$A$1:$I$89,3,0)*0.475*44/12</f>
        <v>44.352930676930576</v>
      </c>
      <c r="AW143" s="21">
        <f>EXP(-LN(2)/2)*AW142+(1-EXP(-LN(2)/2))/(LN(2)/2)*AQ143*AT143*VLOOKUP('Données projet'!$B$10,Paramètres!$A$1:$I$89,3,0)*0.475*44/12</f>
        <v>2.8020189685082963E-2</v>
      </c>
      <c r="AX143" s="21">
        <f t="shared" si="114"/>
        <v>120.69111963783779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5.1063034188034209</v>
      </c>
      <c r="BD143" s="12">
        <f>IF('Données projet'!$A$88&gt;35,BD142+BC143-BL142,IF(A143&lt;'Données projet'!$A$88,$BA$205^A143,IF(A143='Données projet'!$A$88,'Données projet'!$B$88,BD142+BC143-BL142)))</f>
        <v>257.22916666666629</v>
      </c>
      <c r="BE143" s="13">
        <f>BD143*VLOOKUP('Données projet'!$B$11,Paramètres!$A$1:$I$89,3,0)*VLOOKUP('Données projet'!$B$11,Paramètres!$A$1:$I$89,5,0)</f>
        <v>248.79204999999965</v>
      </c>
      <c r="BF143" s="13">
        <f t="shared" si="145"/>
        <v>60.327203669965584</v>
      </c>
      <c r="BG143" s="20">
        <f t="shared" si="115"/>
        <v>538.38270014185616</v>
      </c>
      <c r="BH143" s="59">
        <f t="shared" si="116"/>
        <v>831.71603347518953</v>
      </c>
      <c r="BI143" s="59">
        <f ca="1">AVERAGE(OFFSET($BH$3,0,0,'Données projet'!$E$11+1,1))-AVERAGE(OFFSET($H$3,0,0,'Données projet'!$E$11+1,1))</f>
        <v>366.51581861366333</v>
      </c>
      <c r="BJ143" s="59">
        <f t="shared" si="146"/>
        <v>225.01415116995503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49.389122498769964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49.389122498769964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204.00000000000017</v>
      </c>
      <c r="BZ143" s="13">
        <f>BY143*VLOOKUP('Données projet'!$B$12,Paramètres!$A$1:$I$89,3,0)*VLOOKUP('Données projet'!$B$12,Paramètres!$A$1:$I$89,5,0)</f>
        <v>133.66080000000011</v>
      </c>
      <c r="CA143" s="13">
        <f t="shared" si="147"/>
        <v>34.840890682716783</v>
      </c>
      <c r="CB143" s="20">
        <f t="shared" si="118"/>
        <v>293.4737779390652</v>
      </c>
      <c r="CC143" s="59">
        <f t="shared" si="119"/>
        <v>586.80711127239852</v>
      </c>
      <c r="CD143" s="59">
        <f ca="1">AVERAGE(OFFSET($CC$3,0,0,'Données projet'!$E$12+1,1))-AVERAGE(OFFSET($H$3,0,0,'Données projet'!$E$12+1,1))</f>
        <v>230.58262378842818</v>
      </c>
      <c r="CE143" s="59">
        <f t="shared" si="148"/>
        <v>235.68746142880792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0.70941614098754235</v>
      </c>
      <c r="CL143" s="21">
        <f>EXP(-LN(2)/25)*CL142+(1-EXP(-LN(2)/25))/(LN(2)/25)*Calculateur!CG143*Calculateur!CI143*VLOOKUP('Données projet'!$B$12,Paramètres!$A$1:$I$89,3,0)*0.475*44/12</f>
        <v>2.6970416834961184</v>
      </c>
      <c r="CM143" s="21">
        <f>EXP(-LN(2)/2)*CM142+(1-EXP(-LN(2)/2))/(LN(2)/2)*CG143*CJ143*VLOOKUP('Données projet'!$B$12,Paramètres!$A$1:$I$89,3,0)*0.475*44/12</f>
        <v>8.8723858209934636E-8</v>
      </c>
      <c r="CN143" s="22">
        <f t="shared" si="120"/>
        <v>3.4064579132075186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1.7053025658242404E-13</v>
      </c>
      <c r="CU143" s="17">
        <f>CT143*VLOOKUP('Données projet'!$B$13,Paramètres!$A$1:$I$89,3,0)*VLOOKUP('Données projet'!$B$13,Paramètres!$A$1:$I$89,5,0)</f>
        <v>1.3301360013429075E-13</v>
      </c>
      <c r="CV143" s="13">
        <f t="shared" si="149"/>
        <v>1.9329766731057041E-12</v>
      </c>
      <c r="CW143" s="20">
        <f t="shared" si="121"/>
        <v>3.5982663925596575E-12</v>
      </c>
      <c r="CX143" s="59">
        <f t="shared" si="122"/>
        <v>293.3333333333369</v>
      </c>
      <c r="CY143" s="59">
        <f ca="1">AVERAGE(OFFSET($CX$3,0,0,'Données projet'!$E$13+1,1))-AVERAGE(OFFSET($H$3,0,0,'Données projet'!$E$13+1,1))</f>
        <v>288.80569134263209</v>
      </c>
      <c r="CZ143" s="59">
        <f t="shared" si="150"/>
        <v>283.48738729114024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19.885665894302857</v>
      </c>
      <c r="DG143" s="21">
        <f>EXP(-LN(2)/25)*DG142+(1-EXP(-LN(2)/25))/(LN(2)/25)*Calculateur!DB143*Calculateur!DD143*VLOOKUP('Données projet'!$B$13,Paramètres!$A$1:$I$89,3,0)*0.475*44/12</f>
        <v>9.5262052935740016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29.411871187876859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266.99999999999983</v>
      </c>
      <c r="DP143" s="17">
        <f>DO143*VLOOKUP('Données projet'!$B$14,Paramètres!$A$1:$I$89,3,0)*VLOOKUP('Données projet'!$B$14,Paramètres!$A$1:$I$89,5,0)</f>
        <v>212.42519999999985</v>
      </c>
      <c r="DQ143" s="13">
        <f t="shared" si="151"/>
        <v>52.465198231787184</v>
      </c>
      <c r="DR143" s="20">
        <f t="shared" si="124"/>
        <v>461.35077692036231</v>
      </c>
      <c r="DS143" s="59">
        <f t="shared" si="125"/>
        <v>754.68411025369562</v>
      </c>
      <c r="DT143" s="59">
        <f ca="1">AVERAGE(OFFSET($DS$3,0,0,'Données projet'!$E$14+1,1))-AVERAGE(OFFSET($H$3,0,0,'Données projet'!$E$14+1,1))</f>
        <v>299.10536994156814</v>
      </c>
      <c r="DU143" s="59">
        <f t="shared" si="152"/>
        <v>292.57799203101769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8.7742536871870467</v>
      </c>
      <c r="EB143" s="21">
        <f>EXP(-LN(2)/25)*EB142+(1-EXP(-LN(2)/25))/(LN(2)/25)*Calculateur!DW143*Calculateur!DY143*VLOOKUP('Données projet'!$B$14,Paramètres!$A$1:$I$89,3,0)*0.475*44/12</f>
        <v>1.578035293849555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10.352288981036601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5.1431925385259092E-13</v>
      </c>
      <c r="P144" s="13">
        <f t="shared" si="141"/>
        <v>6.3855359115685756E-12</v>
      </c>
      <c r="Q144" s="20">
        <f t="shared" si="108"/>
        <v>1.2017247746441865E-11</v>
      </c>
      <c r="R144" s="59">
        <f t="shared" si="109"/>
        <v>293.33333333334531</v>
      </c>
      <c r="S144" s="59">
        <f ca="1">AVERAGE(OFFSET($R$3,0,0,'Données projet'!$E$9+1,1))-AVERAGE(OFFSET($H$3,0,0,'Données projet'!$E$9+1,1))</f>
        <v>384.05928630855732</v>
      </c>
      <c r="T144" s="59">
        <f t="shared" si="142"/>
        <v>279.93992813630513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140.26571365929988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140.26571365929988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1.9895196601282805E-13</v>
      </c>
      <c r="AJ144" s="13">
        <f>AI144*VLOOKUP('Données projet'!$B$10,Paramètres!$A$1:$I$89,3,0)*VLOOKUP('Données projet'!$B$10,Paramètres!$A$1:$I$89,5,0)</f>
        <v>1.707007868390065E-13</v>
      </c>
      <c r="AK144" s="13">
        <f t="shared" si="143"/>
        <v>2.4096578055149408E-12</v>
      </c>
      <c r="AL144" s="20">
        <f t="shared" si="112"/>
        <v>4.4941245483497909E-12</v>
      </c>
      <c r="AM144" s="59">
        <f t="shared" si="113"/>
        <v>293.33333333333781</v>
      </c>
      <c r="AN144" s="59">
        <f ca="1">AVERAGE(OFFSET($AM$3,0,0,'Données projet'!$E$10+1,1))-AVERAGE(OFFSET($H$3,0,0,'Données projet'!$E$10+1,1))</f>
        <v>335.02113791949211</v>
      </c>
      <c r="AO144" s="59">
        <f t="shared" si="144"/>
        <v>222.06886429435099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74.813772906225523</v>
      </c>
      <c r="AV144" s="21">
        <f>EXP(-LN(2)/25)*AV143+(1-EXP(-LN(2)/25))/(LN(2)/25)*Calculateur!AQ144*Calculateur!AS144*VLOOKUP('Données projet'!$B$10,Paramètres!$A$1:$I$89,3,0)*0.475*44/12</f>
        <v>43.140097455150652</v>
      </c>
      <c r="AW144" s="21">
        <f>EXP(-LN(2)/2)*AW143+(1-EXP(-LN(2)/2))/(LN(2)/2)*AQ144*AT144*VLOOKUP('Données projet'!$B$10,Paramètres!$A$1:$I$89,3,0)*0.475*44/12</f>
        <v>1.9813266136455517E-2</v>
      </c>
      <c r="AX144" s="21">
        <f t="shared" si="114"/>
        <v>117.97368362751263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5.1063034188034209</v>
      </c>
      <c r="BD144" s="12">
        <f>IF('Données projet'!$A$88&gt;35,BD143+BC144-BL143,IF(A144&lt;'Données projet'!$A$88,$BA$205^A144,IF(A144='Données projet'!$A$88,'Données projet'!$B$88,BD143+BC144-BL143)))</f>
        <v>262.33547008546969</v>
      </c>
      <c r="BE144" s="13">
        <f>BD144*VLOOKUP('Données projet'!$B$11,Paramètres!$A$1:$I$89,3,0)*VLOOKUP('Données projet'!$B$11,Paramètres!$A$1:$I$89,5,0)</f>
        <v>253.73086666666632</v>
      </c>
      <c r="BF144" s="13">
        <f t="shared" si="145"/>
        <v>61.38415973143946</v>
      </c>
      <c r="BG144" s="20">
        <f t="shared" si="115"/>
        <v>548.82533764336756</v>
      </c>
      <c r="BH144" s="59">
        <f t="shared" si="116"/>
        <v>842.15867097670093</v>
      </c>
      <c r="BI144" s="59">
        <f ca="1">AVERAGE(OFFSET($BH$3,0,0,'Données projet'!$E$11+1,1))-AVERAGE(OFFSET($H$3,0,0,'Données projet'!$E$11+1,1))</f>
        <v>366.51581861366333</v>
      </c>
      <c r="BJ144" s="59">
        <f t="shared" si="146"/>
        <v>225.01415116995503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48.420631930959274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48.420631930959274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204.00000000000017</v>
      </c>
      <c r="BZ144" s="13">
        <f>BY144*VLOOKUP('Données projet'!$B$12,Paramètres!$A$1:$I$89,3,0)*VLOOKUP('Données projet'!$B$12,Paramètres!$A$1:$I$89,5,0)</f>
        <v>133.66080000000011</v>
      </c>
      <c r="CA144" s="13">
        <f t="shared" si="147"/>
        <v>34.840890682716783</v>
      </c>
      <c r="CB144" s="20">
        <f t="shared" si="118"/>
        <v>293.4737779390652</v>
      </c>
      <c r="CC144" s="59">
        <f t="shared" si="119"/>
        <v>586.80711127239852</v>
      </c>
      <c r="CD144" s="59">
        <f ca="1">AVERAGE(OFFSET($CC$3,0,0,'Données projet'!$E$12+1,1))-AVERAGE(OFFSET($H$3,0,0,'Données projet'!$E$12+1,1))</f>
        <v>230.58262378842818</v>
      </c>
      <c r="CE144" s="59">
        <f t="shared" si="148"/>
        <v>235.68746142880792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0.695504923163897</v>
      </c>
      <c r="CL144" s="21">
        <f>EXP(-LN(2)/25)*CL143+(1-EXP(-LN(2)/25))/(LN(2)/25)*Calculateur!CG144*Calculateur!CI144*VLOOKUP('Données projet'!$B$12,Paramètres!$A$1:$I$89,3,0)*0.475*44/12</f>
        <v>2.6232909368296591</v>
      </c>
      <c r="CM144" s="21">
        <f>EXP(-LN(2)/2)*CM143+(1-EXP(-LN(2)/2))/(LN(2)/2)*CG144*CJ144*VLOOKUP('Données projet'!$B$12,Paramètres!$A$1:$I$89,3,0)*0.475*44/12</f>
        <v>6.2737241793278518E-8</v>
      </c>
      <c r="CN144" s="22">
        <f t="shared" si="120"/>
        <v>3.3187959227307977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1.7053025658242404E-13</v>
      </c>
      <c r="CU144" s="17">
        <f>CT144*VLOOKUP('Données projet'!$B$13,Paramètres!$A$1:$I$89,3,0)*VLOOKUP('Données projet'!$B$13,Paramètres!$A$1:$I$89,5,0)</f>
        <v>1.3301360013429075E-13</v>
      </c>
      <c r="CV144" s="13">
        <f t="shared" si="149"/>
        <v>1.9329766731057041E-12</v>
      </c>
      <c r="CW144" s="20">
        <f t="shared" si="121"/>
        <v>3.5982663925596575E-12</v>
      </c>
      <c r="CX144" s="59">
        <f t="shared" si="122"/>
        <v>293.3333333333369</v>
      </c>
      <c r="CY144" s="59">
        <f ca="1">AVERAGE(OFFSET($CX$3,0,0,'Données projet'!$E$13+1,1))-AVERAGE(OFFSET($H$3,0,0,'Données projet'!$E$13+1,1))</f>
        <v>288.80569134263209</v>
      </c>
      <c r="CZ144" s="59">
        <f t="shared" si="150"/>
        <v>283.48738729114024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19.49572011517413</v>
      </c>
      <c r="DG144" s="21">
        <f>EXP(-LN(2)/25)*DG143+(1-EXP(-LN(2)/25))/(LN(2)/25)*Calculateur!DB144*Calculateur!DD144*VLOOKUP('Données projet'!$B$13,Paramètres!$A$1:$I$89,3,0)*0.475*44/12</f>
        <v>9.2657107088598565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28.761430824033987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266.99999999999983</v>
      </c>
      <c r="DP144" s="17">
        <f>DO144*VLOOKUP('Données projet'!$B$14,Paramètres!$A$1:$I$89,3,0)*VLOOKUP('Données projet'!$B$14,Paramètres!$A$1:$I$89,5,0)</f>
        <v>212.42519999999985</v>
      </c>
      <c r="DQ144" s="13">
        <f t="shared" si="151"/>
        <v>52.465198231787184</v>
      </c>
      <c r="DR144" s="20">
        <f t="shared" si="124"/>
        <v>461.35077692036231</v>
      </c>
      <c r="DS144" s="59">
        <f t="shared" si="125"/>
        <v>754.68411025369562</v>
      </c>
      <c r="DT144" s="59">
        <f ca="1">AVERAGE(OFFSET($DS$3,0,0,'Données projet'!$E$14+1,1))-AVERAGE(OFFSET($H$3,0,0,'Données projet'!$E$14+1,1))</f>
        <v>299.10536994156814</v>
      </c>
      <c r="DU144" s="59">
        <f t="shared" si="152"/>
        <v>292.57799203101769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8.6021959241476154</v>
      </c>
      <c r="EB144" s="21">
        <f>EXP(-LN(2)/25)*EB143+(1-EXP(-LN(2)/25))/(LN(2)/25)*Calculateur!DW144*Calculateur!DY144*VLOOKUP('Données projet'!$B$14,Paramètres!$A$1:$I$89,3,0)*0.475*44/12</f>
        <v>1.5348838357539694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10.137079759901585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5.1431925385259092E-13</v>
      </c>
      <c r="P145" s="13">
        <f t="shared" si="141"/>
        <v>6.3855359115685756E-12</v>
      </c>
      <c r="Q145" s="20">
        <f t="shared" si="108"/>
        <v>1.2017247746441865E-11</v>
      </c>
      <c r="R145" s="59">
        <f t="shared" si="109"/>
        <v>293.33333333334531</v>
      </c>
      <c r="S145" s="59">
        <f ca="1">AVERAGE(OFFSET($R$3,0,0,'Données projet'!$E$9+1,1))-AVERAGE(OFFSET($H$3,0,0,'Données projet'!$E$9+1,1))</f>
        <v>384.05928630855732</v>
      </c>
      <c r="T145" s="59">
        <f t="shared" si="142"/>
        <v>279.93992813630513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137.51518856807863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137.51518856807863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1.9895196601282805E-13</v>
      </c>
      <c r="AJ145" s="13">
        <f>AI145*VLOOKUP('Données projet'!$B$10,Paramètres!$A$1:$I$89,3,0)*VLOOKUP('Données projet'!$B$10,Paramètres!$A$1:$I$89,5,0)</f>
        <v>1.707007868390065E-13</v>
      </c>
      <c r="AK145" s="13">
        <f t="shared" si="143"/>
        <v>2.4096578055149408E-12</v>
      </c>
      <c r="AL145" s="20">
        <f t="shared" si="112"/>
        <v>4.4941245483497909E-12</v>
      </c>
      <c r="AM145" s="59">
        <f t="shared" si="113"/>
        <v>293.33333333333781</v>
      </c>
      <c r="AN145" s="59">
        <f ca="1">AVERAGE(OFFSET($AM$3,0,0,'Données projet'!$E$10+1,1))-AVERAGE(OFFSET($H$3,0,0,'Données projet'!$E$10+1,1))</f>
        <v>335.02113791949211</v>
      </c>
      <c r="AO145" s="59">
        <f t="shared" si="144"/>
        <v>222.06886429435099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73.346720451430144</v>
      </c>
      <c r="AV145" s="21">
        <f>EXP(-LN(2)/25)*AV144+(1-EXP(-LN(2)/25))/(LN(2)/25)*Calculateur!AQ145*Calculateur!AS145*VLOOKUP('Données projet'!$B$10,Paramètres!$A$1:$I$89,3,0)*0.475*44/12</f>
        <v>41.960429221600428</v>
      </c>
      <c r="AW145" s="21">
        <f>EXP(-LN(2)/2)*AW144+(1-EXP(-LN(2)/2))/(LN(2)/2)*AQ145*AT145*VLOOKUP('Données projet'!$B$10,Paramètres!$A$1:$I$89,3,0)*0.475*44/12</f>
        <v>1.4010094842541483E-2</v>
      </c>
      <c r="AX145" s="21">
        <f t="shared" si="114"/>
        <v>115.32115976787313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5.1063034188034209</v>
      </c>
      <c r="BD145" s="12">
        <f>IF('Données projet'!$A$88&gt;35,BD144+BC145-BL144,IF(A145&lt;'Données projet'!$A$88,$BA$205^A145,IF(A145='Données projet'!$A$88,'Données projet'!$B$88,BD144+BC145-BL144)))</f>
        <v>267.4417735042731</v>
      </c>
      <c r="BE145" s="13">
        <f>BD145*VLOOKUP('Données projet'!$B$11,Paramètres!$A$1:$I$89,3,0)*VLOOKUP('Données projet'!$B$11,Paramètres!$A$1:$I$89,5,0)</f>
        <v>258.66968333333296</v>
      </c>
      <c r="BF145" s="13">
        <f t="shared" si="145"/>
        <v>62.438723597742666</v>
      </c>
      <c r="BG145" s="20">
        <f t="shared" si="115"/>
        <v>559.26380873828998</v>
      </c>
      <c r="BH145" s="59">
        <f t="shared" si="116"/>
        <v>852.59714207162324</v>
      </c>
      <c r="BI145" s="59">
        <f ca="1">AVERAGE(OFFSET($BH$3,0,0,'Données projet'!$E$11+1,1))-AVERAGE(OFFSET($H$3,0,0,'Données projet'!$E$11+1,1))</f>
        <v>366.51581861366333</v>
      </c>
      <c r="BJ145" s="59">
        <f t="shared" si="146"/>
        <v>225.01415116995503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47.471132872462434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47.471132872462434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204.00000000000017</v>
      </c>
      <c r="BZ145" s="13">
        <f>BY145*VLOOKUP('Données projet'!$B$12,Paramètres!$A$1:$I$89,3,0)*VLOOKUP('Données projet'!$B$12,Paramètres!$A$1:$I$89,5,0)</f>
        <v>133.66080000000011</v>
      </c>
      <c r="CA145" s="13">
        <f t="shared" si="147"/>
        <v>34.840890682716783</v>
      </c>
      <c r="CB145" s="20">
        <f t="shared" si="118"/>
        <v>293.4737779390652</v>
      </c>
      <c r="CC145" s="59">
        <f t="shared" si="119"/>
        <v>586.80711127239852</v>
      </c>
      <c r="CD145" s="59">
        <f ca="1">AVERAGE(OFFSET($CC$3,0,0,'Données projet'!$E$12+1,1))-AVERAGE(OFFSET($H$3,0,0,'Données projet'!$E$12+1,1))</f>
        <v>230.58262378842818</v>
      </c>
      <c r="CE145" s="59">
        <f t="shared" si="148"/>
        <v>235.68746142880792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0.68186649583676828</v>
      </c>
      <c r="CL145" s="21">
        <f>EXP(-LN(2)/25)*CL144+(1-EXP(-LN(2)/25))/(LN(2)/25)*Calculateur!CG145*Calculateur!CI145*VLOOKUP('Données projet'!$B$12,Paramètres!$A$1:$I$89,3,0)*0.475*44/12</f>
        <v>2.5515569082091774</v>
      </c>
      <c r="CM145" s="21">
        <f>EXP(-LN(2)/2)*CM144+(1-EXP(-LN(2)/2))/(LN(2)/2)*CG145*CJ145*VLOOKUP('Données projet'!$B$12,Paramètres!$A$1:$I$89,3,0)*0.475*44/12</f>
        <v>4.4361929104967318E-8</v>
      </c>
      <c r="CN145" s="22">
        <f t="shared" si="120"/>
        <v>3.233423448407875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1.7053025658242404E-13</v>
      </c>
      <c r="CU145" s="17">
        <f>CT145*VLOOKUP('Données projet'!$B$13,Paramètres!$A$1:$I$89,3,0)*VLOOKUP('Données projet'!$B$13,Paramètres!$A$1:$I$89,5,0)</f>
        <v>1.3301360013429075E-13</v>
      </c>
      <c r="CV145" s="13">
        <f t="shared" si="149"/>
        <v>1.9329766731057041E-12</v>
      </c>
      <c r="CW145" s="20">
        <f t="shared" si="121"/>
        <v>3.5982663925596575E-12</v>
      </c>
      <c r="CX145" s="59">
        <f t="shared" si="122"/>
        <v>293.3333333333369</v>
      </c>
      <c r="CY145" s="59">
        <f ca="1">AVERAGE(OFFSET($CX$3,0,0,'Données projet'!$E$13+1,1))-AVERAGE(OFFSET($H$3,0,0,'Données projet'!$E$13+1,1))</f>
        <v>288.80569134263209</v>
      </c>
      <c r="CZ145" s="59">
        <f t="shared" si="150"/>
        <v>283.48738729114024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19.113420934930677</v>
      </c>
      <c r="DG145" s="21">
        <f>EXP(-LN(2)/25)*DG144+(1-EXP(-LN(2)/25))/(LN(2)/25)*Calculateur!DB145*Calculateur!DD145*VLOOKUP('Données projet'!$B$13,Paramètres!$A$1:$I$89,3,0)*0.475*44/12</f>
        <v>9.0123393622635337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28.125760297194212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266.99999999999983</v>
      </c>
      <c r="DP145" s="17">
        <f>DO145*VLOOKUP('Données projet'!$B$14,Paramètres!$A$1:$I$89,3,0)*VLOOKUP('Données projet'!$B$14,Paramètres!$A$1:$I$89,5,0)</f>
        <v>212.42519999999985</v>
      </c>
      <c r="DQ145" s="13">
        <f t="shared" si="151"/>
        <v>52.465198231787184</v>
      </c>
      <c r="DR145" s="20">
        <f t="shared" si="124"/>
        <v>461.35077692036231</v>
      </c>
      <c r="DS145" s="59">
        <f t="shared" si="125"/>
        <v>754.68411025369562</v>
      </c>
      <c r="DT145" s="59">
        <f ca="1">AVERAGE(OFFSET($DS$3,0,0,'Données projet'!$E$14+1,1))-AVERAGE(OFFSET($H$3,0,0,'Données projet'!$E$14+1,1))</f>
        <v>299.10536994156814</v>
      </c>
      <c r="DU145" s="59">
        <f t="shared" si="152"/>
        <v>292.57799203101769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8.4335121088965135</v>
      </c>
      <c r="EB145" s="21">
        <f>EXP(-LN(2)/25)*EB144+(1-EXP(-LN(2)/25))/(LN(2)/25)*Calculateur!DW145*Calculateur!DY145*VLOOKUP('Données projet'!$B$14,Paramètres!$A$1:$I$89,3,0)*0.475*44/12</f>
        <v>1.4929123565492441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9.9264244654457574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5.1431925385259092E-13</v>
      </c>
      <c r="P146" s="13">
        <f t="shared" si="141"/>
        <v>6.3855359115685756E-12</v>
      </c>
      <c r="Q146" s="20">
        <f t="shared" si="108"/>
        <v>1.2017247746441865E-11</v>
      </c>
      <c r="R146" s="59">
        <f t="shared" si="109"/>
        <v>293.33333333334531</v>
      </c>
      <c r="S146" s="59">
        <f ca="1">AVERAGE(OFFSET($R$3,0,0,'Données projet'!$E$9+1,1))-AVERAGE(OFFSET($H$3,0,0,'Données projet'!$E$9+1,1))</f>
        <v>384.05928630855732</v>
      </c>
      <c r="T146" s="59">
        <f t="shared" si="142"/>
        <v>279.93992813630513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134.81859959624157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134.81859959624157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1.9895196601282805E-13</v>
      </c>
      <c r="AJ146" s="13">
        <f>AI146*VLOOKUP('Données projet'!$B$10,Paramètres!$A$1:$I$89,3,0)*VLOOKUP('Données projet'!$B$10,Paramètres!$A$1:$I$89,5,0)</f>
        <v>1.707007868390065E-13</v>
      </c>
      <c r="AK146" s="13">
        <f t="shared" si="143"/>
        <v>2.4096578055149408E-12</v>
      </c>
      <c r="AL146" s="20">
        <f t="shared" si="112"/>
        <v>4.4941245483497909E-12</v>
      </c>
      <c r="AM146" s="59">
        <f t="shared" si="113"/>
        <v>293.33333333333781</v>
      </c>
      <c r="AN146" s="59">
        <f ca="1">AVERAGE(OFFSET($AM$3,0,0,'Données projet'!$E$10+1,1))-AVERAGE(OFFSET($H$3,0,0,'Données projet'!$E$10+1,1))</f>
        <v>335.02113791949211</v>
      </c>
      <c r="AO146" s="59">
        <f t="shared" si="144"/>
        <v>222.06886429435099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71.908436000459659</v>
      </c>
      <c r="AV146" s="21">
        <f>EXP(-LN(2)/25)*AV145+(1-EXP(-LN(2)/25))/(LN(2)/25)*Calculateur!AQ146*Calculateur!AS146*VLOOKUP('Données projet'!$B$10,Paramètres!$A$1:$I$89,3,0)*0.475*44/12</f>
        <v>40.813019077932694</v>
      </c>
      <c r="AW146" s="21">
        <f>EXP(-LN(2)/2)*AW145+(1-EXP(-LN(2)/2))/(LN(2)/2)*AQ146*AT146*VLOOKUP('Données projet'!$B$10,Paramètres!$A$1:$I$89,3,0)*0.475*44/12</f>
        <v>9.90663306822776E-3</v>
      </c>
      <c r="AX146" s="21">
        <f t="shared" si="114"/>
        <v>112.73136171146058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5.1063034188034209</v>
      </c>
      <c r="BD146" s="12">
        <f>IF('Données projet'!$A$88&gt;35,BD145+BC146-BL145,IF(A146&lt;'Données projet'!$A$88,$BA$205^A146,IF(A146='Données projet'!$A$88,'Données projet'!$B$88,BD145+BC146-BL145)))</f>
        <v>272.54807692307651</v>
      </c>
      <c r="BE146" s="13">
        <f>BD146*VLOOKUP('Données projet'!$B$11,Paramètres!$A$1:$I$89,3,0)*VLOOKUP('Données projet'!$B$11,Paramètres!$A$1:$I$89,5,0)</f>
        <v>263.60849999999965</v>
      </c>
      <c r="BF146" s="13">
        <f t="shared" si="145"/>
        <v>63.490946209531685</v>
      </c>
      <c r="BG146" s="20">
        <f t="shared" si="115"/>
        <v>569.69820214826711</v>
      </c>
      <c r="BH146" s="59">
        <f t="shared" si="116"/>
        <v>863.03153548160049</v>
      </c>
      <c r="BI146" s="59">
        <f ca="1">AVERAGE(OFFSET($BH$3,0,0,'Données projet'!$E$11+1,1))-AVERAGE(OFFSET($H$3,0,0,'Données projet'!$E$11+1,1))</f>
        <v>366.51581861366333</v>
      </c>
      <c r="BJ146" s="59">
        <f t="shared" si="146"/>
        <v>225.01415116995503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46.540252911365478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46.540252911365478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204.00000000000017</v>
      </c>
      <c r="BZ146" s="13">
        <f>BY146*VLOOKUP('Données projet'!$B$12,Paramètres!$A$1:$I$89,3,0)*VLOOKUP('Données projet'!$B$12,Paramètres!$A$1:$I$89,5,0)</f>
        <v>133.66080000000011</v>
      </c>
      <c r="CA146" s="13">
        <f t="shared" si="147"/>
        <v>34.840890682716783</v>
      </c>
      <c r="CB146" s="20">
        <f t="shared" si="118"/>
        <v>293.4737779390652</v>
      </c>
      <c r="CC146" s="59">
        <f t="shared" si="119"/>
        <v>586.80711127239852</v>
      </c>
      <c r="CD146" s="59">
        <f ca="1">AVERAGE(OFFSET($CC$3,0,0,'Données projet'!$E$12+1,1))-AVERAGE(OFFSET($H$3,0,0,'Données projet'!$E$12+1,1))</f>
        <v>230.58262378842818</v>
      </c>
      <c r="CE146" s="59">
        <f t="shared" si="148"/>
        <v>235.68746142880792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0.66849550975090521</v>
      </c>
      <c r="CL146" s="21">
        <f>EXP(-LN(2)/25)*CL145+(1-EXP(-LN(2)/25))/(LN(2)/25)*Calculateur!CG146*Calculateur!CI146*VLOOKUP('Données projet'!$B$12,Paramètres!$A$1:$I$89,3,0)*0.475*44/12</f>
        <v>2.4817844503736515</v>
      </c>
      <c r="CM146" s="21">
        <f>EXP(-LN(2)/2)*CM145+(1-EXP(-LN(2)/2))/(LN(2)/2)*CG146*CJ146*VLOOKUP('Données projet'!$B$12,Paramètres!$A$1:$I$89,3,0)*0.475*44/12</f>
        <v>3.1368620896639259E-8</v>
      </c>
      <c r="CN146" s="22">
        <f t="shared" si="120"/>
        <v>3.1502799914931776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1.7053025658242404E-13</v>
      </c>
      <c r="CU146" s="17">
        <f>CT146*VLOOKUP('Données projet'!$B$13,Paramètres!$A$1:$I$89,3,0)*VLOOKUP('Données projet'!$B$13,Paramètres!$A$1:$I$89,5,0)</f>
        <v>1.3301360013429075E-13</v>
      </c>
      <c r="CV146" s="13">
        <f t="shared" si="149"/>
        <v>1.9329766731057041E-12</v>
      </c>
      <c r="CW146" s="20">
        <f t="shared" si="121"/>
        <v>3.5982663925596575E-12</v>
      </c>
      <c r="CX146" s="59">
        <f t="shared" si="122"/>
        <v>293.3333333333369</v>
      </c>
      <c r="CY146" s="59">
        <f ca="1">AVERAGE(OFFSET($CX$3,0,0,'Données projet'!$E$13+1,1))-AVERAGE(OFFSET($H$3,0,0,'Données projet'!$E$13+1,1))</f>
        <v>288.80569134263209</v>
      </c>
      <c r="CZ146" s="59">
        <f t="shared" si="150"/>
        <v>283.48738729114024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18.73861840843232</v>
      </c>
      <c r="DG146" s="21">
        <f>EXP(-LN(2)/25)*DG145+(1-EXP(-LN(2)/25))/(LN(2)/25)*Calculateur!DB146*Calculateur!DD146*VLOOKUP('Données projet'!$B$13,Paramètres!$A$1:$I$89,3,0)*0.475*44/12</f>
        <v>8.7658964684641081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27.50451487689643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266.99999999999983</v>
      </c>
      <c r="DP146" s="17">
        <f>DO146*VLOOKUP('Données projet'!$B$14,Paramètres!$A$1:$I$89,3,0)*VLOOKUP('Données projet'!$B$14,Paramètres!$A$1:$I$89,5,0)</f>
        <v>212.42519999999985</v>
      </c>
      <c r="DQ146" s="13">
        <f t="shared" si="151"/>
        <v>52.465198231787184</v>
      </c>
      <c r="DR146" s="20">
        <f t="shared" si="124"/>
        <v>461.35077692036231</v>
      </c>
      <c r="DS146" s="59">
        <f t="shared" si="125"/>
        <v>754.68411025369562</v>
      </c>
      <c r="DT146" s="59">
        <f ca="1">AVERAGE(OFFSET($DS$3,0,0,'Données projet'!$E$14+1,1))-AVERAGE(OFFSET($H$3,0,0,'Données projet'!$E$14+1,1))</f>
        <v>299.10536994156814</v>
      </c>
      <c r="DU146" s="59">
        <f t="shared" si="152"/>
        <v>292.57799203101769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8.2681360803755179</v>
      </c>
      <c r="EB146" s="21">
        <f>EXP(-LN(2)/25)*EB145+(1-EXP(-LN(2)/25))/(LN(2)/25)*Calculateur!DW146*Calculateur!DY146*VLOOKUP('Données projet'!$B$14,Paramètres!$A$1:$I$89,3,0)*0.475*44/12</f>
        <v>1.4520885896505564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9.7202246700260737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5.1431925385259092E-13</v>
      </c>
      <c r="P147" s="13">
        <f t="shared" si="141"/>
        <v>6.3855359115685756E-12</v>
      </c>
      <c r="Q147" s="20">
        <f t="shared" si="108"/>
        <v>1.2017247746441865E-11</v>
      </c>
      <c r="R147" s="59">
        <f t="shared" si="109"/>
        <v>293.33333333334531</v>
      </c>
      <c r="S147" s="59">
        <f ca="1">AVERAGE(OFFSET($R$3,0,0,'Données projet'!$E$9+1,1))-AVERAGE(OFFSET($H$3,0,0,'Données projet'!$E$9+1,1))</f>
        <v>384.05928630855732</v>
      </c>
      <c r="T147" s="59">
        <f t="shared" si="142"/>
        <v>279.93992813630513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132.17488908938537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132.17488908938537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1.9895196601282805E-13</v>
      </c>
      <c r="AJ147" s="13">
        <f>AI147*VLOOKUP('Données projet'!$B$10,Paramètres!$A$1:$I$89,3,0)*VLOOKUP('Données projet'!$B$10,Paramètres!$A$1:$I$89,5,0)</f>
        <v>1.707007868390065E-13</v>
      </c>
      <c r="AK147" s="13">
        <f t="shared" si="143"/>
        <v>2.4096578055149408E-12</v>
      </c>
      <c r="AL147" s="20">
        <f t="shared" si="112"/>
        <v>4.4941245483497909E-12</v>
      </c>
      <c r="AM147" s="59">
        <f t="shared" si="113"/>
        <v>293.33333333333781</v>
      </c>
      <c r="AN147" s="59">
        <f ca="1">AVERAGE(OFFSET($AM$3,0,0,'Données projet'!$E$10+1,1))-AVERAGE(OFFSET($H$3,0,0,'Données projet'!$E$10+1,1))</f>
        <v>335.02113791949211</v>
      </c>
      <c r="AO147" s="59">
        <f t="shared" si="144"/>
        <v>222.06886429435099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70.498355430305807</v>
      </c>
      <c r="AV147" s="21">
        <f>EXP(-LN(2)/25)*AV146+(1-EXP(-LN(2)/25))/(LN(2)/25)*Calculateur!AQ147*Calculateur!AS147*VLOOKUP('Données projet'!$B$10,Paramètres!$A$1:$I$89,3,0)*0.475*44/12</f>
        <v>39.696984924983234</v>
      </c>
      <c r="AW147" s="21">
        <f>EXP(-LN(2)/2)*AW146+(1-EXP(-LN(2)/2))/(LN(2)/2)*AQ147*AT147*VLOOKUP('Données projet'!$B$10,Paramètres!$A$1:$I$89,3,0)*0.475*44/12</f>
        <v>7.0050474212707435E-3</v>
      </c>
      <c r="AX147" s="21">
        <f t="shared" si="114"/>
        <v>110.20234540271031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5.1063034188034209</v>
      </c>
      <c r="BD147" s="12">
        <f>IF('Données projet'!$A$88&gt;35,BD146+BC147-BL146,IF(A147&lt;'Données projet'!$A$88,$BA$205^A147,IF(A147='Données projet'!$A$88,'Données projet'!$B$88,BD146+BC147-BL146)))</f>
        <v>277.65438034187991</v>
      </c>
      <c r="BE147" s="13">
        <f>BD147*VLOOKUP('Données projet'!$B$11,Paramètres!$A$1:$I$89,3,0)*VLOOKUP('Données projet'!$B$11,Paramètres!$A$1:$I$89,5,0)</f>
        <v>268.54731666666623</v>
      </c>
      <c r="BF147" s="13">
        <f t="shared" si="145"/>
        <v>64.540876489429408</v>
      </c>
      <c r="BG147" s="20">
        <f t="shared" si="115"/>
        <v>580.12860308019992</v>
      </c>
      <c r="BH147" s="59">
        <f t="shared" si="116"/>
        <v>873.46193641353329</v>
      </c>
      <c r="BI147" s="59">
        <f ca="1">AVERAGE(OFFSET($BH$3,0,0,'Données projet'!$E$11+1,1))-AVERAGE(OFFSET($H$3,0,0,'Données projet'!$E$11+1,1))</f>
        <v>366.51581861366333</v>
      </c>
      <c r="BJ147" s="59">
        <f t="shared" si="146"/>
        <v>225.01415116995503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45.627626938524919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45.627626938524919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204.00000000000017</v>
      </c>
      <c r="BZ147" s="13">
        <f>BY147*VLOOKUP('Données projet'!$B$12,Paramètres!$A$1:$I$89,3,0)*VLOOKUP('Données projet'!$B$12,Paramètres!$A$1:$I$89,5,0)</f>
        <v>133.66080000000011</v>
      </c>
      <c r="CA147" s="13">
        <f t="shared" si="147"/>
        <v>34.840890682716783</v>
      </c>
      <c r="CB147" s="20">
        <f t="shared" si="118"/>
        <v>293.4737779390652</v>
      </c>
      <c r="CC147" s="59">
        <f t="shared" si="119"/>
        <v>586.80711127239852</v>
      </c>
      <c r="CD147" s="59">
        <f ca="1">AVERAGE(OFFSET($CC$3,0,0,'Données projet'!$E$12+1,1))-AVERAGE(OFFSET($H$3,0,0,'Données projet'!$E$12+1,1))</f>
        <v>230.58262378842818</v>
      </c>
      <c r="CE147" s="59">
        <f t="shared" si="148"/>
        <v>235.68746142880792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0.65538672054668978</v>
      </c>
      <c r="CL147" s="21">
        <f>EXP(-LN(2)/25)*CL146+(1-EXP(-LN(2)/25))/(LN(2)/25)*Calculateur!CG147*Calculateur!CI147*VLOOKUP('Données projet'!$B$12,Paramètres!$A$1:$I$89,3,0)*0.475*44/12</f>
        <v>2.4139199240668119</v>
      </c>
      <c r="CM147" s="21">
        <f>EXP(-LN(2)/2)*CM146+(1-EXP(-LN(2)/2))/(LN(2)/2)*CG147*CJ147*VLOOKUP('Données projet'!$B$12,Paramètres!$A$1:$I$89,3,0)*0.475*44/12</f>
        <v>2.2180964552483659E-8</v>
      </c>
      <c r="CN147" s="22">
        <f t="shared" si="120"/>
        <v>3.0693066667944664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1.7053025658242404E-13</v>
      </c>
      <c r="CU147" s="17">
        <f>CT147*VLOOKUP('Données projet'!$B$13,Paramètres!$A$1:$I$89,3,0)*VLOOKUP('Données projet'!$B$13,Paramètres!$A$1:$I$89,5,0)</f>
        <v>1.3301360013429075E-13</v>
      </c>
      <c r="CV147" s="13">
        <f t="shared" si="149"/>
        <v>1.9329766731057041E-12</v>
      </c>
      <c r="CW147" s="20">
        <f t="shared" si="121"/>
        <v>3.5982663925596575E-12</v>
      </c>
      <c r="CX147" s="59">
        <f t="shared" si="122"/>
        <v>293.3333333333369</v>
      </c>
      <c r="CY147" s="59">
        <f ca="1">AVERAGE(OFFSET($CX$3,0,0,'Données projet'!$E$13+1,1))-AVERAGE(OFFSET($H$3,0,0,'Données projet'!$E$13+1,1))</f>
        <v>288.80569134263209</v>
      </c>
      <c r="CZ147" s="59">
        <f t="shared" si="150"/>
        <v>283.48738729114024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18.371165530871629</v>
      </c>
      <c r="DG147" s="21">
        <f>EXP(-LN(2)/25)*DG146+(1-EXP(-LN(2)/25))/(LN(2)/25)*Calculateur!DB147*Calculateur!DD147*VLOOKUP('Données projet'!$B$13,Paramètres!$A$1:$I$89,3,0)*0.475*44/12</f>
        <v>8.526192568555496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26.897358099427123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266.99999999999983</v>
      </c>
      <c r="DP147" s="17">
        <f>DO147*VLOOKUP('Données projet'!$B$14,Paramètres!$A$1:$I$89,3,0)*VLOOKUP('Données projet'!$B$14,Paramètres!$A$1:$I$89,5,0)</f>
        <v>212.42519999999985</v>
      </c>
      <c r="DQ147" s="13">
        <f t="shared" si="151"/>
        <v>52.465198231787184</v>
      </c>
      <c r="DR147" s="20">
        <f t="shared" si="124"/>
        <v>461.35077692036231</v>
      </c>
      <c r="DS147" s="59">
        <f t="shared" si="125"/>
        <v>754.68411025369562</v>
      </c>
      <c r="DT147" s="59">
        <f ca="1">AVERAGE(OFFSET($DS$3,0,0,'Données projet'!$E$14+1,1))-AVERAGE(OFFSET($H$3,0,0,'Données projet'!$E$14+1,1))</f>
        <v>299.10536994156814</v>
      </c>
      <c r="DU147" s="59">
        <f t="shared" si="152"/>
        <v>292.57799203101769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8.1060029749044009</v>
      </c>
      <c r="EB147" s="21">
        <f>EXP(-LN(2)/25)*EB146+(1-EXP(-LN(2)/25))/(LN(2)/25)*Calculateur!DW147*Calculateur!DY147*VLOOKUP('Données projet'!$B$14,Paramètres!$A$1:$I$89,3,0)*0.475*44/12</f>
        <v>1.4123811508045419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9.518384125708943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5.1431925385259092E-13</v>
      </c>
      <c r="P148" s="13">
        <f t="shared" si="141"/>
        <v>6.3855359115685756E-12</v>
      </c>
      <c r="Q148" s="20">
        <f t="shared" si="108"/>
        <v>1.2017247746441865E-11</v>
      </c>
      <c r="R148" s="59">
        <f t="shared" si="109"/>
        <v>293.33333333334531</v>
      </c>
      <c r="S148" s="59">
        <f ca="1">AVERAGE(OFFSET($R$3,0,0,'Données projet'!$E$9+1,1))-AVERAGE(OFFSET($H$3,0,0,'Données projet'!$E$9+1,1))</f>
        <v>384.05928630855732</v>
      </c>
      <c r="T148" s="59">
        <f t="shared" si="142"/>
        <v>279.93992813630513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129.58302013306442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129.58302013306442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1.9895196601282805E-13</v>
      </c>
      <c r="AJ148" s="13">
        <f>AI148*VLOOKUP('Données projet'!$B$10,Paramètres!$A$1:$I$89,3,0)*VLOOKUP('Données projet'!$B$10,Paramètres!$A$1:$I$89,5,0)</f>
        <v>1.707007868390065E-13</v>
      </c>
      <c r="AK148" s="13">
        <f t="shared" si="143"/>
        <v>2.4096578055149408E-12</v>
      </c>
      <c r="AL148" s="20">
        <f t="shared" si="112"/>
        <v>4.4941245483497909E-12</v>
      </c>
      <c r="AM148" s="59">
        <f t="shared" si="113"/>
        <v>293.33333333333781</v>
      </c>
      <c r="AN148" s="59">
        <f ca="1">AVERAGE(OFFSET($AM$3,0,0,'Données projet'!$E$10+1,1))-AVERAGE(OFFSET($H$3,0,0,'Données projet'!$E$10+1,1))</f>
        <v>335.02113791949211</v>
      </c>
      <c r="AO148" s="59">
        <f t="shared" si="144"/>
        <v>222.06886429435099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69.115925680068443</v>
      </c>
      <c r="AV148" s="21">
        <f>EXP(-LN(2)/25)*AV147+(1-EXP(-LN(2)/25))/(LN(2)/25)*Calculateur!AQ148*Calculateur!AS148*VLOOKUP('Données projet'!$B$10,Paramètres!$A$1:$I$89,3,0)*0.475*44/12</f>
        <v>38.611468784635861</v>
      </c>
      <c r="AW148" s="21">
        <f>EXP(-LN(2)/2)*AW147+(1-EXP(-LN(2)/2))/(LN(2)/2)*AQ148*AT148*VLOOKUP('Données projet'!$B$10,Paramètres!$A$1:$I$89,3,0)*0.475*44/12</f>
        <v>4.9533165341138809E-3</v>
      </c>
      <c r="AX148" s="21">
        <f t="shared" si="114"/>
        <v>107.73234778123842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5.1063034188034209</v>
      </c>
      <c r="BD148" s="12">
        <f>IF('Données projet'!$A$88&gt;35,BD147+BC148-BL147,IF(A148&lt;'Données projet'!$A$88,$BA$205^A148,IF(A148='Données projet'!$A$88,'Données projet'!$B$88,BD147+BC148-BL147)))</f>
        <v>282.76068376068332</v>
      </c>
      <c r="BE148" s="13">
        <f>BD148*VLOOKUP('Données projet'!$B$11,Paramètres!$A$1:$I$89,3,0)*VLOOKUP('Données projet'!$B$11,Paramètres!$A$1:$I$89,5,0)</f>
        <v>273.48613333333293</v>
      </c>
      <c r="BF148" s="13">
        <f t="shared" si="145"/>
        <v>65.58856145758736</v>
      </c>
      <c r="BG148" s="20">
        <f t="shared" si="115"/>
        <v>590.55509342751941</v>
      </c>
      <c r="BH148" s="59">
        <f t="shared" si="116"/>
        <v>883.88842676085278</v>
      </c>
      <c r="BI148" s="59">
        <f ca="1">AVERAGE(OFFSET($BH$3,0,0,'Données projet'!$E$11+1,1))-AVERAGE(OFFSET($H$3,0,0,'Données projet'!$E$11+1,1))</f>
        <v>366.51581861366333</v>
      </c>
      <c r="BJ148" s="59">
        <f t="shared" si="146"/>
        <v>225.01415116995503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44.732897004364887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44.732897004364887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204.00000000000017</v>
      </c>
      <c r="BZ148" s="13">
        <f>BY148*VLOOKUP('Données projet'!$B$12,Paramètres!$A$1:$I$89,3,0)*VLOOKUP('Données projet'!$B$12,Paramètres!$A$1:$I$89,5,0)</f>
        <v>133.66080000000011</v>
      </c>
      <c r="CA148" s="13">
        <f t="shared" si="147"/>
        <v>34.840890682716783</v>
      </c>
      <c r="CB148" s="20">
        <f t="shared" si="118"/>
        <v>293.4737779390652</v>
      </c>
      <c r="CC148" s="59">
        <f t="shared" si="119"/>
        <v>586.80711127239852</v>
      </c>
      <c r="CD148" s="59">
        <f ca="1">AVERAGE(OFFSET($CC$3,0,0,'Données projet'!$E$12+1,1))-AVERAGE(OFFSET($H$3,0,0,'Données projet'!$E$12+1,1))</f>
        <v>230.58262378842818</v>
      </c>
      <c r="CE148" s="59">
        <f t="shared" si="148"/>
        <v>235.68746142880792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0.64253498670319709</v>
      </c>
      <c r="CL148" s="21">
        <f>EXP(-LN(2)/25)*CL147+(1-EXP(-LN(2)/25))/(LN(2)/25)*Calculateur!CG148*Calculateur!CI148*VLOOKUP('Données projet'!$B$12,Paramètres!$A$1:$I$89,3,0)*0.475*44/12</f>
        <v>2.3479111568006732</v>
      </c>
      <c r="CM148" s="21">
        <f>EXP(-LN(2)/2)*CM147+(1-EXP(-LN(2)/2))/(LN(2)/2)*CG148*CJ148*VLOOKUP('Données projet'!$B$12,Paramètres!$A$1:$I$89,3,0)*0.475*44/12</f>
        <v>1.5684310448319629E-8</v>
      </c>
      <c r="CN148" s="22">
        <f t="shared" si="120"/>
        <v>2.9904461591881808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1.7053025658242404E-13</v>
      </c>
      <c r="CU148" s="17">
        <f>CT148*VLOOKUP('Données projet'!$B$13,Paramètres!$A$1:$I$89,3,0)*VLOOKUP('Données projet'!$B$13,Paramètres!$A$1:$I$89,5,0)</f>
        <v>1.3301360013429075E-13</v>
      </c>
      <c r="CV148" s="13">
        <f t="shared" si="149"/>
        <v>1.9329766731057041E-12</v>
      </c>
      <c r="CW148" s="20">
        <f t="shared" si="121"/>
        <v>3.5982663925596575E-12</v>
      </c>
      <c r="CX148" s="59">
        <f t="shared" si="122"/>
        <v>293.3333333333369</v>
      </c>
      <c r="CY148" s="59">
        <f ca="1">AVERAGE(OFFSET($CX$3,0,0,'Données projet'!$E$13+1,1))-AVERAGE(OFFSET($H$3,0,0,'Données projet'!$E$13+1,1))</f>
        <v>288.80569134263209</v>
      </c>
      <c r="CZ148" s="59">
        <f t="shared" si="150"/>
        <v>283.48738729114024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18.010918180115777</v>
      </c>
      <c r="DG148" s="21">
        <f>EXP(-LN(2)/25)*DG147+(1-EXP(-LN(2)/25))/(LN(2)/25)*Calculateur!DB148*Calculateur!DD148*VLOOKUP('Données projet'!$B$13,Paramètres!$A$1:$I$89,3,0)*0.475*44/12</f>
        <v>8.2930433843953661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26.303961564511141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266.99999999999983</v>
      </c>
      <c r="DP148" s="17">
        <f>DO148*VLOOKUP('Données projet'!$B$14,Paramètres!$A$1:$I$89,3,0)*VLOOKUP('Données projet'!$B$14,Paramètres!$A$1:$I$89,5,0)</f>
        <v>212.42519999999985</v>
      </c>
      <c r="DQ148" s="13">
        <f t="shared" si="151"/>
        <v>52.465198231787184</v>
      </c>
      <c r="DR148" s="20">
        <f t="shared" si="124"/>
        <v>461.35077692036231</v>
      </c>
      <c r="DS148" s="59">
        <f t="shared" si="125"/>
        <v>754.68411025369562</v>
      </c>
      <c r="DT148" s="59">
        <f ca="1">AVERAGE(OFFSET($DS$3,0,0,'Données projet'!$E$14+1,1))-AVERAGE(OFFSET($H$3,0,0,'Données projet'!$E$14+1,1))</f>
        <v>299.10536994156814</v>
      </c>
      <c r="DU148" s="59">
        <f t="shared" si="152"/>
        <v>292.57799203101769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7.9470492007401434</v>
      </c>
      <c r="EB148" s="21">
        <f>EXP(-LN(2)/25)*EB147+(1-EXP(-LN(2)/25))/(LN(2)/25)*Calculateur!DW148*Calculateur!DY148*VLOOKUP('Données projet'!$B$14,Paramètres!$A$1:$I$89,3,0)*0.475*44/12</f>
        <v>1.373759513961895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9.3208087147020393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5.1431925385259092E-13</v>
      </c>
      <c r="P149" s="13">
        <f t="shared" si="141"/>
        <v>6.3855359115685756E-12</v>
      </c>
      <c r="Q149" s="20">
        <f t="shared" si="108"/>
        <v>1.2017247746441865E-11</v>
      </c>
      <c r="R149" s="59">
        <f t="shared" si="109"/>
        <v>293.33333333334531</v>
      </c>
      <c r="S149" s="59">
        <f ca="1">AVERAGE(OFFSET($R$3,0,0,'Données projet'!$E$9+1,1))-AVERAGE(OFFSET($H$3,0,0,'Données projet'!$E$9+1,1))</f>
        <v>384.05928630855732</v>
      </c>
      <c r="T149" s="59">
        <f t="shared" si="142"/>
        <v>279.93992813630513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127.04197614609298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127.04197614609298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1.9895196601282805E-13</v>
      </c>
      <c r="AJ149" s="13">
        <f>AI149*VLOOKUP('Données projet'!$B$10,Paramètres!$A$1:$I$89,3,0)*VLOOKUP('Données projet'!$B$10,Paramètres!$A$1:$I$89,5,0)</f>
        <v>1.707007868390065E-13</v>
      </c>
      <c r="AK149" s="13">
        <f t="shared" si="143"/>
        <v>2.4096578055149408E-12</v>
      </c>
      <c r="AL149" s="20">
        <f t="shared" si="112"/>
        <v>4.4941245483497909E-12</v>
      </c>
      <c r="AM149" s="59">
        <f t="shared" si="113"/>
        <v>293.33333333333781</v>
      </c>
      <c r="AN149" s="59">
        <f ca="1">AVERAGE(OFFSET($AM$3,0,0,'Données projet'!$E$10+1,1))-AVERAGE(OFFSET($H$3,0,0,'Données projet'!$E$10+1,1))</f>
        <v>335.02113791949211</v>
      </c>
      <c r="AO149" s="59">
        <f t="shared" si="144"/>
        <v>222.06886429435099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67.760604534034357</v>
      </c>
      <c r="AV149" s="21">
        <f>EXP(-LN(2)/25)*AV148+(1-EXP(-LN(2)/25))/(LN(2)/25)*Calculateur!AQ149*Calculateur!AS149*VLOOKUP('Données projet'!$B$10,Paramètres!$A$1:$I$89,3,0)*0.475*44/12</f>
        <v>37.555636140231094</v>
      </c>
      <c r="AW149" s="21">
        <f>EXP(-LN(2)/2)*AW148+(1-EXP(-LN(2)/2))/(LN(2)/2)*AQ149*AT149*VLOOKUP('Données projet'!$B$10,Paramètres!$A$1:$I$89,3,0)*0.475*44/12</f>
        <v>3.5025237106353722E-3</v>
      </c>
      <c r="AX149" s="21">
        <f t="shared" si="114"/>
        <v>105.31974319797609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5.1063034188034209</v>
      </c>
      <c r="BD149" s="12">
        <f>IF('Données projet'!$A$88&gt;35,BD148+BC149-BL148,IF(A149&lt;'Données projet'!$A$88,$BA$205^A149,IF(A149='Données projet'!$A$88,'Données projet'!$B$88,BD148+BC149-BL148)))</f>
        <v>287.86698717948673</v>
      </c>
      <c r="BE149" s="13">
        <f>BD149*VLOOKUP('Données projet'!$B$11,Paramètres!$A$1:$I$89,3,0)*VLOOKUP('Données projet'!$B$11,Paramètres!$A$1:$I$89,5,0)</f>
        <v>278.42494999999957</v>
      </c>
      <c r="BF149" s="13">
        <f t="shared" si="145"/>
        <v>66.634046338664206</v>
      </c>
      <c r="BG149" s="20">
        <f t="shared" si="115"/>
        <v>600.97775195650604</v>
      </c>
      <c r="BH149" s="59">
        <f t="shared" si="116"/>
        <v>894.31108528983941</v>
      </c>
      <c r="BI149" s="59">
        <f ca="1">AVERAGE(OFFSET($BH$3,0,0,'Données projet'!$E$11+1,1))-AVERAGE(OFFSET($H$3,0,0,'Données projet'!$E$11+1,1))</f>
        <v>366.51581861366333</v>
      </c>
      <c r="BJ149" s="59">
        <f t="shared" si="146"/>
        <v>225.01415116995503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43.855712178482356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43.855712178482356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204.00000000000017</v>
      </c>
      <c r="BZ149" s="13">
        <f>BY149*VLOOKUP('Données projet'!$B$12,Paramètres!$A$1:$I$89,3,0)*VLOOKUP('Données projet'!$B$12,Paramètres!$A$1:$I$89,5,0)</f>
        <v>133.66080000000011</v>
      </c>
      <c r="CA149" s="13">
        <f t="shared" si="147"/>
        <v>34.840890682716783</v>
      </c>
      <c r="CB149" s="20">
        <f t="shared" si="118"/>
        <v>293.4737779390652</v>
      </c>
      <c r="CC149" s="59">
        <f t="shared" si="119"/>
        <v>586.80711127239852</v>
      </c>
      <c r="CD149" s="59">
        <f ca="1">AVERAGE(OFFSET($CC$3,0,0,'Données projet'!$E$12+1,1))-AVERAGE(OFFSET($H$3,0,0,'Données projet'!$E$12+1,1))</f>
        <v>230.58262378842818</v>
      </c>
      <c r="CE149" s="59">
        <f t="shared" si="148"/>
        <v>235.68746142880792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0.62993526752159157</v>
      </c>
      <c r="CL149" s="21">
        <f>EXP(-LN(2)/25)*CL148+(1-EXP(-LN(2)/25))/(LN(2)/25)*Calculateur!CG149*Calculateur!CI149*VLOOKUP('Données projet'!$B$12,Paramètres!$A$1:$I$89,3,0)*0.475*44/12</f>
        <v>2.2837074027466771</v>
      </c>
      <c r="CM149" s="21">
        <f>EXP(-LN(2)/2)*CM148+(1-EXP(-LN(2)/2))/(LN(2)/2)*CG149*CJ149*VLOOKUP('Données projet'!$B$12,Paramètres!$A$1:$I$89,3,0)*0.475*44/12</f>
        <v>1.109048227624183E-8</v>
      </c>
      <c r="CN149" s="22">
        <f t="shared" si="120"/>
        <v>2.913642681358751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1.7053025658242404E-13</v>
      </c>
      <c r="CU149" s="17">
        <f>CT149*VLOOKUP('Données projet'!$B$13,Paramètres!$A$1:$I$89,3,0)*VLOOKUP('Données projet'!$B$13,Paramètres!$A$1:$I$89,5,0)</f>
        <v>1.3301360013429075E-13</v>
      </c>
      <c r="CV149" s="13">
        <f t="shared" si="149"/>
        <v>1.9329766731057041E-12</v>
      </c>
      <c r="CW149" s="20">
        <f t="shared" si="121"/>
        <v>3.5982663925596575E-12</v>
      </c>
      <c r="CX149" s="59">
        <f t="shared" si="122"/>
        <v>293.3333333333369</v>
      </c>
      <c r="CY149" s="59">
        <f ca="1">AVERAGE(OFFSET($CX$3,0,0,'Données projet'!$E$13+1,1))-AVERAGE(OFFSET($H$3,0,0,'Données projet'!$E$13+1,1))</f>
        <v>288.80569134263209</v>
      </c>
      <c r="CZ149" s="59">
        <f t="shared" si="150"/>
        <v>283.48738729114024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17.657735060179061</v>
      </c>
      <c r="DG149" s="21">
        <f>EXP(-LN(2)/25)*DG148+(1-EXP(-LN(2)/25))/(LN(2)/25)*Calculateur!DB149*Calculateur!DD149*VLOOKUP('Données projet'!$B$13,Paramètres!$A$1:$I$89,3,0)*0.475*44/12</f>
        <v>8.0662696769368765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25.724004737115937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266.99999999999983</v>
      </c>
      <c r="DP149" s="17">
        <f>DO149*VLOOKUP('Données projet'!$B$14,Paramètres!$A$1:$I$89,3,0)*VLOOKUP('Données projet'!$B$14,Paramètres!$A$1:$I$89,5,0)</f>
        <v>212.42519999999985</v>
      </c>
      <c r="DQ149" s="13">
        <f t="shared" si="151"/>
        <v>52.465198231787184</v>
      </c>
      <c r="DR149" s="20">
        <f t="shared" si="124"/>
        <v>461.35077692036231</v>
      </c>
      <c r="DS149" s="59">
        <f t="shared" si="125"/>
        <v>754.68411025369562</v>
      </c>
      <c r="DT149" s="59">
        <f ca="1">AVERAGE(OFFSET($DS$3,0,0,'Données projet'!$E$14+1,1))-AVERAGE(OFFSET($H$3,0,0,'Données projet'!$E$14+1,1))</f>
        <v>299.10536994156814</v>
      </c>
      <c r="DU149" s="59">
        <f t="shared" si="152"/>
        <v>292.57799203101769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7.7912124131350184</v>
      </c>
      <c r="EB149" s="21">
        <f>EXP(-LN(2)/25)*EB148+(1-EXP(-LN(2)/25))/(LN(2)/25)*Calculateur!DW149*Calculateur!DY149*VLOOKUP('Données projet'!$B$14,Paramètres!$A$1:$I$89,3,0)*0.475*44/12</f>
        <v>1.336193987809734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9.1274064009447518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5.1431925385259092E-13</v>
      </c>
      <c r="P150" s="13">
        <f t="shared" si="141"/>
        <v>6.3855359115685756E-12</v>
      </c>
      <c r="Q150" s="20">
        <f t="shared" si="108"/>
        <v>1.2017247746441865E-11</v>
      </c>
      <c r="R150" s="59">
        <f t="shared" si="109"/>
        <v>293.33333333334531</v>
      </c>
      <c r="S150" s="59">
        <f ca="1">AVERAGE(OFFSET($R$3,0,0,'Données projet'!$E$9+1,1))-AVERAGE(OFFSET($H$3,0,0,'Données projet'!$E$9+1,1))</f>
        <v>384.05928630855732</v>
      </c>
      <c r="T150" s="59">
        <f t="shared" si="142"/>
        <v>279.93992813630513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124.55076048182224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124.55076048182224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1.9895196601282805E-13</v>
      </c>
      <c r="AJ150" s="13">
        <f>AI150*VLOOKUP('Données projet'!$B$10,Paramètres!$A$1:$I$89,3,0)*VLOOKUP('Données projet'!$B$10,Paramètres!$A$1:$I$89,5,0)</f>
        <v>1.707007868390065E-13</v>
      </c>
      <c r="AK150" s="13">
        <f t="shared" si="143"/>
        <v>2.4096578055149408E-12</v>
      </c>
      <c r="AL150" s="20">
        <f t="shared" si="112"/>
        <v>4.4941245483497909E-12</v>
      </c>
      <c r="AM150" s="59">
        <f t="shared" si="113"/>
        <v>293.33333333333781</v>
      </c>
      <c r="AN150" s="59">
        <f ca="1">AVERAGE(OFFSET($AM$3,0,0,'Données projet'!$E$10+1,1))-AVERAGE(OFFSET($H$3,0,0,'Données projet'!$E$10+1,1))</f>
        <v>335.02113791949211</v>
      </c>
      <c r="AO150" s="59">
        <f t="shared" si="144"/>
        <v>222.06886429435099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66.431860409009715</v>
      </c>
      <c r="AV150" s="21">
        <f>EXP(-LN(2)/25)*AV149+(1-EXP(-LN(2)/25))/(LN(2)/25)*Calculateur!AQ150*Calculateur!AS150*VLOOKUP('Données projet'!$B$10,Paramètres!$A$1:$I$89,3,0)*0.475*44/12</f>
        <v>36.528675295011404</v>
      </c>
      <c r="AW150" s="21">
        <f>EXP(-LN(2)/2)*AW149+(1-EXP(-LN(2)/2))/(LN(2)/2)*AQ150*AT150*VLOOKUP('Données projet'!$B$10,Paramètres!$A$1:$I$89,3,0)*0.475*44/12</f>
        <v>2.4766582670569409E-3</v>
      </c>
      <c r="AX150" s="21">
        <f t="shared" si="114"/>
        <v>102.96301236228817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5.1063034188034209</v>
      </c>
      <c r="BD150" s="12">
        <f>IF('Données projet'!$A$88&gt;35,BD149+BC150-BL149,IF(A150&lt;'Données projet'!$A$88,$BA$205^A150,IF(A150='Données projet'!$A$88,'Données projet'!$B$88,BD149+BC150-BL149)))</f>
        <v>292.97329059829013</v>
      </c>
      <c r="BE150" s="13">
        <f>BD150*VLOOKUP('Données projet'!$B$11,Paramètres!$A$1:$I$89,3,0)*VLOOKUP('Données projet'!$B$11,Paramètres!$A$1:$I$89,5,0)</f>
        <v>283.36376666666621</v>
      </c>
      <c r="BF150" s="13">
        <f t="shared" si="145"/>
        <v>67.677374660998993</v>
      </c>
      <c r="BG150" s="20">
        <f t="shared" si="115"/>
        <v>611.39665447901677</v>
      </c>
      <c r="BH150" s="59">
        <f t="shared" si="116"/>
        <v>904.72998781235015</v>
      </c>
      <c r="BI150" s="59">
        <f ca="1">AVERAGE(OFFSET($BH$3,0,0,'Données projet'!$E$11+1,1))-AVERAGE(OFFSET($H$3,0,0,'Données projet'!$E$11+1,1))</f>
        <v>366.51581861366333</v>
      </c>
      <c r="BJ150" s="59">
        <f t="shared" si="146"/>
        <v>225.01415116995503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42.995728412005469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42.995728412005469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204.00000000000017</v>
      </c>
      <c r="BZ150" s="13">
        <f>BY150*VLOOKUP('Données projet'!$B$12,Paramètres!$A$1:$I$89,3,0)*VLOOKUP('Données projet'!$B$12,Paramètres!$A$1:$I$89,5,0)</f>
        <v>133.66080000000011</v>
      </c>
      <c r="CA150" s="13">
        <f t="shared" si="147"/>
        <v>34.840890682716783</v>
      </c>
      <c r="CB150" s="20">
        <f t="shared" si="118"/>
        <v>293.4737779390652</v>
      </c>
      <c r="CC150" s="59">
        <f t="shared" si="119"/>
        <v>586.80711127239852</v>
      </c>
      <c r="CD150" s="59">
        <f ca="1">AVERAGE(OFFSET($CC$3,0,0,'Données projet'!$E$12+1,1))-AVERAGE(OFFSET($H$3,0,0,'Données projet'!$E$12+1,1))</f>
        <v>230.58262378842818</v>
      </c>
      <c r="CE150" s="59">
        <f t="shared" si="148"/>
        <v>235.68746142880792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0.6175826211480675</v>
      </c>
      <c r="CL150" s="21">
        <f>EXP(-LN(2)/25)*CL149+(1-EXP(-LN(2)/25))/(LN(2)/25)*Calculateur!CG150*Calculateur!CI150*VLOOKUP('Données projet'!$B$12,Paramètres!$A$1:$I$89,3,0)*0.475*44/12</f>
        <v>2.2212593037236164</v>
      </c>
      <c r="CM150" s="21">
        <f>EXP(-LN(2)/2)*CM149+(1-EXP(-LN(2)/2))/(LN(2)/2)*CG150*CJ150*VLOOKUP('Données projet'!$B$12,Paramètres!$A$1:$I$89,3,0)*0.475*44/12</f>
        <v>7.8421552241598147E-9</v>
      </c>
      <c r="CN150" s="22">
        <f t="shared" si="120"/>
        <v>2.838841932713839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1.7053025658242404E-13</v>
      </c>
      <c r="CU150" s="17">
        <f>CT150*VLOOKUP('Données projet'!$B$13,Paramètres!$A$1:$I$89,3,0)*VLOOKUP('Données projet'!$B$13,Paramètres!$A$1:$I$89,5,0)</f>
        <v>1.3301360013429075E-13</v>
      </c>
      <c r="CV150" s="13">
        <f t="shared" si="149"/>
        <v>1.9329766731057041E-12</v>
      </c>
      <c r="CW150" s="20">
        <f t="shared" si="121"/>
        <v>3.5982663925596575E-12</v>
      </c>
      <c r="CX150" s="59">
        <f t="shared" si="122"/>
        <v>293.3333333333369</v>
      </c>
      <c r="CY150" s="59">
        <f ca="1">AVERAGE(OFFSET($CX$3,0,0,'Données projet'!$E$13+1,1))-AVERAGE(OFFSET($H$3,0,0,'Données projet'!$E$13+1,1))</f>
        <v>288.80569134263209</v>
      </c>
      <c r="CZ150" s="59">
        <f t="shared" si="150"/>
        <v>283.48738729114024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17.311477645803873</v>
      </c>
      <c r="DG150" s="21">
        <f>EXP(-LN(2)/25)*DG149+(1-EXP(-LN(2)/25))/(LN(2)/25)*Calculateur!DB150*Calculateur!DD150*VLOOKUP('Données projet'!$B$13,Paramètres!$A$1:$I$89,3,0)*0.475*44/12</f>
        <v>7.8456971084343508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25.157174754238223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266.99999999999983</v>
      </c>
      <c r="DP150" s="17">
        <f>DO150*VLOOKUP('Données projet'!$B$14,Paramètres!$A$1:$I$89,3,0)*VLOOKUP('Données projet'!$B$14,Paramètres!$A$1:$I$89,5,0)</f>
        <v>212.42519999999985</v>
      </c>
      <c r="DQ150" s="13">
        <f t="shared" si="151"/>
        <v>52.465198231787184</v>
      </c>
      <c r="DR150" s="20">
        <f t="shared" si="124"/>
        <v>461.35077692036231</v>
      </c>
      <c r="DS150" s="59">
        <f t="shared" si="125"/>
        <v>754.68411025369562</v>
      </c>
      <c r="DT150" s="59">
        <f ca="1">AVERAGE(OFFSET($DS$3,0,0,'Données projet'!$E$14+1,1))-AVERAGE(OFFSET($H$3,0,0,'Données projet'!$E$14+1,1))</f>
        <v>299.10536994156814</v>
      </c>
      <c r="DU150" s="59">
        <f t="shared" si="152"/>
        <v>292.57799203101769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7.6384314898837751</v>
      </c>
      <c r="EB150" s="21">
        <f>EXP(-LN(2)/25)*EB149+(1-EXP(-LN(2)/25))/(LN(2)/25)*Calculateur!DW150*Calculateur!DY150*VLOOKUP('Données projet'!$B$14,Paramètres!$A$1:$I$89,3,0)*0.475*44/12</f>
        <v>1.2996556929456888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8.938087182829463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5.1431925385259092E-13</v>
      </c>
      <c r="P151" s="13">
        <f t="shared" si="141"/>
        <v>6.3855359115685756E-12</v>
      </c>
      <c r="Q151" s="20">
        <f t="shared" si="108"/>
        <v>1.2017247746441865E-11</v>
      </c>
      <c r="R151" s="59">
        <f t="shared" si="109"/>
        <v>293.33333333334531</v>
      </c>
      <c r="S151" s="59">
        <f ca="1">AVERAGE(OFFSET($R$3,0,0,'Données projet'!$E$9+1,1))-AVERAGE(OFFSET($H$3,0,0,'Données projet'!$E$9+1,1))</f>
        <v>384.05928630855732</v>
      </c>
      <c r="T151" s="59">
        <f t="shared" si="142"/>
        <v>279.93992813630513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122.10839603723633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122.10839603723633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1.9895196601282805E-13</v>
      </c>
      <c r="AJ151" s="13">
        <f>AI151*VLOOKUP('Données projet'!$B$10,Paramètres!$A$1:$I$89,3,0)*VLOOKUP('Données projet'!$B$10,Paramètres!$A$1:$I$89,5,0)</f>
        <v>1.707007868390065E-13</v>
      </c>
      <c r="AK151" s="13">
        <f t="shared" si="143"/>
        <v>2.4096578055149408E-12</v>
      </c>
      <c r="AL151" s="20">
        <f t="shared" si="112"/>
        <v>4.4941245483497909E-12</v>
      </c>
      <c r="AM151" s="59">
        <f t="shared" si="113"/>
        <v>293.33333333333781</v>
      </c>
      <c r="AN151" s="59">
        <f ca="1">AVERAGE(OFFSET($AM$3,0,0,'Données projet'!$E$10+1,1))-AVERAGE(OFFSET($H$3,0,0,'Données projet'!$E$10+1,1))</f>
        <v>335.02113791949211</v>
      </c>
      <c r="AO151" s="59">
        <f t="shared" si="144"/>
        <v>222.06886429435099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65.12917214582292</v>
      </c>
      <c r="AV151" s="21">
        <f>EXP(-LN(2)/25)*AV150+(1-EXP(-LN(2)/25))/(LN(2)/25)*Calculateur!AQ151*Calculateur!AS151*VLOOKUP('Données projet'!$B$10,Paramètres!$A$1:$I$89,3,0)*0.475*44/12</f>
        <v>35.529796748109767</v>
      </c>
      <c r="AW151" s="21">
        <f>EXP(-LN(2)/2)*AW150+(1-EXP(-LN(2)/2))/(LN(2)/2)*AQ151*AT151*VLOOKUP('Données projet'!$B$10,Paramètres!$A$1:$I$89,3,0)*0.475*44/12</f>
        <v>1.7512618553176863E-3</v>
      </c>
      <c r="AX151" s="21">
        <f t="shared" si="114"/>
        <v>100.66072015578801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5.1063034188034209</v>
      </c>
      <c r="BD151" s="12">
        <f>IF('Données projet'!$A$88&gt;35,BD150+BC151-BL150,IF(A151&lt;'Données projet'!$A$88,$BA$205^A151,IF(A151='Données projet'!$A$88,'Données projet'!$B$88,BD150+BC151-BL150)))</f>
        <v>298.07959401709354</v>
      </c>
      <c r="BE151" s="13">
        <f>BD151*VLOOKUP('Données projet'!$B$11,Paramètres!$A$1:$I$89,3,0)*VLOOKUP('Données projet'!$B$11,Paramètres!$A$1:$I$89,5,0)</f>
        <v>288.3025833333329</v>
      </c>
      <c r="BF151" s="13">
        <f t="shared" si="145"/>
        <v>68.718588348674373</v>
      </c>
      <c r="BG151" s="20">
        <f t="shared" si="115"/>
        <v>621.81187401282932</v>
      </c>
      <c r="BH151" s="59">
        <f t="shared" si="116"/>
        <v>915.14520734616258</v>
      </c>
      <c r="BI151" s="59">
        <f ca="1">AVERAGE(OFFSET($BH$3,0,0,'Données projet'!$E$11+1,1))-AVERAGE(OFFSET($H$3,0,0,'Données projet'!$E$11+1,1))</f>
        <v>366.51581861366333</v>
      </c>
      <c r="BJ151" s="59">
        <f t="shared" si="146"/>
        <v>225.01415116995503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42.152608402650891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42.152608402650891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204.00000000000017</v>
      </c>
      <c r="BZ151" s="13">
        <f>BY151*VLOOKUP('Données projet'!$B$12,Paramètres!$A$1:$I$89,3,0)*VLOOKUP('Données projet'!$B$12,Paramètres!$A$1:$I$89,5,0)</f>
        <v>133.66080000000011</v>
      </c>
      <c r="CA151" s="13">
        <f t="shared" si="147"/>
        <v>34.840890682716783</v>
      </c>
      <c r="CB151" s="20">
        <f t="shared" si="118"/>
        <v>293.4737779390652</v>
      </c>
      <c r="CC151" s="59">
        <f t="shared" si="119"/>
        <v>586.80711127239852</v>
      </c>
      <c r="CD151" s="59">
        <f ca="1">AVERAGE(OFFSET($CC$3,0,0,'Données projet'!$E$12+1,1))-AVERAGE(OFFSET($H$3,0,0,'Données projet'!$E$12+1,1))</f>
        <v>230.58262378842818</v>
      </c>
      <c r="CE151" s="59">
        <f t="shared" si="148"/>
        <v>235.68746142880792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0.6054722026355579</v>
      </c>
      <c r="CL151" s="21">
        <f>EXP(-LN(2)/25)*CL150+(1-EXP(-LN(2)/25))/(LN(2)/25)*Calculateur!CG151*Calculateur!CI151*VLOOKUP('Données projet'!$B$12,Paramètres!$A$1:$I$89,3,0)*0.475*44/12</f>
        <v>2.1605188512523439</v>
      </c>
      <c r="CM151" s="21">
        <f>EXP(-LN(2)/2)*CM150+(1-EXP(-LN(2)/2))/(LN(2)/2)*CG151*CJ151*VLOOKUP('Données projet'!$B$12,Paramètres!$A$1:$I$89,3,0)*0.475*44/12</f>
        <v>5.5452411381209148E-9</v>
      </c>
      <c r="CN151" s="22">
        <f t="shared" si="120"/>
        <v>2.7659910594331429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1.7053025658242404E-13</v>
      </c>
      <c r="CU151" s="17">
        <f>CT151*VLOOKUP('Données projet'!$B$13,Paramètres!$A$1:$I$89,3,0)*VLOOKUP('Données projet'!$B$13,Paramètres!$A$1:$I$89,5,0)</f>
        <v>1.3301360013429075E-13</v>
      </c>
      <c r="CV151" s="13">
        <f t="shared" si="149"/>
        <v>1.9329766731057041E-12</v>
      </c>
      <c r="CW151" s="20">
        <f t="shared" si="121"/>
        <v>3.5982663925596575E-12</v>
      </c>
      <c r="CX151" s="59">
        <f t="shared" si="122"/>
        <v>293.3333333333369</v>
      </c>
      <c r="CY151" s="59">
        <f ca="1">AVERAGE(OFFSET($CX$3,0,0,'Données projet'!$E$13+1,1))-AVERAGE(OFFSET($H$3,0,0,'Données projet'!$E$13+1,1))</f>
        <v>288.80569134263209</v>
      </c>
      <c r="CZ151" s="59">
        <f t="shared" si="150"/>
        <v>283.48738729114024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16.972010128128414</v>
      </c>
      <c r="DG151" s="21">
        <f>EXP(-LN(2)/25)*DG150+(1-EXP(-LN(2)/25))/(LN(2)/25)*Calculateur!DB151*Calculateur!DD151*VLOOKUP('Données projet'!$B$13,Paramètres!$A$1:$I$89,3,0)*0.475*44/12</f>
        <v>7.6311561084169339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24.603166236545349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266.99999999999983</v>
      </c>
      <c r="DP151" s="17">
        <f>DO151*VLOOKUP('Données projet'!$B$14,Paramètres!$A$1:$I$89,3,0)*VLOOKUP('Données projet'!$B$14,Paramètres!$A$1:$I$89,5,0)</f>
        <v>212.42519999999985</v>
      </c>
      <c r="DQ151" s="13">
        <f t="shared" si="151"/>
        <v>52.465198231787184</v>
      </c>
      <c r="DR151" s="20">
        <f t="shared" si="124"/>
        <v>461.35077692036231</v>
      </c>
      <c r="DS151" s="59">
        <f t="shared" si="125"/>
        <v>754.68411025369562</v>
      </c>
      <c r="DT151" s="59">
        <f ca="1">AVERAGE(OFFSET($DS$3,0,0,'Données projet'!$E$14+1,1))-AVERAGE(OFFSET($H$3,0,0,'Données projet'!$E$14+1,1))</f>
        <v>299.10536994156814</v>
      </c>
      <c r="DU151" s="59">
        <f t="shared" si="152"/>
        <v>292.57799203101769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7.4886465073503263</v>
      </c>
      <c r="EB151" s="21">
        <f>EXP(-LN(2)/25)*EB150+(1-EXP(-LN(2)/25))/(LN(2)/25)*Calculateur!DW151*Calculateur!DY151*VLOOKUP('Données projet'!$B$14,Paramètres!$A$1:$I$89,3,0)*0.475*44/12</f>
        <v>1.2641165396761664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8.7527630470264928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5.1431925385259092E-13</v>
      </c>
      <c r="P152" s="13">
        <f t="shared" si="141"/>
        <v>6.3855359115685756E-12</v>
      </c>
      <c r="Q152" s="20">
        <f t="shared" si="108"/>
        <v>1.2017247746441865E-11</v>
      </c>
      <c r="R152" s="59">
        <f t="shared" si="109"/>
        <v>293.33333333334531</v>
      </c>
      <c r="S152" s="59">
        <f ca="1">AVERAGE(OFFSET($R$3,0,0,'Données projet'!$E$9+1,1))-AVERAGE(OFFSET($H$3,0,0,'Données projet'!$E$9+1,1))</f>
        <v>384.05928630855732</v>
      </c>
      <c r="T152" s="59">
        <f t="shared" si="142"/>
        <v>279.93992813630513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119.71392486971354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119.71392486971354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1.9895196601282805E-13</v>
      </c>
      <c r="AJ152" s="13">
        <f>AI152*VLOOKUP('Données projet'!$B$10,Paramètres!$A$1:$I$89,3,0)*VLOOKUP('Données projet'!$B$10,Paramètres!$A$1:$I$89,5,0)</f>
        <v>1.707007868390065E-13</v>
      </c>
      <c r="AK152" s="13">
        <f t="shared" si="143"/>
        <v>2.4096578055149408E-12</v>
      </c>
      <c r="AL152" s="20">
        <f t="shared" si="112"/>
        <v>4.4941245483497909E-12</v>
      </c>
      <c r="AM152" s="59">
        <f t="shared" si="113"/>
        <v>293.33333333333781</v>
      </c>
      <c r="AN152" s="59">
        <f ca="1">AVERAGE(OFFSET($AM$3,0,0,'Données projet'!$E$10+1,1))-AVERAGE(OFFSET($H$3,0,0,'Données projet'!$E$10+1,1))</f>
        <v>335.02113791949211</v>
      </c>
      <c r="AO152" s="59">
        <f t="shared" si="144"/>
        <v>222.06886429435099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63.85202880491584</v>
      </c>
      <c r="AV152" s="21">
        <f>EXP(-LN(2)/25)*AV151+(1-EXP(-LN(2)/25))/(LN(2)/25)*Calculateur!AQ152*Calculateur!AS152*VLOOKUP('Données projet'!$B$10,Paramètres!$A$1:$I$89,3,0)*0.475*44/12</f>
        <v>34.5582325876019</v>
      </c>
      <c r="AW152" s="21">
        <f>EXP(-LN(2)/2)*AW151+(1-EXP(-LN(2)/2))/(LN(2)/2)*AQ152*AT152*VLOOKUP('Données projet'!$B$10,Paramètres!$A$1:$I$89,3,0)*0.475*44/12</f>
        <v>1.2383291335284704E-3</v>
      </c>
      <c r="AX152" s="21">
        <f t="shared" si="114"/>
        <v>98.411499721651268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303.18589743589746</v>
      </c>
      <c r="BB152" s="12">
        <f>VLOOKUP(A152,'Données projet'!$A$87:$I$107,9,0)</f>
        <v>5.1063034188034209</v>
      </c>
      <c r="BC152" s="12">
        <f t="array" ref="BC152">INDEX(BB:BB,MIN(IF(ISNUMBER(BB152:BB348),ROW(BB152:BB348),"")))</f>
        <v>5.1063034188034209</v>
      </c>
      <c r="BD152" s="12">
        <f>IF('Données projet'!$A$88&gt;35,BD151+BC152-BL151,IF(A152&lt;'Données projet'!$A$88,$BA$205^A152,IF(A152='Données projet'!$A$88,'Données projet'!$B$88,BD151+BC152-BL151)))</f>
        <v>303.18589743589695</v>
      </c>
      <c r="BE152" s="13">
        <f>BD152*VLOOKUP('Données projet'!$B$11,Paramètres!$A$1:$I$89,3,0)*VLOOKUP('Données projet'!$B$11,Paramètres!$A$1:$I$89,5,0)</f>
        <v>293.24139999999954</v>
      </c>
      <c r="BF152" s="13">
        <f t="shared" si="145"/>
        <v>69.75772780709292</v>
      </c>
      <c r="BG152" s="20">
        <f t="shared" si="115"/>
        <v>632.22348093068604</v>
      </c>
      <c r="BH152" s="59">
        <f t="shared" si="116"/>
        <v>925.55681426401929</v>
      </c>
      <c r="BI152" s="59">
        <f ca="1">AVERAGE(OFFSET($BH$3,0,0,'Données projet'!$E$11+1,1))-AVERAGE(OFFSET($H$3,0,0,'Données projet'!$E$11+1,1))</f>
        <v>366.51581861366333</v>
      </c>
      <c r="BJ152" s="59">
        <f t="shared" si="146"/>
        <v>225.01415116995503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120.50641025641026</v>
      </c>
      <c r="BM152" s="16">
        <f>IF(ISNA(VLOOKUP(A152,'Données projet'!$A$87:$I$107,5,0)),0%,VLOOKUP(A152,'Données projet'!$A$87:$I$107,5,0)*VLOOKUP('Données projet'!$B$11,Paramètres!$A$1:$I$89,7,0))</f>
        <v>0.38700000000000001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91.18972281544427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91.18972281544427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204.00000000000017</v>
      </c>
      <c r="BZ152" s="13">
        <f>BY152*VLOOKUP('Données projet'!$B$12,Paramètres!$A$1:$I$89,3,0)*VLOOKUP('Données projet'!$B$12,Paramètres!$A$1:$I$89,5,0)</f>
        <v>133.66080000000011</v>
      </c>
      <c r="CA152" s="13">
        <f t="shared" si="147"/>
        <v>34.840890682716783</v>
      </c>
      <c r="CB152" s="20">
        <f t="shared" si="118"/>
        <v>293.4737779390652</v>
      </c>
      <c r="CC152" s="59">
        <f t="shared" si="119"/>
        <v>586.80711127239852</v>
      </c>
      <c r="CD152" s="59">
        <f ca="1">AVERAGE(OFFSET($CC$3,0,0,'Données projet'!$E$12+1,1))-AVERAGE(OFFSET($H$3,0,0,'Données projet'!$E$12+1,1))</f>
        <v>230.58262378842818</v>
      </c>
      <c r="CE152" s="59">
        <f t="shared" si="148"/>
        <v>235.68746142880792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0.5935992620434527</v>
      </c>
      <c r="CL152" s="21">
        <f>EXP(-LN(2)/25)*CL151+(1-EXP(-LN(2)/25))/(LN(2)/25)*Calculateur!CG152*Calculateur!CI152*VLOOKUP('Données projet'!$B$12,Paramètres!$A$1:$I$89,3,0)*0.475*44/12</f>
        <v>2.1014393496481003</v>
      </c>
      <c r="CM152" s="21">
        <f>EXP(-LN(2)/2)*CM151+(1-EXP(-LN(2)/2))/(LN(2)/2)*CG152*CJ152*VLOOKUP('Données projet'!$B$12,Paramètres!$A$1:$I$89,3,0)*0.475*44/12</f>
        <v>3.9210776120799074E-9</v>
      </c>
      <c r="CN152" s="22">
        <f t="shared" si="120"/>
        <v>2.6950386156126305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1.7053025658242404E-13</v>
      </c>
      <c r="CU152" s="17">
        <f>CT152*VLOOKUP('Données projet'!$B$13,Paramètres!$A$1:$I$89,3,0)*VLOOKUP('Données projet'!$B$13,Paramètres!$A$1:$I$89,5,0)</f>
        <v>1.3301360013429075E-13</v>
      </c>
      <c r="CV152" s="13">
        <f t="shared" si="149"/>
        <v>1.9329766731057041E-12</v>
      </c>
      <c r="CW152" s="20">
        <f t="shared" si="121"/>
        <v>3.5982663925596575E-12</v>
      </c>
      <c r="CX152" s="59">
        <f t="shared" si="122"/>
        <v>293.3333333333369</v>
      </c>
      <c r="CY152" s="59">
        <f ca="1">AVERAGE(OFFSET($CX$3,0,0,'Données projet'!$E$13+1,1))-AVERAGE(OFFSET($H$3,0,0,'Données projet'!$E$13+1,1))</f>
        <v>288.80569134263209</v>
      </c>
      <c r="CZ152" s="59">
        <f t="shared" si="150"/>
        <v>283.48738729114024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16.639199361419827</v>
      </c>
      <c r="DG152" s="21">
        <f>EXP(-LN(2)/25)*DG151+(1-EXP(-LN(2)/25))/(LN(2)/25)*Calculateur!DB152*Calculateur!DD152*VLOOKUP('Données projet'!$B$13,Paramètres!$A$1:$I$89,3,0)*0.475*44/12</f>
        <v>7.4224817433272143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24.061681104747041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266.99999999999983</v>
      </c>
      <c r="DP152" s="17">
        <f>DO152*VLOOKUP('Données projet'!$B$14,Paramètres!$A$1:$I$89,3,0)*VLOOKUP('Données projet'!$B$14,Paramètres!$A$1:$I$89,5,0)</f>
        <v>212.42519999999985</v>
      </c>
      <c r="DQ152" s="13">
        <f t="shared" si="151"/>
        <v>52.465198231787184</v>
      </c>
      <c r="DR152" s="20">
        <f t="shared" si="124"/>
        <v>461.35077692036231</v>
      </c>
      <c r="DS152" s="59">
        <f t="shared" si="125"/>
        <v>754.68411025369562</v>
      </c>
      <c r="DT152" s="59">
        <f ca="1">AVERAGE(OFFSET($DS$3,0,0,'Données projet'!$E$14+1,1))-AVERAGE(OFFSET($H$3,0,0,'Données projet'!$E$14+1,1))</f>
        <v>299.10536994156814</v>
      </c>
      <c r="DU152" s="59">
        <f t="shared" si="152"/>
        <v>292.57799203101769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7.3417987169645409</v>
      </c>
      <c r="EB152" s="21">
        <f>EXP(-LN(2)/25)*EB151+(1-EXP(-LN(2)/25))/(LN(2)/25)*Calculateur!DW152*Calculateur!DY152*VLOOKUP('Données projet'!$B$14,Paramètres!$A$1:$I$89,3,0)*0.475*44/12</f>
        <v>1.2295492064217219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8.5713479233862628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5.1431925385259092E-13</v>
      </c>
      <c r="P153" s="13">
        <f t="shared" si="141"/>
        <v>6.3855359115685756E-12</v>
      </c>
      <c r="Q153" s="20">
        <f t="shared" si="108"/>
        <v>1.2017247746441865E-11</v>
      </c>
      <c r="R153" s="59">
        <f t="shared" si="109"/>
        <v>293.33333333334531</v>
      </c>
      <c r="S153" s="59">
        <f ca="1">AVERAGE(OFFSET($R$3,0,0,'Données projet'!$E$9+1,1))-AVERAGE(OFFSET($H$3,0,0,'Données projet'!$E$9+1,1))</f>
        <v>384.05928630855732</v>
      </c>
      <c r="T153" s="59">
        <f t="shared" si="142"/>
        <v>279.93992813630513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117.36640782130267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117.36640782130267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1.9895196601282805E-13</v>
      </c>
      <c r="AJ153" s="13">
        <f>AI153*VLOOKUP('Données projet'!$B$10,Paramètres!$A$1:$I$89,3,0)*VLOOKUP('Données projet'!$B$10,Paramètres!$A$1:$I$89,5,0)</f>
        <v>1.707007868390065E-13</v>
      </c>
      <c r="AK153" s="13">
        <f t="shared" si="143"/>
        <v>2.4096578055149408E-12</v>
      </c>
      <c r="AL153" s="20">
        <f t="shared" si="112"/>
        <v>4.4941245483497909E-12</v>
      </c>
      <c r="AM153" s="59">
        <f t="shared" si="113"/>
        <v>293.33333333333781</v>
      </c>
      <c r="AN153" s="59">
        <f ca="1">AVERAGE(OFFSET($AM$3,0,0,'Données projet'!$E$10+1,1))-AVERAGE(OFFSET($H$3,0,0,'Données projet'!$E$10+1,1))</f>
        <v>335.02113791949211</v>
      </c>
      <c r="AO153" s="59">
        <f t="shared" si="144"/>
        <v>222.06886429435099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62.599929465943426</v>
      </c>
      <c r="AV153" s="21">
        <f>EXP(-LN(2)/25)*AV152+(1-EXP(-LN(2)/25))/(LN(2)/25)*Calculateur!AQ153*Calculateur!AS153*VLOOKUP('Données projet'!$B$10,Paramètres!$A$1:$I$89,3,0)*0.475*44/12</f>
        <v>33.613235900155459</v>
      </c>
      <c r="AW153" s="21">
        <f>EXP(-LN(2)/2)*AW152+(1-EXP(-LN(2)/2))/(LN(2)/2)*AQ153*AT153*VLOOKUP('Données projet'!$B$10,Paramètres!$A$1:$I$89,3,0)*0.475*44/12</f>
        <v>8.7563092765884315E-4</v>
      </c>
      <c r="AX153" s="21">
        <f t="shared" si="114"/>
        <v>96.21404099702653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3.0945512820512704</v>
      </c>
      <c r="BD153" s="12">
        <f>IF('Données projet'!$A$88&gt;35,BD152+BC153-BL152,IF(A153&lt;'Données projet'!$A$88,$BA$205^A153,IF(A153='Données projet'!$A$88,'Données projet'!$B$88,BD152+BC153-BL152)))</f>
        <v>185.77403846153794</v>
      </c>
      <c r="BE153" s="13">
        <f>BD153*VLOOKUP('Données projet'!$B$11,Paramètres!$A$1:$I$89,3,0)*VLOOKUP('Données projet'!$B$11,Paramètres!$A$1:$I$89,5,0)</f>
        <v>179.6806499999995</v>
      </c>
      <c r="BF153" s="13">
        <f t="shared" si="145"/>
        <v>45.251129334068551</v>
      </c>
      <c r="BG153" s="20">
        <f t="shared" si="115"/>
        <v>391.75618234016855</v>
      </c>
      <c r="BH153" s="59">
        <f t="shared" si="116"/>
        <v>685.08951567350186</v>
      </c>
      <c r="BI153" s="59">
        <f ca="1">AVERAGE(OFFSET($BH$3,0,0,'Données projet'!$E$11+1,1))-AVERAGE(OFFSET($H$3,0,0,'Données projet'!$E$11+1,1))</f>
        <v>366.51581861366333</v>
      </c>
      <c r="BJ153" s="59">
        <f t="shared" si="146"/>
        <v>225.01415116995503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89.401547971272279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89.401547971272279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204.00000000000017</v>
      </c>
      <c r="BZ153" s="13">
        <f>BY153*VLOOKUP('Données projet'!$B$12,Paramètres!$A$1:$I$89,3,0)*VLOOKUP('Données projet'!$B$12,Paramètres!$A$1:$I$89,5,0)</f>
        <v>133.66080000000011</v>
      </c>
      <c r="CA153" s="13">
        <f t="shared" si="147"/>
        <v>34.840890682716783</v>
      </c>
      <c r="CB153" s="20">
        <f t="shared" si="118"/>
        <v>293.4737779390652</v>
      </c>
      <c r="CC153" s="59">
        <f t="shared" si="119"/>
        <v>586.80711127239852</v>
      </c>
      <c r="CD153" s="59">
        <f ca="1">AVERAGE(OFFSET($CC$3,0,0,'Données projet'!$E$12+1,1))-AVERAGE(OFFSET($H$3,0,0,'Données projet'!$E$12+1,1))</f>
        <v>230.58262378842818</v>
      </c>
      <c r="CE153" s="59">
        <f t="shared" si="148"/>
        <v>235.68746142880792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0.58195914257458004</v>
      </c>
      <c r="CL153" s="21">
        <f>EXP(-LN(2)/25)*CL152+(1-EXP(-LN(2)/25))/(LN(2)/25)*Calculateur!CG153*Calculateur!CI153*VLOOKUP('Données projet'!$B$12,Paramètres!$A$1:$I$89,3,0)*0.475*44/12</f>
        <v>2.0439753801220806</v>
      </c>
      <c r="CM153" s="21">
        <f>EXP(-LN(2)/2)*CM152+(1-EXP(-LN(2)/2))/(LN(2)/2)*CG153*CJ153*VLOOKUP('Données projet'!$B$12,Paramètres!$A$1:$I$89,3,0)*0.475*44/12</f>
        <v>2.7726205690604574E-9</v>
      </c>
      <c r="CN153" s="22">
        <f t="shared" si="120"/>
        <v>2.625934525469281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1.7053025658242404E-13</v>
      </c>
      <c r="CU153" s="17">
        <f>CT153*VLOOKUP('Données projet'!$B$13,Paramètres!$A$1:$I$89,3,0)*VLOOKUP('Données projet'!$B$13,Paramètres!$A$1:$I$89,5,0)</f>
        <v>1.3301360013429075E-13</v>
      </c>
      <c r="CV153" s="13">
        <f t="shared" si="149"/>
        <v>1.9329766731057041E-12</v>
      </c>
      <c r="CW153" s="20">
        <f t="shared" si="121"/>
        <v>3.5982663925596575E-12</v>
      </c>
      <c r="CX153" s="59">
        <f t="shared" si="122"/>
        <v>293.3333333333369</v>
      </c>
      <c r="CY153" s="59">
        <f ca="1">AVERAGE(OFFSET($CX$3,0,0,'Données projet'!$E$13+1,1))-AVERAGE(OFFSET($H$3,0,0,'Données projet'!$E$13+1,1))</f>
        <v>288.80569134263209</v>
      </c>
      <c r="CZ153" s="59">
        <f t="shared" si="150"/>
        <v>283.48738729114024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16.312914810851872</v>
      </c>
      <c r="DG153" s="21">
        <f>EXP(-LN(2)/25)*DG152+(1-EXP(-LN(2)/25))/(LN(2)/25)*Calculateur!DB153*Calculateur!DD153*VLOOKUP('Données projet'!$B$13,Paramètres!$A$1:$I$89,3,0)*0.475*44/12</f>
        <v>7.2195135897245812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23.532428400576453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266.99999999999983</v>
      </c>
      <c r="DP153" s="17">
        <f>DO153*VLOOKUP('Données projet'!$B$14,Paramètres!$A$1:$I$89,3,0)*VLOOKUP('Données projet'!$B$14,Paramètres!$A$1:$I$89,5,0)</f>
        <v>212.42519999999985</v>
      </c>
      <c r="DQ153" s="13">
        <f t="shared" si="151"/>
        <v>52.465198231787184</v>
      </c>
      <c r="DR153" s="20">
        <f t="shared" si="124"/>
        <v>461.35077692036231</v>
      </c>
      <c r="DS153" s="59">
        <f t="shared" si="125"/>
        <v>754.68411025369562</v>
      </c>
      <c r="DT153" s="59">
        <f ca="1">AVERAGE(OFFSET($DS$3,0,0,'Données projet'!$E$14+1,1))-AVERAGE(OFFSET($H$3,0,0,'Données projet'!$E$14+1,1))</f>
        <v>299.10536994156814</v>
      </c>
      <c r="DU153" s="59">
        <f t="shared" si="152"/>
        <v>292.57799203101769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7.1978305221799124</v>
      </c>
      <c r="EB153" s="21">
        <f>EXP(-LN(2)/25)*EB152+(1-EXP(-LN(2)/25))/(LN(2)/25)*Calculateur!DW153*Calculateur!DY153*VLOOKUP('Données projet'!$B$14,Paramètres!$A$1:$I$89,3,0)*0.475*44/12</f>
        <v>1.1959271187129374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8.3937576408928507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5.1431925385259092E-13</v>
      </c>
      <c r="P154" s="13">
        <f t="shared" si="141"/>
        <v>6.3855359115685756E-12</v>
      </c>
      <c r="Q154" s="20">
        <f t="shared" ref="Q154:Q203" si="162">(O154+P154)*0.475*44/12</f>
        <v>1.2017247746441865E-11</v>
      </c>
      <c r="R154" s="59">
        <f t="shared" si="109"/>
        <v>293.33333333334531</v>
      </c>
      <c r="S154" s="59">
        <f ca="1">AVERAGE(OFFSET($R$3,0,0,'Données projet'!$E$9+1,1))-AVERAGE(OFFSET($H$3,0,0,'Données projet'!$E$9+1,1))</f>
        <v>384.05928630855732</v>
      </c>
      <c r="T154" s="59">
        <f t="shared" si="142"/>
        <v>279.93992813630513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115.06492415036712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115.06492415036712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1.9895196601282805E-13</v>
      </c>
      <c r="AJ154" s="13">
        <f>AI154*VLOOKUP('Données projet'!$B$10,Paramètres!$A$1:$I$89,3,0)*VLOOKUP('Données projet'!$B$10,Paramètres!$A$1:$I$89,5,0)</f>
        <v>1.707007868390065E-13</v>
      </c>
      <c r="AK154" s="13">
        <f t="shared" ref="AK154:AK203" si="164">EXP(-1.0587+0.8836*LN(AJ154)+0.284)</f>
        <v>2.4096578055149408E-12</v>
      </c>
      <c r="AL154" s="20">
        <f t="shared" ref="AL154:AL203" si="165">(AJ154+AK154)*0.475*44/12</f>
        <v>4.4941245483497909E-12</v>
      </c>
      <c r="AM154" s="59">
        <f t="shared" si="113"/>
        <v>293.33333333333781</v>
      </c>
      <c r="AN154" s="59">
        <f ca="1">AVERAGE(OFFSET($AM$3,0,0,'Données projet'!$E$10+1,1))-AVERAGE(OFFSET($H$3,0,0,'Données projet'!$E$10+1,1))</f>
        <v>335.02113791949211</v>
      </c>
      <c r="AO154" s="59">
        <f t="shared" si="144"/>
        <v>222.06886429435099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61.372383031303073</v>
      </c>
      <c r="AV154" s="21">
        <f>EXP(-LN(2)/25)*AV153+(1-EXP(-LN(2)/25))/(LN(2)/25)*Calculateur!AQ154*Calculateur!AS154*VLOOKUP('Données projet'!$B$10,Paramètres!$A$1:$I$89,3,0)*0.475*44/12</f>
        <v>32.694080196822455</v>
      </c>
      <c r="AW154" s="21">
        <f>EXP(-LN(2)/2)*AW153+(1-EXP(-LN(2)/2))/(LN(2)/2)*AQ154*AT154*VLOOKUP('Données projet'!$B$10,Paramètres!$A$1:$I$89,3,0)*0.475*44/12</f>
        <v>6.1916456676423522E-4</v>
      </c>
      <c r="AX154" s="21">
        <f t="shared" ref="AX154:AX203" si="166">SUM(AU154:AW154)</f>
        <v>94.067082392692299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3.0945512820512704</v>
      </c>
      <c r="BD154" s="12">
        <f>IF('Données projet'!$A$88&gt;35,BD153+BC154-BL153,IF(A154&lt;'Données projet'!$A$88,$BA$205^A154,IF(A154='Données projet'!$A$88,'Données projet'!$B$88,BD153+BC154-BL153)))</f>
        <v>188.86858974358921</v>
      </c>
      <c r="BE154" s="13">
        <f>BD154*VLOOKUP('Données projet'!$B$11,Paramètres!$A$1:$I$89,3,0)*VLOOKUP('Données projet'!$B$11,Paramètres!$A$1:$I$89,5,0)</f>
        <v>182.67369999999949</v>
      </c>
      <c r="BF154" s="13">
        <f t="shared" ref="BF154:BF203" si="167">EXP(-1.0587+0.8836*LN(BE154)+0.284)</f>
        <v>45.916523732211509</v>
      </c>
      <c r="BG154" s="20">
        <f t="shared" ref="BG154:BG203" si="168">(BE154+BF154)*0.475*44/12</f>
        <v>398.12797300026745</v>
      </c>
      <c r="BH154" s="59">
        <f t="shared" si="116"/>
        <v>691.46130633360076</v>
      </c>
      <c r="BI154" s="59">
        <f ca="1">AVERAGE(OFFSET($BH$3,0,0,'Données projet'!$E$11+1,1))-AVERAGE(OFFSET($H$3,0,0,'Données projet'!$E$11+1,1))</f>
        <v>366.51581861366333</v>
      </c>
      <c r="BJ154" s="59">
        <f t="shared" si="146"/>
        <v>225.01415116995503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87.648438145115549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87.648438145115549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204.00000000000017</v>
      </c>
      <c r="BZ154" s="13">
        <f>BY154*VLOOKUP('Données projet'!$B$12,Paramètres!$A$1:$I$89,3,0)*VLOOKUP('Données projet'!$B$12,Paramètres!$A$1:$I$89,5,0)</f>
        <v>133.66080000000011</v>
      </c>
      <c r="CA154" s="13">
        <f t="shared" ref="CA154:CA203" si="170">EXP(-1.0587+0.8836*LN(BZ154)+0.284)</f>
        <v>34.840890682716783</v>
      </c>
      <c r="CB154" s="20">
        <f t="shared" ref="CB154:CB203" si="171">(BZ154+CA154)*0.475*44/12</f>
        <v>293.4737779390652</v>
      </c>
      <c r="CC154" s="59">
        <f t="shared" si="119"/>
        <v>586.80711127239852</v>
      </c>
      <c r="CD154" s="59">
        <f ca="1">AVERAGE(OFFSET($CC$3,0,0,'Données projet'!$E$12+1,1))-AVERAGE(OFFSET($H$3,0,0,'Données projet'!$E$12+1,1))</f>
        <v>230.58262378842818</v>
      </c>
      <c r="CE154" s="59">
        <f t="shared" si="148"/>
        <v>235.68746142880792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0.57054727874872013</v>
      </c>
      <c r="CL154" s="21">
        <f>EXP(-LN(2)/25)*CL153+(1-EXP(-LN(2)/25))/(LN(2)/25)*Calculateur!CG154*Calculateur!CI154*VLOOKUP('Données projet'!$B$12,Paramètres!$A$1:$I$89,3,0)*0.475*44/12</f>
        <v>1.9880827658646487</v>
      </c>
      <c r="CM154" s="21">
        <f>EXP(-LN(2)/2)*CM153+(1-EXP(-LN(2)/2))/(LN(2)/2)*CG154*CJ154*VLOOKUP('Données projet'!$B$12,Paramètres!$A$1:$I$89,3,0)*0.475*44/12</f>
        <v>1.9605388060399537E-9</v>
      </c>
      <c r="CN154" s="22">
        <f t="shared" ref="CN154:CN203" si="172">SUM(CK154:CM154)</f>
        <v>2.5586300465739078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1.7053025658242404E-13</v>
      </c>
      <c r="CU154" s="17">
        <f>CT154*VLOOKUP('Données projet'!$B$13,Paramètres!$A$1:$I$89,3,0)*VLOOKUP('Données projet'!$B$13,Paramètres!$A$1:$I$89,5,0)</f>
        <v>1.3301360013429075E-13</v>
      </c>
      <c r="CV154" s="13">
        <f t="shared" ref="CV154:CV203" si="173">EXP(-1.0587+0.8836*LN(CU154)+0.284)</f>
        <v>1.9329766731057041E-12</v>
      </c>
      <c r="CW154" s="20">
        <f t="shared" ref="CW154:CW203" si="174">(CU154+CV154)*0.475*44/12</f>
        <v>3.5982663925596575E-12</v>
      </c>
      <c r="CX154" s="59">
        <f t="shared" si="122"/>
        <v>293.3333333333369</v>
      </c>
      <c r="CY154" s="59">
        <f ca="1">AVERAGE(OFFSET($CX$3,0,0,'Données projet'!$E$13+1,1))-AVERAGE(OFFSET($H$3,0,0,'Données projet'!$E$13+1,1))</f>
        <v>288.80569134263209</v>
      </c>
      <c r="CZ154" s="59">
        <f t="shared" si="150"/>
        <v>283.48738729114024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15.993028501306631</v>
      </c>
      <c r="DG154" s="21">
        <f>EXP(-LN(2)/25)*DG153+(1-EXP(-LN(2)/25))/(LN(2)/25)*Calculateur!DB154*Calculateur!DD154*VLOOKUP('Données projet'!$B$13,Paramètres!$A$1:$I$89,3,0)*0.475*44/12</f>
        <v>7.0220956109558434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23.015124112262473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266.99999999999983</v>
      </c>
      <c r="DP154" s="17">
        <f>DO154*VLOOKUP('Données projet'!$B$14,Paramètres!$A$1:$I$89,3,0)*VLOOKUP('Données projet'!$B$14,Paramètres!$A$1:$I$89,5,0)</f>
        <v>212.42519999999985</v>
      </c>
      <c r="DQ154" s="13">
        <f t="shared" ref="DQ154:DQ203" si="176">EXP(-1.0587+0.8836*LN(DP154)+0.284)</f>
        <v>52.465198231787184</v>
      </c>
      <c r="DR154" s="20">
        <f t="shared" ref="DR154:DR203" si="177">(DP154+DQ154)*0.475*44/12</f>
        <v>461.35077692036231</v>
      </c>
      <c r="DS154" s="59">
        <f t="shared" si="125"/>
        <v>754.68411025369562</v>
      </c>
      <c r="DT154" s="59">
        <f ca="1">AVERAGE(OFFSET($DS$3,0,0,'Données projet'!$E$14+1,1))-AVERAGE(OFFSET($H$3,0,0,'Données projet'!$E$14+1,1))</f>
        <v>299.10536994156814</v>
      </c>
      <c r="DU154" s="59">
        <f t="shared" si="152"/>
        <v>292.57799203101769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7.0566854558830823</v>
      </c>
      <c r="EB154" s="21">
        <f>EXP(-LN(2)/25)*EB153+(1-EXP(-LN(2)/25))/(LN(2)/25)*Calculateur!DW154*Calculateur!DY154*VLOOKUP('Données projet'!$B$14,Paramètres!$A$1:$I$89,3,0)*0.475*44/12</f>
        <v>1.1632244287606583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8.2199098846437408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5.1431925385259092E-13</v>
      </c>
      <c r="P155" s="13">
        <f t="shared" si="141"/>
        <v>6.3855359115685756E-12</v>
      </c>
      <c r="Q155" s="20">
        <f t="shared" si="162"/>
        <v>1.2017247746441865E-11</v>
      </c>
      <c r="R155" s="59">
        <f t="shared" si="109"/>
        <v>293.33333333334531</v>
      </c>
      <c r="S155" s="59">
        <f ca="1">AVERAGE(OFFSET($R$3,0,0,'Données projet'!$E$9+1,1))-AVERAGE(OFFSET($H$3,0,0,'Données projet'!$E$9+1,1))</f>
        <v>384.05928630855732</v>
      </c>
      <c r="T155" s="59">
        <f t="shared" si="142"/>
        <v>279.93992813630513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112.80857117045218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112.80857117045218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1.9895196601282805E-13</v>
      </c>
      <c r="AJ155" s="13">
        <f>AI155*VLOOKUP('Données projet'!$B$10,Paramètres!$A$1:$I$89,3,0)*VLOOKUP('Données projet'!$B$10,Paramètres!$A$1:$I$89,5,0)</f>
        <v>1.707007868390065E-13</v>
      </c>
      <c r="AK155" s="13">
        <f t="shared" si="164"/>
        <v>2.4096578055149408E-12</v>
      </c>
      <c r="AL155" s="20">
        <f t="shared" si="165"/>
        <v>4.4941245483497909E-12</v>
      </c>
      <c r="AM155" s="59">
        <f t="shared" si="113"/>
        <v>293.33333333333781</v>
      </c>
      <c r="AN155" s="59">
        <f ca="1">AVERAGE(OFFSET($AM$3,0,0,'Données projet'!$E$10+1,1))-AVERAGE(OFFSET($H$3,0,0,'Données projet'!$E$10+1,1))</f>
        <v>335.02113791949211</v>
      </c>
      <c r="AO155" s="59">
        <f t="shared" si="144"/>
        <v>222.06886429435099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60.168908033516622</v>
      </c>
      <c r="AV155" s="21">
        <f>EXP(-LN(2)/25)*AV154+(1-EXP(-LN(2)/25))/(LN(2)/25)*Calculateur!AQ155*Calculateur!AS155*VLOOKUP('Données projet'!$B$10,Paramètres!$A$1:$I$89,3,0)*0.475*44/12</f>
        <v>31.80005885453339</v>
      </c>
      <c r="AW155" s="21">
        <f>EXP(-LN(2)/2)*AW154+(1-EXP(-LN(2)/2))/(LN(2)/2)*AQ155*AT155*VLOOKUP('Données projet'!$B$10,Paramètres!$A$1:$I$89,3,0)*0.475*44/12</f>
        <v>4.3781546382942158E-4</v>
      </c>
      <c r="AX155" s="21">
        <f t="shared" si="166"/>
        <v>91.969404703513831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3.0945512820512704</v>
      </c>
      <c r="BD155" s="12">
        <f>IF('Données projet'!$A$88&gt;35,BD154+BC155-BL154,IF(A155&lt;'Données projet'!$A$88,$BA$205^A155,IF(A155='Données projet'!$A$88,'Données projet'!$B$88,BD154+BC155-BL154)))</f>
        <v>191.96314102564048</v>
      </c>
      <c r="BE155" s="13">
        <f>BD155*VLOOKUP('Données projet'!$B$11,Paramètres!$A$1:$I$89,3,0)*VLOOKUP('Données projet'!$B$11,Paramètres!$A$1:$I$89,5,0)</f>
        <v>185.6667499999995</v>
      </c>
      <c r="BF155" s="13">
        <f t="shared" si="167"/>
        <v>46.580650255059233</v>
      </c>
      <c r="BG155" s="20">
        <f t="shared" si="168"/>
        <v>404.49755544422732</v>
      </c>
      <c r="BH155" s="59">
        <f t="shared" si="116"/>
        <v>697.83088877756063</v>
      </c>
      <c r="BI155" s="59">
        <f ca="1">AVERAGE(OFFSET($BH$3,0,0,'Données projet'!$E$11+1,1))-AVERAGE(OFFSET($H$3,0,0,'Données projet'!$E$11+1,1))</f>
        <v>366.51581861366333</v>
      </c>
      <c r="BJ155" s="59">
        <f t="shared" si="146"/>
        <v>225.01415116995503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85.929705733358333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85.929705733358333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204.00000000000017</v>
      </c>
      <c r="BZ155" s="13">
        <f>BY155*VLOOKUP('Données projet'!$B$12,Paramètres!$A$1:$I$89,3,0)*VLOOKUP('Données projet'!$B$12,Paramètres!$A$1:$I$89,5,0)</f>
        <v>133.66080000000011</v>
      </c>
      <c r="CA155" s="13">
        <f t="shared" si="170"/>
        <v>34.840890682716783</v>
      </c>
      <c r="CB155" s="20">
        <f t="shared" si="171"/>
        <v>293.4737779390652</v>
      </c>
      <c r="CC155" s="59">
        <f t="shared" si="119"/>
        <v>586.80711127239852</v>
      </c>
      <c r="CD155" s="59">
        <f ca="1">AVERAGE(OFFSET($CC$3,0,0,'Données projet'!$E$12+1,1))-AVERAGE(OFFSET($H$3,0,0,'Données projet'!$E$12+1,1))</f>
        <v>230.58262378842818</v>
      </c>
      <c r="CE155" s="59">
        <f t="shared" si="148"/>
        <v>235.68746142880792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0.55935919461193573</v>
      </c>
      <c r="CL155" s="21">
        <f>EXP(-LN(2)/25)*CL154+(1-EXP(-LN(2)/25))/(LN(2)/25)*Calculateur!CG155*Calculateur!CI155*VLOOKUP('Données projet'!$B$12,Paramètres!$A$1:$I$89,3,0)*0.475*44/12</f>
        <v>1.933718538083351</v>
      </c>
      <c r="CM155" s="21">
        <f>EXP(-LN(2)/2)*CM154+(1-EXP(-LN(2)/2))/(LN(2)/2)*CG155*CJ155*VLOOKUP('Données projet'!$B$12,Paramètres!$A$1:$I$89,3,0)*0.475*44/12</f>
        <v>1.3863102845302287E-9</v>
      </c>
      <c r="CN155" s="22">
        <f t="shared" si="172"/>
        <v>2.4930777340815968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1.7053025658242404E-13</v>
      </c>
      <c r="CU155" s="17">
        <f>CT155*VLOOKUP('Données projet'!$B$13,Paramètres!$A$1:$I$89,3,0)*VLOOKUP('Données projet'!$B$13,Paramètres!$A$1:$I$89,5,0)</f>
        <v>1.3301360013429075E-13</v>
      </c>
      <c r="CV155" s="13">
        <f t="shared" si="173"/>
        <v>1.9329766731057041E-12</v>
      </c>
      <c r="CW155" s="20">
        <f t="shared" si="174"/>
        <v>3.5982663925596575E-12</v>
      </c>
      <c r="CX155" s="59">
        <f t="shared" si="122"/>
        <v>293.3333333333369</v>
      </c>
      <c r="CY155" s="59">
        <f ca="1">AVERAGE(OFFSET($CX$3,0,0,'Données projet'!$E$13+1,1))-AVERAGE(OFFSET($H$3,0,0,'Données projet'!$E$13+1,1))</f>
        <v>288.80569134263209</v>
      </c>
      <c r="CZ155" s="59">
        <f t="shared" si="150"/>
        <v>283.48738729114024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15.679414967180188</v>
      </c>
      <c r="DG155" s="21">
        <f>EXP(-LN(2)/25)*DG154+(1-EXP(-LN(2)/25))/(LN(2)/25)*Calculateur!DB155*Calculateur!DD155*VLOOKUP('Données projet'!$B$13,Paramètres!$A$1:$I$89,3,0)*0.475*44/12</f>
        <v>6.8300760371982969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22.509491004378486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266.99999999999983</v>
      </c>
      <c r="DP155" s="17">
        <f>DO155*VLOOKUP('Données projet'!$B$14,Paramètres!$A$1:$I$89,3,0)*VLOOKUP('Données projet'!$B$14,Paramètres!$A$1:$I$89,5,0)</f>
        <v>212.42519999999985</v>
      </c>
      <c r="DQ155" s="13">
        <f t="shared" si="176"/>
        <v>52.465198231787184</v>
      </c>
      <c r="DR155" s="20">
        <f t="shared" si="177"/>
        <v>461.35077692036231</v>
      </c>
      <c r="DS155" s="59">
        <f t="shared" si="125"/>
        <v>754.68411025369562</v>
      </c>
      <c r="DT155" s="59">
        <f ca="1">AVERAGE(OFFSET($DS$3,0,0,'Données projet'!$E$14+1,1))-AVERAGE(OFFSET($H$3,0,0,'Données projet'!$E$14+1,1))</f>
        <v>299.10536994156814</v>
      </c>
      <c r="DU155" s="59">
        <f t="shared" si="152"/>
        <v>292.57799203101769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6.9183081582463437</v>
      </c>
      <c r="EB155" s="21">
        <f>EXP(-LN(2)/25)*EB154+(1-EXP(-LN(2)/25))/(LN(2)/25)*Calculateur!DW155*Calculateur!DY155*VLOOKUP('Données projet'!$B$14,Paramètres!$A$1:$I$89,3,0)*0.475*44/12</f>
        <v>1.1314159955848839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8.0497241538312281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5.1431925385259092E-13</v>
      </c>
      <c r="P156" s="13">
        <f t="shared" si="141"/>
        <v>6.3855359115685756E-12</v>
      </c>
      <c r="Q156" s="20">
        <f t="shared" si="162"/>
        <v>1.2017247746441865E-11</v>
      </c>
      <c r="R156" s="59">
        <f t="shared" si="109"/>
        <v>293.33333333334531</v>
      </c>
      <c r="S156" s="59">
        <f ca="1">AVERAGE(OFFSET($R$3,0,0,'Données projet'!$E$9+1,1))-AVERAGE(OFFSET($H$3,0,0,'Données projet'!$E$9+1,1))</f>
        <v>384.05928630855732</v>
      </c>
      <c r="T156" s="59">
        <f t="shared" si="142"/>
        <v>279.93992813630513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110.59646389623396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110.59646389623396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1.9895196601282805E-13</v>
      </c>
      <c r="AJ156" s="13">
        <f>AI156*VLOOKUP('Données projet'!$B$10,Paramètres!$A$1:$I$89,3,0)*VLOOKUP('Données projet'!$B$10,Paramètres!$A$1:$I$89,5,0)</f>
        <v>1.707007868390065E-13</v>
      </c>
      <c r="AK156" s="13">
        <f t="shared" si="164"/>
        <v>2.4096578055149408E-12</v>
      </c>
      <c r="AL156" s="20">
        <f t="shared" si="165"/>
        <v>4.4941245483497909E-12</v>
      </c>
      <c r="AM156" s="59">
        <f t="shared" si="113"/>
        <v>293.33333333333781</v>
      </c>
      <c r="AN156" s="59">
        <f ca="1">AVERAGE(OFFSET($AM$3,0,0,'Données projet'!$E$10+1,1))-AVERAGE(OFFSET($H$3,0,0,'Données projet'!$E$10+1,1))</f>
        <v>335.02113791949211</v>
      </c>
      <c r="AO156" s="59">
        <f t="shared" si="144"/>
        <v>222.06886429435099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58.989032446389494</v>
      </c>
      <c r="AV156" s="21">
        <f>EXP(-LN(2)/25)*AV155+(1-EXP(-LN(2)/25))/(LN(2)/25)*Calculateur!AQ156*Calculateur!AS156*VLOOKUP('Données projet'!$B$10,Paramètres!$A$1:$I$89,3,0)*0.475*44/12</f>
        <v>30.930484572863758</v>
      </c>
      <c r="AW156" s="21">
        <f>EXP(-LN(2)/2)*AW155+(1-EXP(-LN(2)/2))/(LN(2)/2)*AQ156*AT156*VLOOKUP('Données projet'!$B$10,Paramètres!$A$1:$I$89,3,0)*0.475*44/12</f>
        <v>3.0958228338211761E-4</v>
      </c>
      <c r="AX156" s="21">
        <f t="shared" si="166"/>
        <v>89.919826601536627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195.05769230769226</v>
      </c>
      <c r="BB156" s="12">
        <f>VLOOKUP(A156,'Données projet'!$A$87:$I$107,9,0)</f>
        <v>3.0945512820512704</v>
      </c>
      <c r="BC156" s="12">
        <f t="array" ref="BC156">INDEX(BB:BB,MIN(IF(ISNUMBER(BB156:BB352),ROW(BB156:BB352),"")))</f>
        <v>3.0945512820512704</v>
      </c>
      <c r="BD156" s="12">
        <f>IF('Données projet'!$A$88&gt;35,BD155+BC156-BL155,IF(A156&lt;'Données projet'!$A$88,$BA$205^A156,IF(A156='Données projet'!$A$88,'Données projet'!$B$88,BD155+BC156-BL155)))</f>
        <v>195.05769230769175</v>
      </c>
      <c r="BE156" s="13">
        <f>BD156*VLOOKUP('Données projet'!$B$11,Paramètres!$A$1:$I$89,3,0)*VLOOKUP('Données projet'!$B$11,Paramètres!$A$1:$I$89,5,0)</f>
        <v>188.65979999999948</v>
      </c>
      <c r="BF156" s="13">
        <f t="shared" si="167"/>
        <v>47.243531701134245</v>
      </c>
      <c r="BG156" s="20">
        <f t="shared" si="168"/>
        <v>410.86496937947453</v>
      </c>
      <c r="BH156" s="59">
        <f t="shared" si="116"/>
        <v>704.19830271280784</v>
      </c>
      <c r="BI156" s="59">
        <f ca="1">AVERAGE(OFFSET($BH$3,0,0,'Données projet'!$E$11+1,1))-AVERAGE(OFFSET($H$3,0,0,'Données projet'!$E$11+1,1))</f>
        <v>366.51581861366333</v>
      </c>
      <c r="BJ156" s="59">
        <f t="shared" si="146"/>
        <v>225.01415116995503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70.115384615384613</v>
      </c>
      <c r="BM156" s="16">
        <f>IF(ISNA(VLOOKUP(A156,'Données projet'!$A$87:$I$107,5,0)),0%,VLOOKUP(A156,'Données projet'!$A$87:$I$107,5,0)*VLOOKUP('Données projet'!$B$11,Paramètres!$A$1:$I$89,7,0))</f>
        <v>0.38700000000000001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113.257345662061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113.257345662061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204.00000000000017</v>
      </c>
      <c r="BZ156" s="13">
        <f>BY156*VLOOKUP('Données projet'!$B$12,Paramètres!$A$1:$I$89,3,0)*VLOOKUP('Données projet'!$B$12,Paramètres!$A$1:$I$89,5,0)</f>
        <v>133.66080000000011</v>
      </c>
      <c r="CA156" s="13">
        <f t="shared" si="170"/>
        <v>34.840890682716783</v>
      </c>
      <c r="CB156" s="20">
        <f t="shared" si="171"/>
        <v>293.4737779390652</v>
      </c>
      <c r="CC156" s="59">
        <f t="shared" si="119"/>
        <v>586.80711127239852</v>
      </c>
      <c r="CD156" s="59">
        <f ca="1">AVERAGE(OFFSET($CC$3,0,0,'Données projet'!$E$12+1,1))-AVERAGE(OFFSET($H$3,0,0,'Données projet'!$E$12+1,1))</f>
        <v>230.58262378842818</v>
      </c>
      <c r="CE156" s="59">
        <f t="shared" si="148"/>
        <v>235.68746142880792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0.54839050198101613</v>
      </c>
      <c r="CL156" s="21">
        <f>EXP(-LN(2)/25)*CL155+(1-EXP(-LN(2)/25))/(LN(2)/25)*Calculateur!CG156*Calculateur!CI156*VLOOKUP('Données projet'!$B$12,Paramètres!$A$1:$I$89,3,0)*0.475*44/12</f>
        <v>1.8808409029696234</v>
      </c>
      <c r="CM156" s="21">
        <f>EXP(-LN(2)/2)*CM155+(1-EXP(-LN(2)/2))/(LN(2)/2)*CG156*CJ156*VLOOKUP('Données projet'!$B$12,Paramètres!$A$1:$I$89,3,0)*0.475*44/12</f>
        <v>9.8026940301997684E-10</v>
      </c>
      <c r="CN156" s="22">
        <f t="shared" si="172"/>
        <v>2.4292314059309086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1.7053025658242404E-13</v>
      </c>
      <c r="CU156" s="17">
        <f>CT156*VLOOKUP('Données projet'!$B$13,Paramètres!$A$1:$I$89,3,0)*VLOOKUP('Données projet'!$B$13,Paramètres!$A$1:$I$89,5,0)</f>
        <v>1.3301360013429075E-13</v>
      </c>
      <c r="CV156" s="13">
        <f t="shared" si="173"/>
        <v>1.9329766731057041E-12</v>
      </c>
      <c r="CW156" s="20">
        <f t="shared" si="174"/>
        <v>3.5982663925596575E-12</v>
      </c>
      <c r="CX156" s="59">
        <f t="shared" si="122"/>
        <v>293.3333333333369</v>
      </c>
      <c r="CY156" s="59">
        <f ca="1">AVERAGE(OFFSET($CX$3,0,0,'Données projet'!$E$13+1,1))-AVERAGE(OFFSET($H$3,0,0,'Données projet'!$E$13+1,1))</f>
        <v>288.80569134263209</v>
      </c>
      <c r="CZ156" s="59">
        <f t="shared" si="150"/>
        <v>283.48738729114024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15.371951203172598</v>
      </c>
      <c r="DG156" s="21">
        <f>EXP(-LN(2)/25)*DG155+(1-EXP(-LN(2)/25))/(LN(2)/25)*Calculateur!DB156*Calculateur!DD156*VLOOKUP('Données projet'!$B$13,Paramètres!$A$1:$I$89,3,0)*0.475*44/12</f>
        <v>6.6433072487830209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22.015258451955617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266.99999999999983</v>
      </c>
      <c r="DP156" s="17">
        <f>DO156*VLOOKUP('Données projet'!$B$14,Paramètres!$A$1:$I$89,3,0)*VLOOKUP('Données projet'!$B$14,Paramètres!$A$1:$I$89,5,0)</f>
        <v>212.42519999999985</v>
      </c>
      <c r="DQ156" s="13">
        <f t="shared" si="176"/>
        <v>52.465198231787184</v>
      </c>
      <c r="DR156" s="20">
        <f t="shared" si="177"/>
        <v>461.35077692036231</v>
      </c>
      <c r="DS156" s="59">
        <f t="shared" si="125"/>
        <v>754.68411025369562</v>
      </c>
      <c r="DT156" s="59">
        <f ca="1">AVERAGE(OFFSET($DS$3,0,0,'Données projet'!$E$14+1,1))-AVERAGE(OFFSET($H$3,0,0,'Données projet'!$E$14+1,1))</f>
        <v>299.10536994156814</v>
      </c>
      <c r="DU156" s="59">
        <f t="shared" si="152"/>
        <v>292.57799203101769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6.782644355014444</v>
      </c>
      <c r="EB156" s="21">
        <f>EXP(-LN(2)/25)*EB155+(1-EXP(-LN(2)/25))/(LN(2)/25)*Calculateur!DW156*Calculateur!DY156*VLOOKUP('Données projet'!$B$14,Paramètres!$A$1:$I$89,3,0)*0.475*44/12</f>
        <v>1.1004773656870339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7.8831217207014781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5.1431925385259092E-13</v>
      </c>
      <c r="P157" s="13">
        <f t="shared" si="141"/>
        <v>6.3855359115685756E-12</v>
      </c>
      <c r="Q157" s="20">
        <f t="shared" si="162"/>
        <v>1.2017247746441865E-11</v>
      </c>
      <c r="R157" s="59">
        <f t="shared" si="109"/>
        <v>293.33333333334531</v>
      </c>
      <c r="S157" s="59">
        <f ca="1">AVERAGE(OFFSET($R$3,0,0,'Données projet'!$E$9+1,1))-AVERAGE(OFFSET($H$3,0,0,'Données projet'!$E$9+1,1))</f>
        <v>384.05928630855732</v>
      </c>
      <c r="T157" s="59">
        <f t="shared" si="142"/>
        <v>279.93992813630513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108.42773469641094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108.42773469641094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1.9895196601282805E-13</v>
      </c>
      <c r="AJ157" s="13">
        <f>AI157*VLOOKUP('Données projet'!$B$10,Paramètres!$A$1:$I$89,3,0)*VLOOKUP('Données projet'!$B$10,Paramètres!$A$1:$I$89,5,0)</f>
        <v>1.707007868390065E-13</v>
      </c>
      <c r="AK157" s="13">
        <f t="shared" si="164"/>
        <v>2.4096578055149408E-12</v>
      </c>
      <c r="AL157" s="20">
        <f t="shared" si="165"/>
        <v>4.4941245483497909E-12</v>
      </c>
      <c r="AM157" s="59">
        <f t="shared" si="113"/>
        <v>293.33333333333781</v>
      </c>
      <c r="AN157" s="59">
        <f ca="1">AVERAGE(OFFSET($AM$3,0,0,'Données projet'!$E$10+1,1))-AVERAGE(OFFSET($H$3,0,0,'Données projet'!$E$10+1,1))</f>
        <v>335.02113791949211</v>
      </c>
      <c r="AO157" s="59">
        <f t="shared" si="144"/>
        <v>222.06886429435099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57.832293499872883</v>
      </c>
      <c r="AV157" s="21">
        <f>EXP(-LN(2)/25)*AV156+(1-EXP(-LN(2)/25))/(LN(2)/25)*Calculateur!AQ157*Calculateur!AS157*VLOOKUP('Données projet'!$B$10,Paramètres!$A$1:$I$89,3,0)*0.475*44/12</f>
        <v>30.084688845655307</v>
      </c>
      <c r="AW157" s="21">
        <f>EXP(-LN(2)/2)*AW156+(1-EXP(-LN(2)/2))/(LN(2)/2)*AQ157*AT157*VLOOKUP('Données projet'!$B$10,Paramètres!$A$1:$I$89,3,0)*0.475*44/12</f>
        <v>2.1890773191471079E-4</v>
      </c>
      <c r="AX157" s="21">
        <f t="shared" si="166"/>
        <v>87.917201253260117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1.8717948717948829</v>
      </c>
      <c r="BD157" s="12">
        <f>IF('Données projet'!$A$88&gt;35,BD156+BC157-BL156,IF(A157&lt;'Données projet'!$A$88,$BA$205^A157,IF(A157='Données projet'!$A$88,'Données projet'!$B$88,BD156+BC157-BL156)))</f>
        <v>126.81410256410203</v>
      </c>
      <c r="BE157" s="13">
        <f>BD157*VLOOKUP('Données projet'!$B$11,Paramètres!$A$1:$I$89,3,0)*VLOOKUP('Données projet'!$B$11,Paramètres!$A$1:$I$89,5,0)</f>
        <v>122.65459999999949</v>
      </c>
      <c r="BF157" s="13">
        <f t="shared" si="167"/>
        <v>32.293350503670261</v>
      </c>
      <c r="BG157" s="20">
        <f t="shared" si="168"/>
        <v>269.86768046055812</v>
      </c>
      <c r="BH157" s="59">
        <f t="shared" si="116"/>
        <v>563.20101379389143</v>
      </c>
      <c r="BI157" s="59">
        <f ca="1">AVERAGE(OFFSET($BH$3,0,0,'Données projet'!$E$11+1,1))-AVERAGE(OFFSET($H$3,0,0,'Données projet'!$E$11+1,1))</f>
        <v>366.51581861366333</v>
      </c>
      <c r="BJ157" s="59">
        <f t="shared" si="146"/>
        <v>225.01415116995503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111.03643819378773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111.03643819378773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204.00000000000017</v>
      </c>
      <c r="BZ157" s="13">
        <f>BY157*VLOOKUP('Données projet'!$B$12,Paramètres!$A$1:$I$89,3,0)*VLOOKUP('Données projet'!$B$12,Paramètres!$A$1:$I$89,5,0)</f>
        <v>133.66080000000011</v>
      </c>
      <c r="CA157" s="13">
        <f t="shared" si="170"/>
        <v>34.840890682716783</v>
      </c>
      <c r="CB157" s="20">
        <f t="shared" si="171"/>
        <v>293.4737779390652</v>
      </c>
      <c r="CC157" s="59">
        <f t="shared" si="119"/>
        <v>586.80711127239852</v>
      </c>
      <c r="CD157" s="59">
        <f ca="1">AVERAGE(OFFSET($CC$3,0,0,'Données projet'!$E$12+1,1))-AVERAGE(OFFSET($H$3,0,0,'Données projet'!$E$12+1,1))</f>
        <v>230.58262378842818</v>
      </c>
      <c r="CE157" s="59">
        <f t="shared" si="148"/>
        <v>235.68746142880792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0.53763689872234699</v>
      </c>
      <c r="CL157" s="21">
        <f>EXP(-LN(2)/25)*CL156+(1-EXP(-LN(2)/25))/(LN(2)/25)*Calculateur!CG157*Calculateur!CI157*VLOOKUP('Données projet'!$B$12,Paramètres!$A$1:$I$89,3,0)*0.475*44/12</f>
        <v>1.8294092095687946</v>
      </c>
      <c r="CM157" s="21">
        <f>EXP(-LN(2)/2)*CM156+(1-EXP(-LN(2)/2))/(LN(2)/2)*CG157*CJ157*VLOOKUP('Données projet'!$B$12,Paramètres!$A$1:$I$89,3,0)*0.475*44/12</f>
        <v>6.9315514226511435E-10</v>
      </c>
      <c r="CN157" s="22">
        <f t="shared" si="172"/>
        <v>2.3670461089842969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1.7053025658242404E-13</v>
      </c>
      <c r="CU157" s="17">
        <f>CT157*VLOOKUP('Données projet'!$B$13,Paramètres!$A$1:$I$89,3,0)*VLOOKUP('Données projet'!$B$13,Paramètres!$A$1:$I$89,5,0)</f>
        <v>1.3301360013429075E-13</v>
      </c>
      <c r="CV157" s="13">
        <f t="shared" si="173"/>
        <v>1.9329766731057041E-12</v>
      </c>
      <c r="CW157" s="20">
        <f t="shared" si="174"/>
        <v>3.5982663925596575E-12</v>
      </c>
      <c r="CX157" s="59">
        <f t="shared" si="122"/>
        <v>293.3333333333369</v>
      </c>
      <c r="CY157" s="59">
        <f ca="1">AVERAGE(OFFSET($CX$3,0,0,'Données projet'!$E$13+1,1))-AVERAGE(OFFSET($H$3,0,0,'Données projet'!$E$13+1,1))</f>
        <v>288.80569134263209</v>
      </c>
      <c r="CZ157" s="59">
        <f t="shared" si="150"/>
        <v>283.48738729114024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15.070516616042818</v>
      </c>
      <c r="DG157" s="21">
        <f>EXP(-LN(2)/25)*DG156+(1-EXP(-LN(2)/25))/(LN(2)/25)*Calculateur!DB157*Calculateur!DD157*VLOOKUP('Données projet'!$B$13,Paramètres!$A$1:$I$89,3,0)*0.475*44/12</f>
        <v>6.4616456627087047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21.532162278751521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266.99999999999983</v>
      </c>
      <c r="DP157" s="17">
        <f>DO157*VLOOKUP('Données projet'!$B$14,Paramètres!$A$1:$I$89,3,0)*VLOOKUP('Données projet'!$B$14,Paramètres!$A$1:$I$89,5,0)</f>
        <v>212.42519999999985</v>
      </c>
      <c r="DQ157" s="13">
        <f t="shared" si="176"/>
        <v>52.465198231787184</v>
      </c>
      <c r="DR157" s="20">
        <f t="shared" si="177"/>
        <v>461.35077692036231</v>
      </c>
      <c r="DS157" s="59">
        <f t="shared" si="125"/>
        <v>754.68411025369562</v>
      </c>
      <c r="DT157" s="59">
        <f ca="1">AVERAGE(OFFSET($DS$3,0,0,'Données projet'!$E$14+1,1))-AVERAGE(OFFSET($H$3,0,0,'Données projet'!$E$14+1,1))</f>
        <v>299.10536994156814</v>
      </c>
      <c r="DU157" s="59">
        <f t="shared" si="152"/>
        <v>292.57799203101769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6.6496408362171717</v>
      </c>
      <c r="EB157" s="21">
        <f>EXP(-LN(2)/25)*EB156+(1-EXP(-LN(2)/25))/(LN(2)/25)*Calculateur!DW157*Calculateur!DY157*VLOOKUP('Données projet'!$B$14,Paramètres!$A$1:$I$89,3,0)*0.475*44/12</f>
        <v>1.0703847542507325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7.7200255904679045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5.1431925385259092E-13</v>
      </c>
      <c r="P158" s="13">
        <f t="shared" si="141"/>
        <v>6.3855359115685756E-12</v>
      </c>
      <c r="Q158" s="20">
        <f t="shared" si="162"/>
        <v>1.2017247746441865E-11</v>
      </c>
      <c r="R158" s="59">
        <f t="shared" si="109"/>
        <v>293.33333333334531</v>
      </c>
      <c r="S158" s="59">
        <f ca="1">AVERAGE(OFFSET($R$3,0,0,'Données projet'!$E$9+1,1))-AVERAGE(OFFSET($H$3,0,0,'Données projet'!$E$9+1,1))</f>
        <v>384.05928630855732</v>
      </c>
      <c r="T158" s="59">
        <f t="shared" si="142"/>
        <v>279.93992813630513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106.30153295340226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106.30153295340226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1.9895196601282805E-13</v>
      </c>
      <c r="AJ158" s="13">
        <f>AI158*VLOOKUP('Données projet'!$B$10,Paramètres!$A$1:$I$89,3,0)*VLOOKUP('Données projet'!$B$10,Paramètres!$A$1:$I$89,5,0)</f>
        <v>1.707007868390065E-13</v>
      </c>
      <c r="AK158" s="13">
        <f t="shared" si="164"/>
        <v>2.4096578055149408E-12</v>
      </c>
      <c r="AL158" s="20">
        <f t="shared" si="165"/>
        <v>4.4941245483497909E-12</v>
      </c>
      <c r="AM158" s="59">
        <f t="shared" si="113"/>
        <v>293.33333333333781</v>
      </c>
      <c r="AN158" s="59">
        <f ca="1">AVERAGE(OFFSET($AM$3,0,0,'Données projet'!$E$10+1,1))-AVERAGE(OFFSET($H$3,0,0,'Données projet'!$E$10+1,1))</f>
        <v>335.02113791949211</v>
      </c>
      <c r="AO158" s="59">
        <f t="shared" si="144"/>
        <v>222.06886429435099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56.698237498556374</v>
      </c>
      <c r="AV158" s="21">
        <f>EXP(-LN(2)/25)*AV157+(1-EXP(-LN(2)/25))/(LN(2)/25)*Calculateur!AQ158*Calculateur!AS158*VLOOKUP('Données projet'!$B$10,Paramètres!$A$1:$I$89,3,0)*0.475*44/12</f>
        <v>29.262021447085836</v>
      </c>
      <c r="AW158" s="21">
        <f>EXP(-LN(2)/2)*AW157+(1-EXP(-LN(2)/2))/(LN(2)/2)*AQ158*AT158*VLOOKUP('Données projet'!$B$10,Paramètres!$A$1:$I$89,3,0)*0.475*44/12</f>
        <v>1.547911416910588E-4</v>
      </c>
      <c r="AX158" s="21">
        <f t="shared" si="166"/>
        <v>85.960413736783906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1.8717948717948829</v>
      </c>
      <c r="BD158" s="12">
        <f>IF('Données projet'!$A$88&gt;35,BD157+BC158-BL157,IF(A158&lt;'Données projet'!$A$88,$BA$205^A158,IF(A158='Données projet'!$A$88,'Données projet'!$B$88,BD157+BC158-BL157)))</f>
        <v>128.68589743589692</v>
      </c>
      <c r="BE158" s="13">
        <f>BD158*VLOOKUP('Données projet'!$B$11,Paramètres!$A$1:$I$89,3,0)*VLOOKUP('Données projet'!$B$11,Paramètres!$A$1:$I$89,5,0)</f>
        <v>124.46499999999952</v>
      </c>
      <c r="BF158" s="13">
        <f t="shared" si="167"/>
        <v>32.714162693939279</v>
      </c>
      <c r="BG158" s="20">
        <f t="shared" si="168"/>
        <v>273.75370835861008</v>
      </c>
      <c r="BH158" s="59">
        <f t="shared" si="116"/>
        <v>567.08704169194334</v>
      </c>
      <c r="BI158" s="59">
        <f ca="1">AVERAGE(OFFSET($BH$3,0,0,'Données projet'!$E$11+1,1))-AVERAGE(OFFSET($H$3,0,0,'Données projet'!$E$11+1,1))</f>
        <v>366.51581861366333</v>
      </c>
      <c r="BJ158" s="59">
        <f t="shared" si="146"/>
        <v>225.01415116995503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108.85908136634751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108.85908136634751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204.00000000000017</v>
      </c>
      <c r="BZ158" s="13">
        <f>BY158*VLOOKUP('Données projet'!$B$12,Paramètres!$A$1:$I$89,3,0)*VLOOKUP('Données projet'!$B$12,Paramètres!$A$1:$I$89,5,0)</f>
        <v>133.66080000000011</v>
      </c>
      <c r="CA158" s="13">
        <f t="shared" si="170"/>
        <v>34.840890682716783</v>
      </c>
      <c r="CB158" s="20">
        <f t="shared" si="171"/>
        <v>293.4737779390652</v>
      </c>
      <c r="CC158" s="59">
        <f t="shared" si="119"/>
        <v>586.80711127239852</v>
      </c>
      <c r="CD158" s="59">
        <f ca="1">AVERAGE(OFFSET($CC$3,0,0,'Données projet'!$E$12+1,1))-AVERAGE(OFFSET($H$3,0,0,'Données projet'!$E$12+1,1))</f>
        <v>230.58262378842818</v>
      </c>
      <c r="CE158" s="59">
        <f t="shared" si="148"/>
        <v>235.68746142880792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0.52709416706452994</v>
      </c>
      <c r="CL158" s="21">
        <f>EXP(-LN(2)/25)*CL157+(1-EXP(-LN(2)/25))/(LN(2)/25)*Calculateur!CG158*Calculateur!CI158*VLOOKUP('Données projet'!$B$12,Paramètres!$A$1:$I$89,3,0)*0.475*44/12</f>
        <v>1.7793839185286868</v>
      </c>
      <c r="CM158" s="21">
        <f>EXP(-LN(2)/2)*CM157+(1-EXP(-LN(2)/2))/(LN(2)/2)*CG158*CJ158*VLOOKUP('Données projet'!$B$12,Paramètres!$A$1:$I$89,3,0)*0.475*44/12</f>
        <v>4.9013470150998842E-10</v>
      </c>
      <c r="CN158" s="22">
        <f t="shared" si="172"/>
        <v>2.3064780860833514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1.7053025658242404E-13</v>
      </c>
      <c r="CU158" s="17">
        <f>CT158*VLOOKUP('Données projet'!$B$13,Paramètres!$A$1:$I$89,3,0)*VLOOKUP('Données projet'!$B$13,Paramètres!$A$1:$I$89,5,0)</f>
        <v>1.3301360013429075E-13</v>
      </c>
      <c r="CV158" s="13">
        <f t="shared" si="173"/>
        <v>1.9329766731057041E-12</v>
      </c>
      <c r="CW158" s="20">
        <f t="shared" si="174"/>
        <v>3.5982663925596575E-12</v>
      </c>
      <c r="CX158" s="59">
        <f t="shared" si="122"/>
        <v>293.3333333333369</v>
      </c>
      <c r="CY158" s="59">
        <f ca="1">AVERAGE(OFFSET($CX$3,0,0,'Données projet'!$E$13+1,1))-AVERAGE(OFFSET($H$3,0,0,'Données projet'!$E$13+1,1))</f>
        <v>288.80569134263209</v>
      </c>
      <c r="CZ158" s="59">
        <f t="shared" si="150"/>
        <v>283.48738729114024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14.77499297730971</v>
      </c>
      <c r="DG158" s="21">
        <f>EXP(-LN(2)/25)*DG157+(1-EXP(-LN(2)/25))/(LN(2)/25)*Calculateur!DB158*Calculateur!DD158*VLOOKUP('Données projet'!$B$13,Paramètres!$A$1:$I$89,3,0)*0.475*44/12</f>
        <v>6.2849516222587578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21.059944599568468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266.99999999999983</v>
      </c>
      <c r="DP158" s="17">
        <f>DO158*VLOOKUP('Données projet'!$B$14,Paramètres!$A$1:$I$89,3,0)*VLOOKUP('Données projet'!$B$14,Paramètres!$A$1:$I$89,5,0)</f>
        <v>212.42519999999985</v>
      </c>
      <c r="DQ158" s="13">
        <f t="shared" si="176"/>
        <v>52.465198231787184</v>
      </c>
      <c r="DR158" s="20">
        <f t="shared" si="177"/>
        <v>461.35077692036231</v>
      </c>
      <c r="DS158" s="59">
        <f t="shared" si="125"/>
        <v>754.68411025369562</v>
      </c>
      <c r="DT158" s="59">
        <f ca="1">AVERAGE(OFFSET($DS$3,0,0,'Données projet'!$E$14+1,1))-AVERAGE(OFFSET($H$3,0,0,'Données projet'!$E$14+1,1))</f>
        <v>299.10536994156814</v>
      </c>
      <c r="DU158" s="59">
        <f t="shared" si="152"/>
        <v>292.57799203101769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6.5192454352993785</v>
      </c>
      <c r="EB158" s="21">
        <f>EXP(-LN(2)/25)*EB157+(1-EXP(-LN(2)/25))/(LN(2)/25)*Calculateur!DW158*Calculateur!DY158*VLOOKUP('Données projet'!$B$14,Paramètres!$A$1:$I$89,3,0)*0.475*44/12</f>
        <v>1.0411150268566585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7.5603604621560372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5.1431925385259092E-13</v>
      </c>
      <c r="P159" s="13">
        <f t="shared" si="141"/>
        <v>6.3855359115685756E-12</v>
      </c>
      <c r="Q159" s="20">
        <f t="shared" si="162"/>
        <v>1.2017247746441865E-11</v>
      </c>
      <c r="R159" s="59">
        <f t="shared" si="109"/>
        <v>293.33333333334531</v>
      </c>
      <c r="S159" s="59">
        <f ca="1">AVERAGE(OFFSET($R$3,0,0,'Données projet'!$E$9+1,1))-AVERAGE(OFFSET($H$3,0,0,'Données projet'!$E$9+1,1))</f>
        <v>384.05928630855732</v>
      </c>
      <c r="T159" s="59">
        <f t="shared" si="142"/>
        <v>279.93992813630513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104.21702472971897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104.21702472971897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1.9895196601282805E-13</v>
      </c>
      <c r="AJ159" s="13">
        <f>AI159*VLOOKUP('Données projet'!$B$10,Paramètres!$A$1:$I$89,3,0)*VLOOKUP('Données projet'!$B$10,Paramètres!$A$1:$I$89,5,0)</f>
        <v>1.707007868390065E-13</v>
      </c>
      <c r="AK159" s="13">
        <f t="shared" si="164"/>
        <v>2.4096578055149408E-12</v>
      </c>
      <c r="AL159" s="20">
        <f t="shared" si="165"/>
        <v>4.4941245483497909E-12</v>
      </c>
      <c r="AM159" s="59">
        <f t="shared" si="113"/>
        <v>293.33333333333781</v>
      </c>
      <c r="AN159" s="59">
        <f ca="1">AVERAGE(OFFSET($AM$3,0,0,'Données projet'!$E$10+1,1))-AVERAGE(OFFSET($H$3,0,0,'Données projet'!$E$10+1,1))</f>
        <v>335.02113791949211</v>
      </c>
      <c r="AO159" s="59">
        <f t="shared" si="144"/>
        <v>222.06886429435099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55.586419643719815</v>
      </c>
      <c r="AV159" s="21">
        <f>EXP(-LN(2)/25)*AV158+(1-EXP(-LN(2)/25))/(LN(2)/25)*Calculateur!AQ159*Calculateur!AS159*VLOOKUP('Données projet'!$B$10,Paramètres!$A$1:$I$89,3,0)*0.475*44/12</f>
        <v>28.461849931792443</v>
      </c>
      <c r="AW159" s="21">
        <f>EXP(-LN(2)/2)*AW158+(1-EXP(-LN(2)/2))/(LN(2)/2)*AQ159*AT159*VLOOKUP('Données projet'!$B$10,Paramètres!$A$1:$I$89,3,0)*0.475*44/12</f>
        <v>1.0945386595735539E-4</v>
      </c>
      <c r="AX159" s="21">
        <f t="shared" si="166"/>
        <v>84.048379029378211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1.8717948717948829</v>
      </c>
      <c r="BD159" s="12">
        <f>IF('Données projet'!$A$88&gt;35,BD158+BC159-BL158,IF(A159&lt;'Données projet'!$A$88,$BA$205^A159,IF(A159='Données projet'!$A$88,'Données projet'!$B$88,BD158+BC159-BL158)))</f>
        <v>130.55769230769181</v>
      </c>
      <c r="BE159" s="13">
        <f>BD159*VLOOKUP('Données projet'!$B$11,Paramètres!$A$1:$I$89,3,0)*VLOOKUP('Données projet'!$B$11,Paramètres!$A$1:$I$89,5,0)</f>
        <v>126.27539999999952</v>
      </c>
      <c r="BF159" s="13">
        <f t="shared" si="167"/>
        <v>33.134262987172754</v>
      </c>
      <c r="BG159" s="20">
        <f t="shared" si="168"/>
        <v>277.63849636932508</v>
      </c>
      <c r="BH159" s="59">
        <f t="shared" si="116"/>
        <v>570.9718297026584</v>
      </c>
      <c r="BI159" s="59">
        <f ca="1">AVERAGE(OFFSET($BH$3,0,0,'Données projet'!$E$11+1,1))-AVERAGE(OFFSET($H$3,0,0,'Données projet'!$E$11+1,1))</f>
        <v>366.51581861366333</v>
      </c>
      <c r="BJ159" s="59">
        <f t="shared" si="146"/>
        <v>225.01415116995503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106.72442117823687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106.72442117823687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204.00000000000017</v>
      </c>
      <c r="BZ159" s="13">
        <f>BY159*VLOOKUP('Données projet'!$B$12,Paramètres!$A$1:$I$89,3,0)*VLOOKUP('Données projet'!$B$12,Paramètres!$A$1:$I$89,5,0)</f>
        <v>133.66080000000011</v>
      </c>
      <c r="CA159" s="13">
        <f t="shared" si="170"/>
        <v>34.840890682716783</v>
      </c>
      <c r="CB159" s="20">
        <f t="shared" si="171"/>
        <v>293.4737779390652</v>
      </c>
      <c r="CC159" s="59">
        <f t="shared" si="119"/>
        <v>586.80711127239852</v>
      </c>
      <c r="CD159" s="59">
        <f ca="1">AVERAGE(OFFSET($CC$3,0,0,'Données projet'!$E$12+1,1))-AVERAGE(OFFSET($H$3,0,0,'Données projet'!$E$12+1,1))</f>
        <v>230.58262378842818</v>
      </c>
      <c r="CE159" s="59">
        <f t="shared" si="148"/>
        <v>235.68746142880792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0.51675817194409135</v>
      </c>
      <c r="CL159" s="21">
        <f>EXP(-LN(2)/25)*CL158+(1-EXP(-LN(2)/25))/(LN(2)/25)*Calculateur!CG159*Calculateur!CI159*VLOOKUP('Données projet'!$B$12,Paramètres!$A$1:$I$89,3,0)*0.475*44/12</f>
        <v>1.7307265717027864</v>
      </c>
      <c r="CM159" s="21">
        <f>EXP(-LN(2)/2)*CM158+(1-EXP(-LN(2)/2))/(LN(2)/2)*CG159*CJ159*VLOOKUP('Données projet'!$B$12,Paramètres!$A$1:$I$89,3,0)*0.475*44/12</f>
        <v>3.4657757113255717E-10</v>
      </c>
      <c r="CN159" s="22">
        <f t="shared" si="172"/>
        <v>2.2474847439934553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1.7053025658242404E-13</v>
      </c>
      <c r="CU159" s="17">
        <f>CT159*VLOOKUP('Données projet'!$B$13,Paramètres!$A$1:$I$89,3,0)*VLOOKUP('Données projet'!$B$13,Paramètres!$A$1:$I$89,5,0)</f>
        <v>1.3301360013429075E-13</v>
      </c>
      <c r="CV159" s="13">
        <f t="shared" si="173"/>
        <v>1.9329766731057041E-12</v>
      </c>
      <c r="CW159" s="20">
        <f t="shared" si="174"/>
        <v>3.5982663925596575E-12</v>
      </c>
      <c r="CX159" s="59">
        <f t="shared" si="122"/>
        <v>293.3333333333369</v>
      </c>
      <c r="CY159" s="59">
        <f ca="1">AVERAGE(OFFSET($CX$3,0,0,'Données projet'!$E$13+1,1))-AVERAGE(OFFSET($H$3,0,0,'Données projet'!$E$13+1,1))</f>
        <v>288.80569134263209</v>
      </c>
      <c r="CZ159" s="59">
        <f t="shared" si="150"/>
        <v>283.48738729114024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14.485264376880536</v>
      </c>
      <c r="DG159" s="21">
        <f>EXP(-LN(2)/25)*DG158+(1-EXP(-LN(2)/25))/(LN(2)/25)*Calculateur!DB159*Calculateur!DD159*VLOOKUP('Données projet'!$B$13,Paramètres!$A$1:$I$89,3,0)*0.475*44/12</f>
        <v>6.1130892896368509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20.598353666517387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266.99999999999983</v>
      </c>
      <c r="DP159" s="17">
        <f>DO159*VLOOKUP('Données projet'!$B$14,Paramètres!$A$1:$I$89,3,0)*VLOOKUP('Données projet'!$B$14,Paramètres!$A$1:$I$89,5,0)</f>
        <v>212.42519999999985</v>
      </c>
      <c r="DQ159" s="13">
        <f t="shared" si="176"/>
        <v>52.465198231787184</v>
      </c>
      <c r="DR159" s="20">
        <f t="shared" si="177"/>
        <v>461.35077692036231</v>
      </c>
      <c r="DS159" s="59">
        <f t="shared" si="125"/>
        <v>754.68411025369562</v>
      </c>
      <c r="DT159" s="59">
        <f ca="1">AVERAGE(OFFSET($DS$3,0,0,'Données projet'!$E$14+1,1))-AVERAGE(OFFSET($H$3,0,0,'Données projet'!$E$14+1,1))</f>
        <v>299.10536994156814</v>
      </c>
      <c r="DU159" s="59">
        <f t="shared" si="152"/>
        <v>292.57799203101769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6.3914070086602415</v>
      </c>
      <c r="EB159" s="21">
        <f>EXP(-LN(2)/25)*EB158+(1-EXP(-LN(2)/25))/(LN(2)/25)*Calculateur!DW159*Calculateur!DY159*VLOOKUP('Données projet'!$B$14,Paramètres!$A$1:$I$89,3,0)*0.475*44/12</f>
        <v>1.0126456816974034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7.4040526903576449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5.1431925385259092E-13</v>
      </c>
      <c r="P160" s="13">
        <f t="shared" si="141"/>
        <v>6.3855359115685756E-12</v>
      </c>
      <c r="Q160" s="20">
        <f t="shared" si="162"/>
        <v>1.2017247746441865E-11</v>
      </c>
      <c r="R160" s="59">
        <f t="shared" si="109"/>
        <v>293.33333333334531</v>
      </c>
      <c r="S160" s="59">
        <f ca="1">AVERAGE(OFFSET($R$3,0,0,'Données projet'!$E$9+1,1))-AVERAGE(OFFSET($H$3,0,0,'Données projet'!$E$9+1,1))</f>
        <v>384.05928630855732</v>
      </c>
      <c r="T160" s="59">
        <f t="shared" si="142"/>
        <v>279.93992813630513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102.17339244087763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102.17339244087763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1.9895196601282805E-13</v>
      </c>
      <c r="AJ160" s="13">
        <f>AI160*VLOOKUP('Données projet'!$B$10,Paramètres!$A$1:$I$89,3,0)*VLOOKUP('Données projet'!$B$10,Paramètres!$A$1:$I$89,5,0)</f>
        <v>1.707007868390065E-13</v>
      </c>
      <c r="AK160" s="13">
        <f t="shared" si="164"/>
        <v>2.4096578055149408E-12</v>
      </c>
      <c r="AL160" s="20">
        <f t="shared" si="165"/>
        <v>4.4941245483497909E-12</v>
      </c>
      <c r="AM160" s="59">
        <f t="shared" si="113"/>
        <v>293.33333333333781</v>
      </c>
      <c r="AN160" s="59">
        <f ca="1">AVERAGE(OFFSET($AM$3,0,0,'Données projet'!$E$10+1,1))-AVERAGE(OFFSET($H$3,0,0,'Données projet'!$E$10+1,1))</f>
        <v>335.02113791949211</v>
      </c>
      <c r="AO160" s="59">
        <f t="shared" si="144"/>
        <v>222.06886429435099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54.496403858874672</v>
      </c>
      <c r="AV160" s="21">
        <f>EXP(-LN(2)/25)*AV159+(1-EXP(-LN(2)/25))/(LN(2)/25)*Calculateur!AQ160*Calculateur!AS160*VLOOKUP('Données projet'!$B$10,Paramètres!$A$1:$I$89,3,0)*0.475*44/12</f>
        <v>27.683559148663942</v>
      </c>
      <c r="AW160" s="21">
        <f>EXP(-LN(2)/2)*AW159+(1-EXP(-LN(2)/2))/(LN(2)/2)*AQ160*AT160*VLOOKUP('Données projet'!$B$10,Paramètres!$A$1:$I$89,3,0)*0.475*44/12</f>
        <v>7.7395570845529402E-5</v>
      </c>
      <c r="AX160" s="21">
        <f t="shared" si="166"/>
        <v>82.180040403109459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132.42948717948718</v>
      </c>
      <c r="BB160" s="12">
        <f>VLOOKUP(A160,'Données projet'!$A$87:$I$107,9,0)</f>
        <v>1.8717948717948829</v>
      </c>
      <c r="BC160" s="12">
        <f t="array" ref="BC160">INDEX(BB:BB,MIN(IF(ISNUMBER(BB160:BB356),ROW(BB160:BB356),"")))</f>
        <v>1.8717948717948829</v>
      </c>
      <c r="BD160" s="12">
        <f>IF('Données projet'!$A$88&gt;35,BD159+BC160-BL159,IF(A160&lt;'Données projet'!$A$88,$BA$205^A160,IF(A160='Données projet'!$A$88,'Données projet'!$B$88,BD159+BC160-BL159)))</f>
        <v>132.4294871794867</v>
      </c>
      <c r="BE160" s="13">
        <f>BD160*VLOOKUP('Données projet'!$B$11,Paramètres!$A$1:$I$89,3,0)*VLOOKUP('Données projet'!$B$11,Paramètres!$A$1:$I$89,5,0)</f>
        <v>128.08579999999955</v>
      </c>
      <c r="BF160" s="13">
        <f t="shared" si="167"/>
        <v>33.553662769088618</v>
      </c>
      <c r="BG160" s="20">
        <f t="shared" si="168"/>
        <v>281.5220643228285</v>
      </c>
      <c r="BH160" s="59">
        <f t="shared" si="116"/>
        <v>574.85539765616181</v>
      </c>
      <c r="BI160" s="59">
        <f ca="1">AVERAGE(OFFSET($BH$3,0,0,'Données projet'!$E$11+1,1))-AVERAGE(OFFSET($H$3,0,0,'Données projet'!$E$11+1,1))</f>
        <v>366.51581861366333</v>
      </c>
      <c r="BJ160" s="59">
        <f t="shared" si="146"/>
        <v>225.01415116995503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45.71153846153846</v>
      </c>
      <c r="BM160" s="16">
        <f>IF(ISNA(VLOOKUP(A160,'Données projet'!$A$87:$I$107,5,0)),0%,VLOOKUP(A160,'Données projet'!$A$87:$I$107,5,0)*VLOOKUP('Données projet'!$B$11,Paramètres!$A$1:$I$89,7,0))</f>
        <v>0.38700000000000001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123.54635277231377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123.54635277231377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204.00000000000017</v>
      </c>
      <c r="BZ160" s="13">
        <f>BY160*VLOOKUP('Données projet'!$B$12,Paramètres!$A$1:$I$89,3,0)*VLOOKUP('Données projet'!$B$12,Paramètres!$A$1:$I$89,5,0)</f>
        <v>133.66080000000011</v>
      </c>
      <c r="CA160" s="13">
        <f t="shared" si="170"/>
        <v>34.840890682716783</v>
      </c>
      <c r="CB160" s="20">
        <f t="shared" si="171"/>
        <v>293.4737779390652</v>
      </c>
      <c r="CC160" s="59">
        <f t="shared" si="119"/>
        <v>586.80711127239852</v>
      </c>
      <c r="CD160" s="59">
        <f ca="1">AVERAGE(OFFSET($CC$3,0,0,'Données projet'!$E$12+1,1))-AVERAGE(OFFSET($H$3,0,0,'Données projet'!$E$12+1,1))</f>
        <v>230.58262378842818</v>
      </c>
      <c r="CE160" s="59">
        <f t="shared" si="148"/>
        <v>235.68746142880792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0.50662485938363</v>
      </c>
      <c r="CL160" s="21">
        <f>EXP(-LN(2)/25)*CL159+(1-EXP(-LN(2)/25))/(LN(2)/25)*Calculateur!CG160*Calculateur!CI160*VLOOKUP('Données projet'!$B$12,Paramètres!$A$1:$I$89,3,0)*0.475*44/12</f>
        <v>1.6833997625846189</v>
      </c>
      <c r="CM160" s="21">
        <f>EXP(-LN(2)/2)*CM159+(1-EXP(-LN(2)/2))/(LN(2)/2)*CG160*CJ160*VLOOKUP('Données projet'!$B$12,Paramètres!$A$1:$I$89,3,0)*0.475*44/12</f>
        <v>2.4506735075499421E-10</v>
      </c>
      <c r="CN160" s="22">
        <f t="shared" si="172"/>
        <v>2.1900246222133162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1.7053025658242404E-13</v>
      </c>
      <c r="CU160" s="17">
        <f>CT160*VLOOKUP('Données projet'!$B$13,Paramètres!$A$1:$I$89,3,0)*VLOOKUP('Données projet'!$B$13,Paramètres!$A$1:$I$89,5,0)</f>
        <v>1.3301360013429075E-13</v>
      </c>
      <c r="CV160" s="13">
        <f t="shared" si="173"/>
        <v>1.9329766731057041E-12</v>
      </c>
      <c r="CW160" s="20">
        <f t="shared" si="174"/>
        <v>3.5982663925596575E-12</v>
      </c>
      <c r="CX160" s="59">
        <f t="shared" si="122"/>
        <v>293.3333333333369</v>
      </c>
      <c r="CY160" s="59">
        <f ca="1">AVERAGE(OFFSET($CX$3,0,0,'Données projet'!$E$13+1,1))-AVERAGE(OFFSET($H$3,0,0,'Données projet'!$E$13+1,1))</f>
        <v>288.80569134263209</v>
      </c>
      <c r="CZ160" s="59">
        <f t="shared" si="150"/>
        <v>283.48738729114024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14.201217177588781</v>
      </c>
      <c r="DG160" s="21">
        <f>EXP(-LN(2)/25)*DG159+(1-EXP(-LN(2)/25))/(LN(2)/25)*Calculateur!DB160*Calculateur!DD160*VLOOKUP('Données projet'!$B$13,Paramètres!$A$1:$I$89,3,0)*0.475*44/12</f>
        <v>5.9459265415383369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20.147143719127119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266.99999999999983</v>
      </c>
      <c r="DP160" s="17">
        <f>DO160*VLOOKUP('Données projet'!$B$14,Paramètres!$A$1:$I$89,3,0)*VLOOKUP('Données projet'!$B$14,Paramètres!$A$1:$I$89,5,0)</f>
        <v>212.42519999999985</v>
      </c>
      <c r="DQ160" s="13">
        <f t="shared" si="176"/>
        <v>52.465198231787184</v>
      </c>
      <c r="DR160" s="20">
        <f t="shared" si="177"/>
        <v>461.35077692036231</v>
      </c>
      <c r="DS160" s="59">
        <f t="shared" si="125"/>
        <v>754.68411025369562</v>
      </c>
      <c r="DT160" s="59">
        <f ca="1">AVERAGE(OFFSET($DS$3,0,0,'Données projet'!$E$14+1,1))-AVERAGE(OFFSET($H$3,0,0,'Données projet'!$E$14+1,1))</f>
        <v>299.10536994156814</v>
      </c>
      <c r="DU160" s="59">
        <f t="shared" si="152"/>
        <v>292.57799203101769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6.2660754155937575</v>
      </c>
      <c r="EB160" s="21">
        <f>EXP(-LN(2)/25)*EB159+(1-EXP(-LN(2)/25))/(LN(2)/25)*Calculateur!DW160*Calculateur!DY160*VLOOKUP('Données projet'!$B$14,Paramètres!$A$1:$I$89,3,0)*0.475*44/12</f>
        <v>0.98495483227866598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7.2510302478724231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5.1431925385259092E-13</v>
      </c>
      <c r="P161" s="13">
        <f t="shared" si="141"/>
        <v>6.3855359115685756E-12</v>
      </c>
      <c r="Q161" s="20">
        <f t="shared" si="162"/>
        <v>1.2017247746441865E-11</v>
      </c>
      <c r="R161" s="59">
        <f t="shared" si="109"/>
        <v>293.33333333334531</v>
      </c>
      <c r="S161" s="59">
        <f ca="1">AVERAGE(OFFSET($R$3,0,0,'Données projet'!$E$9+1,1))-AVERAGE(OFFSET($H$3,0,0,'Données projet'!$E$9+1,1))</f>
        <v>384.05928630855732</v>
      </c>
      <c r="T161" s="59">
        <f t="shared" si="142"/>
        <v>279.93992813630513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100.16983453472787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100.16983453472787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1.9895196601282805E-13</v>
      </c>
      <c r="AJ161" s="13">
        <f>AI161*VLOOKUP('Données projet'!$B$10,Paramètres!$A$1:$I$89,3,0)*VLOOKUP('Données projet'!$B$10,Paramètres!$A$1:$I$89,5,0)</f>
        <v>1.707007868390065E-13</v>
      </c>
      <c r="AK161" s="13">
        <f t="shared" si="164"/>
        <v>2.4096578055149408E-12</v>
      </c>
      <c r="AL161" s="20">
        <f t="shared" si="165"/>
        <v>4.4941245483497909E-12</v>
      </c>
      <c r="AM161" s="59">
        <f t="shared" si="113"/>
        <v>293.33333333333781</v>
      </c>
      <c r="AN161" s="59">
        <f ca="1">AVERAGE(OFFSET($AM$3,0,0,'Données projet'!$E$10+1,1))-AVERAGE(OFFSET($H$3,0,0,'Données projet'!$E$10+1,1))</f>
        <v>335.02113791949211</v>
      </c>
      <c r="AO161" s="59">
        <f t="shared" si="144"/>
        <v>222.06886429435099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53.427762618726362</v>
      </c>
      <c r="AV161" s="21">
        <f>EXP(-LN(2)/25)*AV160+(1-EXP(-LN(2)/25))/(LN(2)/25)*Calculateur!AQ161*Calculateur!AS161*VLOOKUP('Données projet'!$B$10,Paramètres!$A$1:$I$89,3,0)*0.475*44/12</f>
        <v>26.926550767928624</v>
      </c>
      <c r="AW161" s="21">
        <f>EXP(-LN(2)/2)*AW160+(1-EXP(-LN(2)/2))/(LN(2)/2)*AQ161*AT161*VLOOKUP('Données projet'!$B$10,Paramètres!$A$1:$I$89,3,0)*0.475*44/12</f>
        <v>5.4726932978677697E-5</v>
      </c>
      <c r="AX161" s="21">
        <f t="shared" si="166"/>
        <v>80.354368113587952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1.1618589743589709</v>
      </c>
      <c r="BD161" s="12">
        <f>IF('Données projet'!$A$88&gt;35,BD160+BC161-BL160,IF(A161&lt;'Données projet'!$A$88,$BA$205^A161,IF(A161='Données projet'!$A$88,'Données projet'!$B$88,BD160+BC161-BL160)))</f>
        <v>87.879807692307224</v>
      </c>
      <c r="BE161" s="13">
        <f>BD161*VLOOKUP('Données projet'!$B$11,Paramètres!$A$1:$I$89,3,0)*VLOOKUP('Données projet'!$B$11,Paramètres!$A$1:$I$89,5,0)</f>
        <v>84.997349999999543</v>
      </c>
      <c r="BF161" s="13">
        <f t="shared" si="167"/>
        <v>23.354719936037892</v>
      </c>
      <c r="BG161" s="20">
        <f t="shared" si="168"/>
        <v>188.71318847193186</v>
      </c>
      <c r="BH161" s="59">
        <f t="shared" si="116"/>
        <v>482.04652180526517</v>
      </c>
      <c r="BI161" s="59">
        <f ca="1">AVERAGE(OFFSET($BH$3,0,0,'Données projet'!$E$11+1,1))-AVERAGE(OFFSET($H$3,0,0,'Données projet'!$E$11+1,1))</f>
        <v>366.51581861366333</v>
      </c>
      <c r="BJ161" s="59">
        <f t="shared" si="146"/>
        <v>225.01415116995503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121.12368415028311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121.12368415028311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204.00000000000017</v>
      </c>
      <c r="BZ161" s="13">
        <f>BY161*VLOOKUP('Données projet'!$B$12,Paramètres!$A$1:$I$89,3,0)*VLOOKUP('Données projet'!$B$12,Paramètres!$A$1:$I$89,5,0)</f>
        <v>133.66080000000011</v>
      </c>
      <c r="CA161" s="13">
        <f t="shared" si="170"/>
        <v>34.840890682716783</v>
      </c>
      <c r="CB161" s="20">
        <f t="shared" si="171"/>
        <v>293.4737779390652</v>
      </c>
      <c r="CC161" s="59">
        <f t="shared" si="119"/>
        <v>586.80711127239852</v>
      </c>
      <c r="CD161" s="59">
        <f ca="1">AVERAGE(OFFSET($CC$3,0,0,'Données projet'!$E$12+1,1))-AVERAGE(OFFSET($H$3,0,0,'Données projet'!$E$12+1,1))</f>
        <v>230.58262378842818</v>
      </c>
      <c r="CE161" s="59">
        <f t="shared" si="148"/>
        <v>235.68746142880792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0.49669025490176899</v>
      </c>
      <c r="CL161" s="21">
        <f>EXP(-LN(2)/25)*CL160+(1-EXP(-LN(2)/25))/(LN(2)/25)*Calculateur!CG161*Calculateur!CI161*VLOOKUP('Données projet'!$B$12,Paramètres!$A$1:$I$89,3,0)*0.475*44/12</f>
        <v>1.6373671075505964</v>
      </c>
      <c r="CM161" s="21">
        <f>EXP(-LN(2)/2)*CM160+(1-EXP(-LN(2)/2))/(LN(2)/2)*CG161*CJ161*VLOOKUP('Données projet'!$B$12,Paramètres!$A$1:$I$89,3,0)*0.475*44/12</f>
        <v>1.7328878556627859E-10</v>
      </c>
      <c r="CN161" s="22">
        <f t="shared" si="172"/>
        <v>2.1340573626256543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1.7053025658242404E-13</v>
      </c>
      <c r="CU161" s="17">
        <f>CT161*VLOOKUP('Données projet'!$B$13,Paramètres!$A$1:$I$89,3,0)*VLOOKUP('Données projet'!$B$13,Paramètres!$A$1:$I$89,5,0)</f>
        <v>1.3301360013429075E-13</v>
      </c>
      <c r="CV161" s="13">
        <f t="shared" si="173"/>
        <v>1.9329766731057041E-12</v>
      </c>
      <c r="CW161" s="20">
        <f t="shared" si="174"/>
        <v>3.5982663925596575E-12</v>
      </c>
      <c r="CX161" s="59">
        <f t="shared" si="122"/>
        <v>293.3333333333369</v>
      </c>
      <c r="CY161" s="59">
        <f ca="1">AVERAGE(OFFSET($CX$3,0,0,'Données projet'!$E$13+1,1))-AVERAGE(OFFSET($H$3,0,0,'Données projet'!$E$13+1,1))</f>
        <v>288.80569134263209</v>
      </c>
      <c r="CZ161" s="59">
        <f t="shared" si="150"/>
        <v>283.48738729114024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13.922739970623454</v>
      </c>
      <c r="DG161" s="21">
        <f>EXP(-LN(2)/25)*DG160+(1-EXP(-LN(2)/25))/(LN(2)/25)*Calculateur!DB161*Calculateur!DD161*VLOOKUP('Données projet'!$B$13,Paramètres!$A$1:$I$89,3,0)*0.475*44/12</f>
        <v>5.7833348675772838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19.706074838200738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266.99999999999983</v>
      </c>
      <c r="DP161" s="17">
        <f>DO161*VLOOKUP('Données projet'!$B$14,Paramètres!$A$1:$I$89,3,0)*VLOOKUP('Données projet'!$B$14,Paramètres!$A$1:$I$89,5,0)</f>
        <v>212.42519999999985</v>
      </c>
      <c r="DQ161" s="13">
        <f t="shared" si="176"/>
        <v>52.465198231787184</v>
      </c>
      <c r="DR161" s="20">
        <f t="shared" si="177"/>
        <v>461.35077692036231</v>
      </c>
      <c r="DS161" s="59">
        <f t="shared" si="125"/>
        <v>754.68411025369562</v>
      </c>
      <c r="DT161" s="59">
        <f ca="1">AVERAGE(OFFSET($DS$3,0,0,'Données projet'!$E$14+1,1))-AVERAGE(OFFSET($H$3,0,0,'Données projet'!$E$14+1,1))</f>
        <v>299.10536994156814</v>
      </c>
      <c r="DU161" s="59">
        <f t="shared" si="152"/>
        <v>292.57799203101769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6.1432014986225836</v>
      </c>
      <c r="EB161" s="21">
        <f>EXP(-LN(2)/25)*EB160+(1-EXP(-LN(2)/25))/(LN(2)/25)*Calculateur!DW161*Calculateur!DY161*VLOOKUP('Données projet'!$B$14,Paramètres!$A$1:$I$89,3,0)*0.475*44/12</f>
        <v>0.95802119059348234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7.1012226892160655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5.1431925385259092E-13</v>
      </c>
      <c r="P162" s="13">
        <f t="shared" si="141"/>
        <v>6.3855359115685756E-12</v>
      </c>
      <c r="Q162" s="20">
        <f t="shared" si="162"/>
        <v>1.2017247746441865E-11</v>
      </c>
      <c r="R162" s="59">
        <f t="shared" si="109"/>
        <v>293.33333333334531</v>
      </c>
      <c r="S162" s="59">
        <f ca="1">AVERAGE(OFFSET($R$3,0,0,'Données projet'!$E$9+1,1))-AVERAGE(OFFSET($H$3,0,0,'Données projet'!$E$9+1,1))</f>
        <v>384.05928630855732</v>
      </c>
      <c r="T162" s="59">
        <f t="shared" si="142"/>
        <v>279.93992813630513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98.205565177068038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98.205565177068038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1.9895196601282805E-13</v>
      </c>
      <c r="AJ162" s="13">
        <f>AI162*VLOOKUP('Données projet'!$B$10,Paramètres!$A$1:$I$89,3,0)*VLOOKUP('Données projet'!$B$10,Paramètres!$A$1:$I$89,5,0)</f>
        <v>1.707007868390065E-13</v>
      </c>
      <c r="AK162" s="13">
        <f t="shared" si="164"/>
        <v>2.4096578055149408E-12</v>
      </c>
      <c r="AL162" s="20">
        <f t="shared" si="165"/>
        <v>4.4941245483497909E-12</v>
      </c>
      <c r="AM162" s="59">
        <f t="shared" si="113"/>
        <v>293.33333333333781</v>
      </c>
      <c r="AN162" s="59">
        <f ca="1">AVERAGE(OFFSET($AM$3,0,0,'Données projet'!$E$10+1,1))-AVERAGE(OFFSET($H$3,0,0,'Données projet'!$E$10+1,1))</f>
        <v>335.02113791949211</v>
      </c>
      <c r="AO162" s="59">
        <f t="shared" si="144"/>
        <v>222.06886429435099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52.380076781490565</v>
      </c>
      <c r="AV162" s="21">
        <f>EXP(-LN(2)/25)*AV161+(1-EXP(-LN(2)/25))/(LN(2)/25)*Calculateur!AQ162*Calculateur!AS162*VLOOKUP('Données projet'!$B$10,Paramètres!$A$1:$I$89,3,0)*0.475*44/12</f>
        <v>26.190242821173854</v>
      </c>
      <c r="AW162" s="21">
        <f>EXP(-LN(2)/2)*AW161+(1-EXP(-LN(2)/2))/(LN(2)/2)*AQ162*AT162*VLOOKUP('Données projet'!$B$10,Paramètres!$A$1:$I$89,3,0)*0.475*44/12</f>
        <v>3.8697785422764701E-5</v>
      </c>
      <c r="AX162" s="21">
        <f t="shared" si="166"/>
        <v>78.570358300449854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1.1618589743589709</v>
      </c>
      <c r="BD162" s="12">
        <f>IF('Données projet'!$A$88&gt;35,BD161+BC162-BL161,IF(A162&lt;'Données projet'!$A$88,$BA$205^A162,IF(A162='Données projet'!$A$88,'Données projet'!$B$88,BD161+BC162-BL161)))</f>
        <v>89.041666666666202</v>
      </c>
      <c r="BE162" s="13">
        <f>BD162*VLOOKUP('Données projet'!$B$11,Paramètres!$A$1:$I$89,3,0)*VLOOKUP('Données projet'!$B$11,Paramètres!$A$1:$I$89,5,0)</f>
        <v>86.121099999999558</v>
      </c>
      <c r="BF162" s="13">
        <f t="shared" si="167"/>
        <v>23.627342640685377</v>
      </c>
      <c r="BG162" s="20">
        <f t="shared" si="168"/>
        <v>191.14520426585958</v>
      </c>
      <c r="BH162" s="59">
        <f t="shared" si="116"/>
        <v>484.47853759919292</v>
      </c>
      <c r="BI162" s="59">
        <f ca="1">AVERAGE(OFFSET($BH$3,0,0,'Données projet'!$E$11+1,1))-AVERAGE(OFFSET($H$3,0,0,'Données projet'!$E$11+1,1))</f>
        <v>366.51581861366333</v>
      </c>
      <c r="BJ162" s="59">
        <f t="shared" si="146"/>
        <v>225.01415116995503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118.74852258224853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118.74852258224853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204.00000000000017</v>
      </c>
      <c r="BZ162" s="13">
        <f>BY162*VLOOKUP('Données projet'!$B$12,Paramètres!$A$1:$I$89,3,0)*VLOOKUP('Données projet'!$B$12,Paramètres!$A$1:$I$89,5,0)</f>
        <v>133.66080000000011</v>
      </c>
      <c r="CA162" s="13">
        <f t="shared" si="170"/>
        <v>34.840890682716783</v>
      </c>
      <c r="CB162" s="20">
        <f t="shared" si="171"/>
        <v>293.4737779390652</v>
      </c>
      <c r="CC162" s="59">
        <f t="shared" si="119"/>
        <v>586.80711127239852</v>
      </c>
      <c r="CD162" s="59">
        <f ca="1">AVERAGE(OFFSET($CC$3,0,0,'Données projet'!$E$12+1,1))-AVERAGE(OFFSET($H$3,0,0,'Données projet'!$E$12+1,1))</f>
        <v>230.58262378842818</v>
      </c>
      <c r="CE162" s="59">
        <f t="shared" si="148"/>
        <v>235.68746142880792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0.48695046195428687</v>
      </c>
      <c r="CL162" s="21">
        <f>EXP(-LN(2)/25)*CL161+(1-EXP(-LN(2)/25))/(LN(2)/25)*Calculateur!CG162*Calculateur!CI162*VLOOKUP('Données projet'!$B$12,Paramètres!$A$1:$I$89,3,0)*0.475*44/12</f>
        <v>1.5925932178892315</v>
      </c>
      <c r="CM162" s="21">
        <f>EXP(-LN(2)/2)*CM161+(1-EXP(-LN(2)/2))/(LN(2)/2)*CG162*CJ162*VLOOKUP('Données projet'!$B$12,Paramètres!$A$1:$I$89,3,0)*0.475*44/12</f>
        <v>1.2253367537749711E-10</v>
      </c>
      <c r="CN162" s="22">
        <f t="shared" si="172"/>
        <v>2.079543679966052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1.7053025658242404E-13</v>
      </c>
      <c r="CU162" s="17">
        <f>CT162*VLOOKUP('Données projet'!$B$13,Paramètres!$A$1:$I$89,3,0)*VLOOKUP('Données projet'!$B$13,Paramètres!$A$1:$I$89,5,0)</f>
        <v>1.3301360013429075E-13</v>
      </c>
      <c r="CV162" s="13">
        <f t="shared" si="173"/>
        <v>1.9329766731057041E-12</v>
      </c>
      <c r="CW162" s="20">
        <f t="shared" si="174"/>
        <v>3.5982663925596575E-12</v>
      </c>
      <c r="CX162" s="59">
        <f t="shared" si="122"/>
        <v>293.3333333333369</v>
      </c>
      <c r="CY162" s="59">
        <f ca="1">AVERAGE(OFFSET($CX$3,0,0,'Données projet'!$E$13+1,1))-AVERAGE(OFFSET($H$3,0,0,'Données projet'!$E$13+1,1))</f>
        <v>288.80569134263209</v>
      </c>
      <c r="CZ162" s="59">
        <f t="shared" si="150"/>
        <v>283.48738729114024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13.649723531832391</v>
      </c>
      <c r="DG162" s="21">
        <f>EXP(-LN(2)/25)*DG161+(1-EXP(-LN(2)/25))/(LN(2)/25)*Calculateur!DB162*Calculateur!DD162*VLOOKUP('Données projet'!$B$13,Paramètres!$A$1:$I$89,3,0)*0.475*44/12</f>
        <v>5.6251892714910205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19.27491280332341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266.99999999999983</v>
      </c>
      <c r="DP162" s="17">
        <f>DO162*VLOOKUP('Données projet'!$B$14,Paramètres!$A$1:$I$89,3,0)*VLOOKUP('Données projet'!$B$14,Paramètres!$A$1:$I$89,5,0)</f>
        <v>212.42519999999985</v>
      </c>
      <c r="DQ162" s="13">
        <f t="shared" si="176"/>
        <v>52.465198231787184</v>
      </c>
      <c r="DR162" s="20">
        <f t="shared" si="177"/>
        <v>461.35077692036231</v>
      </c>
      <c r="DS162" s="59">
        <f t="shared" si="125"/>
        <v>754.68411025369562</v>
      </c>
      <c r="DT162" s="59">
        <f ca="1">AVERAGE(OFFSET($DS$3,0,0,'Données projet'!$E$14+1,1))-AVERAGE(OFFSET($H$3,0,0,'Données projet'!$E$14+1,1))</f>
        <v>299.10536994156814</v>
      </c>
      <c r="DU162" s="59">
        <f t="shared" si="152"/>
        <v>292.57799203101769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6.0227370642175249</v>
      </c>
      <c r="EB162" s="21">
        <f>EXP(-LN(2)/25)*EB161+(1-EXP(-LN(2)/25))/(LN(2)/25)*Calculateur!DW162*Calculateur!DY162*VLOOKUP('Données projet'!$B$14,Paramètres!$A$1:$I$89,3,0)*0.475*44/12</f>
        <v>0.93182405075655872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6.9545611149740836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5.1431925385259092E-13</v>
      </c>
      <c r="P163" s="13">
        <f t="shared" si="141"/>
        <v>6.3855359115685756E-12</v>
      </c>
      <c r="Q163" s="20">
        <f t="shared" si="162"/>
        <v>1.2017247746441865E-11</v>
      </c>
      <c r="R163" s="59">
        <f t="shared" si="109"/>
        <v>293.33333333334531</v>
      </c>
      <c r="S163" s="59">
        <f ca="1">AVERAGE(OFFSET($R$3,0,0,'Données projet'!$E$9+1,1))-AVERAGE(OFFSET($H$3,0,0,'Données projet'!$E$9+1,1))</f>
        <v>384.05928630855732</v>
      </c>
      <c r="T163" s="59">
        <f t="shared" si="142"/>
        <v>279.93992813630513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96.279813943425907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96.279813943425907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1.9895196601282805E-13</v>
      </c>
      <c r="AJ163" s="13">
        <f>AI163*VLOOKUP('Données projet'!$B$10,Paramètres!$A$1:$I$89,3,0)*VLOOKUP('Données projet'!$B$10,Paramètres!$A$1:$I$89,5,0)</f>
        <v>1.707007868390065E-13</v>
      </c>
      <c r="AK163" s="13">
        <f t="shared" si="164"/>
        <v>2.4096578055149408E-12</v>
      </c>
      <c r="AL163" s="20">
        <f t="shared" si="165"/>
        <v>4.4941245483497909E-12</v>
      </c>
      <c r="AM163" s="59">
        <f t="shared" si="113"/>
        <v>293.33333333333781</v>
      </c>
      <c r="AN163" s="59">
        <f ca="1">AVERAGE(OFFSET($AM$3,0,0,'Données projet'!$E$10+1,1))-AVERAGE(OFFSET($H$3,0,0,'Données projet'!$E$10+1,1))</f>
        <v>335.02113791949211</v>
      </c>
      <c r="AO163" s="59">
        <f t="shared" si="144"/>
        <v>222.06886429435099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51.352935424497701</v>
      </c>
      <c r="AV163" s="21">
        <f>EXP(-LN(2)/25)*AV162+(1-EXP(-LN(2)/25))/(LN(2)/25)*Calculateur!AQ163*Calculateur!AS163*VLOOKUP('Données projet'!$B$10,Paramètres!$A$1:$I$89,3,0)*0.475*44/12</f>
        <v>25.474069253943842</v>
      </c>
      <c r="AW163" s="21">
        <f>EXP(-LN(2)/2)*AW162+(1-EXP(-LN(2)/2))/(LN(2)/2)*AQ163*AT163*VLOOKUP('Données projet'!$B$10,Paramètres!$A$1:$I$89,3,0)*0.475*44/12</f>
        <v>2.7363466489338848E-5</v>
      </c>
      <c r="AX163" s="21">
        <f t="shared" si="166"/>
        <v>76.827032041908026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1.1618589743589709</v>
      </c>
      <c r="BD163" s="12">
        <f>IF('Données projet'!$A$88&gt;35,BD162+BC163-BL162,IF(A163&lt;'Données projet'!$A$88,$BA$205^A163,IF(A163='Données projet'!$A$88,'Données projet'!$B$88,BD162+BC163-BL162)))</f>
        <v>90.20352564102518</v>
      </c>
      <c r="BE163" s="13">
        <f>BD163*VLOOKUP('Données projet'!$B$11,Paramètres!$A$1:$I$89,3,0)*VLOOKUP('Données projet'!$B$11,Paramètres!$A$1:$I$89,5,0)</f>
        <v>87.244849999999559</v>
      </c>
      <c r="BF163" s="13">
        <f t="shared" si="167"/>
        <v>23.899551575903931</v>
      </c>
      <c r="BG163" s="20">
        <f t="shared" si="168"/>
        <v>193.57649941136523</v>
      </c>
      <c r="BH163" s="59">
        <f t="shared" si="116"/>
        <v>486.90983274469852</v>
      </c>
      <c r="BI163" s="59">
        <f ca="1">AVERAGE(OFFSET($BH$3,0,0,'Données projet'!$E$11+1,1))-AVERAGE(OFFSET($H$3,0,0,'Données projet'!$E$11+1,1))</f>
        <v>366.51581861366333</v>
      </c>
      <c r="BJ163" s="59">
        <f t="shared" si="146"/>
        <v>225.01415116995503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116.4199364838576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116.4199364838576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204.00000000000017</v>
      </c>
      <c r="BZ163" s="13">
        <f>BY163*VLOOKUP('Données projet'!$B$12,Paramètres!$A$1:$I$89,3,0)*VLOOKUP('Données projet'!$B$12,Paramètres!$A$1:$I$89,5,0)</f>
        <v>133.66080000000011</v>
      </c>
      <c r="CA163" s="13">
        <f t="shared" si="170"/>
        <v>34.840890682716783</v>
      </c>
      <c r="CB163" s="20">
        <f t="shared" si="171"/>
        <v>293.4737779390652</v>
      </c>
      <c r="CC163" s="59">
        <f t="shared" si="119"/>
        <v>586.80711127239852</v>
      </c>
      <c r="CD163" s="59">
        <f ca="1">AVERAGE(OFFSET($CC$3,0,0,'Données projet'!$E$12+1,1))-AVERAGE(OFFSET($H$3,0,0,'Données projet'!$E$12+1,1))</f>
        <v>230.58262378842818</v>
      </c>
      <c r="CE163" s="59">
        <f t="shared" si="148"/>
        <v>235.68746142880792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0.47740166040581777</v>
      </c>
      <c r="CL163" s="21">
        <f>EXP(-LN(2)/25)*CL162+(1-EXP(-LN(2)/25))/(LN(2)/25)*Calculateur!CG163*Calculateur!CI163*VLOOKUP('Données projet'!$B$12,Paramètres!$A$1:$I$89,3,0)*0.475*44/12</f>
        <v>1.549043672595213</v>
      </c>
      <c r="CM163" s="21">
        <f>EXP(-LN(2)/2)*CM162+(1-EXP(-LN(2)/2))/(LN(2)/2)*CG163*CJ163*VLOOKUP('Données projet'!$B$12,Paramètres!$A$1:$I$89,3,0)*0.475*44/12</f>
        <v>8.6644392783139293E-11</v>
      </c>
      <c r="CN163" s="22">
        <f t="shared" si="172"/>
        <v>2.0264453330876755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1.7053025658242404E-13</v>
      </c>
      <c r="CU163" s="17">
        <f>CT163*VLOOKUP('Données projet'!$B$13,Paramètres!$A$1:$I$89,3,0)*VLOOKUP('Données projet'!$B$13,Paramètres!$A$1:$I$89,5,0)</f>
        <v>1.3301360013429075E-13</v>
      </c>
      <c r="CV163" s="13">
        <f t="shared" si="173"/>
        <v>1.9329766731057041E-12</v>
      </c>
      <c r="CW163" s="20">
        <f t="shared" si="174"/>
        <v>3.5982663925596575E-12</v>
      </c>
      <c r="CX163" s="59">
        <f t="shared" si="122"/>
        <v>293.3333333333369</v>
      </c>
      <c r="CY163" s="59">
        <f ca="1">AVERAGE(OFFSET($CX$3,0,0,'Données projet'!$E$13+1,1))-AVERAGE(OFFSET($H$3,0,0,'Données projet'!$E$13+1,1))</f>
        <v>288.80569134263209</v>
      </c>
      <c r="CZ163" s="59">
        <f t="shared" si="150"/>
        <v>283.48738729114024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13.382060778882437</v>
      </c>
      <c r="DG163" s="21">
        <f>EXP(-LN(2)/25)*DG162+(1-EXP(-LN(2)/25))/(LN(2)/25)*Calculateur!DB163*Calculateur!DD163*VLOOKUP('Données projet'!$B$13,Paramètres!$A$1:$I$89,3,0)*0.475*44/12</f>
        <v>5.4713681750462513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18.853428953928688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266.99999999999983</v>
      </c>
      <c r="DP163" s="17">
        <f>DO163*VLOOKUP('Données projet'!$B$14,Paramètres!$A$1:$I$89,3,0)*VLOOKUP('Données projet'!$B$14,Paramètres!$A$1:$I$89,5,0)</f>
        <v>212.42519999999985</v>
      </c>
      <c r="DQ163" s="13">
        <f t="shared" si="176"/>
        <v>52.465198231787184</v>
      </c>
      <c r="DR163" s="20">
        <f t="shared" si="177"/>
        <v>461.35077692036231</v>
      </c>
      <c r="DS163" s="59">
        <f t="shared" si="125"/>
        <v>754.68411025369562</v>
      </c>
      <c r="DT163" s="59">
        <f ca="1">AVERAGE(OFFSET($DS$3,0,0,'Données projet'!$E$14+1,1))-AVERAGE(OFFSET($H$3,0,0,'Données projet'!$E$14+1,1))</f>
        <v>299.10536994156814</v>
      </c>
      <c r="DU163" s="59">
        <f t="shared" si="152"/>
        <v>292.57799203101769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5.9046348638951001</v>
      </c>
      <c r="EB163" s="21">
        <f>EXP(-LN(2)/25)*EB162+(1-EXP(-LN(2)/25))/(LN(2)/25)*Calculateur!DW163*Calculateur!DY163*VLOOKUP('Données projet'!$B$14,Paramètres!$A$1:$I$89,3,0)*0.475*44/12</f>
        <v>0.9063432730861235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6.8109781369812232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5.1431925385259092E-13</v>
      </c>
      <c r="P164" s="13">
        <f t="shared" si="141"/>
        <v>6.3855359115685756E-12</v>
      </c>
      <c r="Q164" s="20">
        <f t="shared" si="162"/>
        <v>1.2017247746441865E-11</v>
      </c>
      <c r="R164" s="59">
        <f t="shared" si="109"/>
        <v>293.33333333334531</v>
      </c>
      <c r="S164" s="59">
        <f ca="1">AVERAGE(OFFSET($R$3,0,0,'Données projet'!$E$9+1,1))-AVERAGE(OFFSET($H$3,0,0,'Données projet'!$E$9+1,1))</f>
        <v>384.05928630855732</v>
      </c>
      <c r="T164" s="59">
        <f t="shared" si="142"/>
        <v>279.93992813630513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94.39182551688323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94.39182551688323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1.9895196601282805E-13</v>
      </c>
      <c r="AJ164" s="13">
        <f>AI164*VLOOKUP('Données projet'!$B$10,Paramètres!$A$1:$I$89,3,0)*VLOOKUP('Données projet'!$B$10,Paramètres!$A$1:$I$89,5,0)</f>
        <v>1.707007868390065E-13</v>
      </c>
      <c r="AK164" s="13">
        <f t="shared" si="164"/>
        <v>2.4096578055149408E-12</v>
      </c>
      <c r="AL164" s="20">
        <f t="shared" si="165"/>
        <v>4.4941245483497909E-12</v>
      </c>
      <c r="AM164" s="59">
        <f t="shared" si="113"/>
        <v>293.33333333333781</v>
      </c>
      <c r="AN164" s="59">
        <f ca="1">AVERAGE(OFFSET($AM$3,0,0,'Données projet'!$E$10+1,1))-AVERAGE(OFFSET($H$3,0,0,'Données projet'!$E$10+1,1))</f>
        <v>335.02113791949211</v>
      </c>
      <c r="AO164" s="59">
        <f t="shared" si="144"/>
        <v>222.06886429435099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50.345935683021104</v>
      </c>
      <c r="AV164" s="21">
        <f>EXP(-LN(2)/25)*AV163+(1-EXP(-LN(2)/25))/(LN(2)/25)*Calculateur!AQ164*Calculateur!AS164*VLOOKUP('Données projet'!$B$10,Paramètres!$A$1:$I$89,3,0)*0.475*44/12</f>
        <v>24.777479490571668</v>
      </c>
      <c r="AW164" s="21">
        <f>EXP(-LN(2)/2)*AW163+(1-EXP(-LN(2)/2))/(LN(2)/2)*AQ164*AT164*VLOOKUP('Données projet'!$B$10,Paramètres!$A$1:$I$89,3,0)*0.475*44/12</f>
        <v>1.9348892711382351E-5</v>
      </c>
      <c r="AX164" s="21">
        <f t="shared" si="166"/>
        <v>75.123434522485482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91.365384615384613</v>
      </c>
      <c r="BB164" s="12">
        <f>VLOOKUP(A164,'Données projet'!$A$87:$I$107,9,0)</f>
        <v>1.1618589743589709</v>
      </c>
      <c r="BC164" s="12">
        <f t="array" ref="BC164">INDEX(BB:BB,MIN(IF(ISNUMBER(BB164:BB360),ROW(BB164:BB360),"")))</f>
        <v>1.1618589743589709</v>
      </c>
      <c r="BD164" s="12">
        <f>IF('Données projet'!$A$88&gt;35,BD163+BC164-BL163,IF(A164&lt;'Données projet'!$A$88,$BA$205^A164,IF(A164='Données projet'!$A$88,'Données projet'!$B$88,BD163+BC164-BL163)))</f>
        <v>91.365384615384158</v>
      </c>
      <c r="BE164" s="13">
        <f>BD164*VLOOKUP('Données projet'!$B$11,Paramètres!$A$1:$I$89,3,0)*VLOOKUP('Données projet'!$B$11,Paramètres!$A$1:$I$89,5,0)</f>
        <v>88.36859999999956</v>
      </c>
      <c r="BF164" s="13">
        <f t="shared" si="167"/>
        <v>24.171352687445268</v>
      </c>
      <c r="BG164" s="20">
        <f t="shared" si="168"/>
        <v>196.00708426396639</v>
      </c>
      <c r="BH164" s="59">
        <f t="shared" si="116"/>
        <v>489.34041759729973</v>
      </c>
      <c r="BI164" s="59">
        <f ca="1">AVERAGE(OFFSET($BH$3,0,0,'Données projet'!$E$11+1,1))-AVERAGE(OFFSET($H$3,0,0,'Données projet'!$E$11+1,1))</f>
        <v>366.51581861366333</v>
      </c>
      <c r="BJ164" s="59">
        <f t="shared" si="146"/>
        <v>225.01415116995503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91.365384615384613</v>
      </c>
      <c r="BM164" s="16">
        <f>IF(ISNA(VLOOKUP(A164,'Données projet'!$A$87:$I$107,5,0)),0%,VLOOKUP(A164,'Données projet'!$A$87:$I$107,5,0)*VLOOKUP('Données projet'!$B$11,Paramètres!$A$1:$I$89,7,0))</f>
        <v>0.38700000000000001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151.94260514372667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151.94260514372667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204.00000000000017</v>
      </c>
      <c r="BZ164" s="13">
        <f>BY164*VLOOKUP('Données projet'!$B$12,Paramètres!$A$1:$I$89,3,0)*VLOOKUP('Données projet'!$B$12,Paramètres!$A$1:$I$89,5,0)</f>
        <v>133.66080000000011</v>
      </c>
      <c r="CA164" s="13">
        <f t="shared" si="170"/>
        <v>34.840890682716783</v>
      </c>
      <c r="CB164" s="20">
        <f t="shared" si="171"/>
        <v>293.4737779390652</v>
      </c>
      <c r="CC164" s="59">
        <f t="shared" si="119"/>
        <v>586.80711127239852</v>
      </c>
      <c r="CD164" s="59">
        <f ca="1">AVERAGE(OFFSET($CC$3,0,0,'Données projet'!$E$12+1,1))-AVERAGE(OFFSET($H$3,0,0,'Données projet'!$E$12+1,1))</f>
        <v>230.58262378842818</v>
      </c>
      <c r="CE164" s="59">
        <f t="shared" si="148"/>
        <v>235.68746142880792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0.46804010503152027</v>
      </c>
      <c r="CL164" s="21">
        <f>EXP(-LN(2)/25)*CL163+(1-EXP(-LN(2)/25))/(LN(2)/25)*Calculateur!CG164*Calculateur!CI164*VLOOKUP('Données projet'!$B$12,Paramètres!$A$1:$I$89,3,0)*0.475*44/12</f>
        <v>1.5066849919074305</v>
      </c>
      <c r="CM164" s="21">
        <f>EXP(-LN(2)/2)*CM163+(1-EXP(-LN(2)/2))/(LN(2)/2)*CG164*CJ164*VLOOKUP('Données projet'!$B$12,Paramètres!$A$1:$I$89,3,0)*0.475*44/12</f>
        <v>6.1266837688748553E-11</v>
      </c>
      <c r="CN164" s="22">
        <f t="shared" si="172"/>
        <v>1.9747250970002177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1.7053025658242404E-13</v>
      </c>
      <c r="CU164" s="17">
        <f>CT164*VLOOKUP('Données projet'!$B$13,Paramètres!$A$1:$I$89,3,0)*VLOOKUP('Données projet'!$B$13,Paramètres!$A$1:$I$89,5,0)</f>
        <v>1.3301360013429075E-13</v>
      </c>
      <c r="CV164" s="13">
        <f t="shared" si="173"/>
        <v>1.9329766731057041E-12</v>
      </c>
      <c r="CW164" s="20">
        <f t="shared" si="174"/>
        <v>3.5982663925596575E-12</v>
      </c>
      <c r="CX164" s="59">
        <f t="shared" si="122"/>
        <v>293.3333333333369</v>
      </c>
      <c r="CY164" s="59">
        <f ca="1">AVERAGE(OFFSET($CX$3,0,0,'Données projet'!$E$13+1,1))-AVERAGE(OFFSET($H$3,0,0,'Données projet'!$E$13+1,1))</f>
        <v>288.80569134263209</v>
      </c>
      <c r="CZ164" s="59">
        <f t="shared" si="150"/>
        <v>283.48738729114024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13.119646729259673</v>
      </c>
      <c r="DG164" s="21">
        <f>EXP(-LN(2)/25)*DG163+(1-EXP(-LN(2)/25))/(LN(2)/25)*Calculateur!DB164*Calculateur!DD164*VLOOKUP('Données projet'!$B$13,Paramètres!$A$1:$I$89,3,0)*0.475*44/12</f>
        <v>5.3217533245728639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18.441400053832538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266.99999999999983</v>
      </c>
      <c r="DP164" s="17">
        <f>DO164*VLOOKUP('Données projet'!$B$14,Paramètres!$A$1:$I$89,3,0)*VLOOKUP('Données projet'!$B$14,Paramètres!$A$1:$I$89,5,0)</f>
        <v>212.42519999999985</v>
      </c>
      <c r="DQ164" s="13">
        <f t="shared" si="176"/>
        <v>52.465198231787184</v>
      </c>
      <c r="DR164" s="20">
        <f t="shared" si="177"/>
        <v>461.35077692036231</v>
      </c>
      <c r="DS164" s="59">
        <f t="shared" si="125"/>
        <v>754.68411025369562</v>
      </c>
      <c r="DT164" s="59">
        <f ca="1">AVERAGE(OFFSET($DS$3,0,0,'Données projet'!$E$14+1,1))-AVERAGE(OFFSET($H$3,0,0,'Données projet'!$E$14+1,1))</f>
        <v>299.10536994156814</v>
      </c>
      <c r="DU164" s="59">
        <f t="shared" si="152"/>
        <v>292.57799203101769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5.7888485756857682</v>
      </c>
      <c r="EB164" s="21">
        <f>EXP(-LN(2)/25)*EB163+(1-EXP(-LN(2)/25))/(LN(2)/25)*Calculateur!DW164*Calculateur!DY164*VLOOKUP('Données projet'!$B$14,Paramètres!$A$1:$I$89,3,0)*0.475*44/12</f>
        <v>0.88155926862106215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6.6704078443068306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5.1431925385259092E-13</v>
      </c>
      <c r="P165" s="13">
        <f t="shared" si="141"/>
        <v>6.3855359115685756E-12</v>
      </c>
      <c r="Q165" s="20">
        <f t="shared" si="162"/>
        <v>1.2017247746441865E-11</v>
      </c>
      <c r="R165" s="59">
        <f t="shared" si="109"/>
        <v>293.33333333334531</v>
      </c>
      <c r="S165" s="59">
        <f ca="1">AVERAGE(OFFSET($R$3,0,0,'Données projet'!$E$9+1,1))-AVERAGE(OFFSET($H$3,0,0,'Données projet'!$E$9+1,1))</f>
        <v>384.05928630855732</v>
      </c>
      <c r="T165" s="59">
        <f t="shared" si="142"/>
        <v>279.93992813630513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92.540859391825819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92.540859391825819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1.9895196601282805E-13</v>
      </c>
      <c r="AJ165" s="13">
        <f>AI165*VLOOKUP('Données projet'!$B$10,Paramètres!$A$1:$I$89,3,0)*VLOOKUP('Données projet'!$B$10,Paramètres!$A$1:$I$89,5,0)</f>
        <v>1.707007868390065E-13</v>
      </c>
      <c r="AK165" s="13">
        <f t="shared" si="164"/>
        <v>2.4096578055149408E-12</v>
      </c>
      <c r="AL165" s="20">
        <f t="shared" si="165"/>
        <v>4.4941245483497909E-12</v>
      </c>
      <c r="AM165" s="59">
        <f t="shared" si="113"/>
        <v>293.33333333333781</v>
      </c>
      <c r="AN165" s="59">
        <f ca="1">AVERAGE(OFFSET($AM$3,0,0,'Données projet'!$E$10+1,1))-AVERAGE(OFFSET($H$3,0,0,'Données projet'!$E$10+1,1))</f>
        <v>335.02113791949211</v>
      </c>
      <c r="AO165" s="59">
        <f t="shared" si="144"/>
        <v>222.06886429435099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49.358682592265666</v>
      </c>
      <c r="AV165" s="21">
        <f>EXP(-LN(2)/25)*AV164+(1-EXP(-LN(2)/25))/(LN(2)/25)*Calculateur!AQ165*Calculateur!AS165*VLOOKUP('Données projet'!$B$10,Paramètres!$A$1:$I$89,3,0)*0.475*44/12</f>
        <v>24.099938010910968</v>
      </c>
      <c r="AW165" s="21">
        <f>EXP(-LN(2)/2)*AW164+(1-EXP(-LN(2)/2))/(LN(2)/2)*AQ165*AT165*VLOOKUP('Données projet'!$B$10,Paramètres!$A$1:$I$89,3,0)*0.475*44/12</f>
        <v>1.3681733244669424E-5</v>
      </c>
      <c r="AX165" s="21">
        <f t="shared" si="166"/>
        <v>73.458634284909877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-4.5474735088646412E-13</v>
      </c>
      <c r="BE165" s="13">
        <f>BD165*VLOOKUP('Données projet'!$B$11,Paramètres!$A$1:$I$89,3,0)*VLOOKUP('Données projet'!$B$11,Paramètres!$A$1:$I$89,5,0)</f>
        <v>-4.3983163777738812E-13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366.51581861366333</v>
      </c>
      <c r="BJ165" s="59">
        <f t="shared" si="146"/>
        <v>225.01415116995503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148.96310333269633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148.96310333269633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204.00000000000017</v>
      </c>
      <c r="BZ165" s="13">
        <f>BY165*VLOOKUP('Données projet'!$B$12,Paramètres!$A$1:$I$89,3,0)*VLOOKUP('Données projet'!$B$12,Paramètres!$A$1:$I$89,5,0)</f>
        <v>133.66080000000011</v>
      </c>
      <c r="CA165" s="13">
        <f t="shared" si="170"/>
        <v>34.840890682716783</v>
      </c>
      <c r="CB165" s="20">
        <f t="shared" si="171"/>
        <v>293.4737779390652</v>
      </c>
      <c r="CC165" s="59">
        <f t="shared" si="119"/>
        <v>586.80711127239852</v>
      </c>
      <c r="CD165" s="59">
        <f ca="1">AVERAGE(OFFSET($CC$3,0,0,'Données projet'!$E$12+1,1))-AVERAGE(OFFSET($H$3,0,0,'Données projet'!$E$12+1,1))</f>
        <v>230.58262378842818</v>
      </c>
      <c r="CE165" s="59">
        <f t="shared" si="148"/>
        <v>235.68746142880792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0.45886212404812776</v>
      </c>
      <c r="CL165" s="21">
        <f>EXP(-LN(2)/25)*CL164+(1-EXP(-LN(2)/25))/(LN(2)/25)*Calculateur!CG165*Calculateur!CI165*VLOOKUP('Données projet'!$B$12,Paramètres!$A$1:$I$89,3,0)*0.475*44/12</f>
        <v>1.4654846115706017</v>
      </c>
      <c r="CM165" s="21">
        <f>EXP(-LN(2)/2)*CM164+(1-EXP(-LN(2)/2))/(LN(2)/2)*CG165*CJ165*VLOOKUP('Données projet'!$B$12,Paramètres!$A$1:$I$89,3,0)*0.475*44/12</f>
        <v>4.3322196391569647E-11</v>
      </c>
      <c r="CN165" s="22">
        <f t="shared" si="172"/>
        <v>1.9243467356620516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1.7053025658242404E-13</v>
      </c>
      <c r="CU165" s="17">
        <f>CT165*VLOOKUP('Données projet'!$B$13,Paramètres!$A$1:$I$89,3,0)*VLOOKUP('Données projet'!$B$13,Paramètres!$A$1:$I$89,5,0)</f>
        <v>1.3301360013429075E-13</v>
      </c>
      <c r="CV165" s="13">
        <f t="shared" si="173"/>
        <v>1.9329766731057041E-12</v>
      </c>
      <c r="CW165" s="20">
        <f t="shared" si="174"/>
        <v>3.5982663925596575E-12</v>
      </c>
      <c r="CX165" s="59">
        <f t="shared" si="122"/>
        <v>293.3333333333369</v>
      </c>
      <c r="CY165" s="59">
        <f ca="1">AVERAGE(OFFSET($CX$3,0,0,'Données projet'!$E$13+1,1))-AVERAGE(OFFSET($H$3,0,0,'Données projet'!$E$13+1,1))</f>
        <v>288.80569134263209</v>
      </c>
      <c r="CZ165" s="59">
        <f t="shared" si="150"/>
        <v>283.48738729114024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12.862378459093245</v>
      </c>
      <c r="DG165" s="21">
        <f>EXP(-LN(2)/25)*DG164+(1-EXP(-LN(2)/25))/(LN(2)/25)*Calculateur!DB165*Calculateur!DD165*VLOOKUP('Données projet'!$B$13,Paramètres!$A$1:$I$89,3,0)*0.475*44/12</f>
        <v>5.1762297000535744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18.038608159146818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266.99999999999983</v>
      </c>
      <c r="DP165" s="17">
        <f>DO165*VLOOKUP('Données projet'!$B$14,Paramètres!$A$1:$I$89,3,0)*VLOOKUP('Données projet'!$B$14,Paramètres!$A$1:$I$89,5,0)</f>
        <v>212.42519999999985</v>
      </c>
      <c r="DQ165" s="13">
        <f t="shared" si="176"/>
        <v>52.465198231787184</v>
      </c>
      <c r="DR165" s="20">
        <f t="shared" si="177"/>
        <v>461.35077692036231</v>
      </c>
      <c r="DS165" s="59">
        <f t="shared" si="125"/>
        <v>754.68411025369562</v>
      </c>
      <c r="DT165" s="59">
        <f ca="1">AVERAGE(OFFSET($DS$3,0,0,'Données projet'!$E$14+1,1))-AVERAGE(OFFSET($H$3,0,0,'Données projet'!$E$14+1,1))</f>
        <v>299.10536994156814</v>
      </c>
      <c r="DU165" s="59">
        <f t="shared" si="152"/>
        <v>292.57799203101769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5.6753327859655593</v>
      </c>
      <c r="EB165" s="21">
        <f>EXP(-LN(2)/25)*EB164+(1-EXP(-LN(2)/25))/(LN(2)/25)*Calculateur!DW165*Calculateur!DY165*VLOOKUP('Données projet'!$B$14,Paramètres!$A$1:$I$89,3,0)*0.475*44/12</f>
        <v>0.85745298406143211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6.5327857700269911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5.1431925385259092E-13</v>
      </c>
      <c r="P166" s="13">
        <f t="shared" si="141"/>
        <v>6.3855359115685756E-12</v>
      </c>
      <c r="Q166" s="20">
        <f t="shared" si="162"/>
        <v>1.2017247746441865E-11</v>
      </c>
      <c r="R166" s="59">
        <f t="shared" si="109"/>
        <v>293.33333333334531</v>
      </c>
      <c r="S166" s="59">
        <f ca="1">AVERAGE(OFFSET($R$3,0,0,'Données projet'!$E$9+1,1))-AVERAGE(OFFSET($H$3,0,0,'Données projet'!$E$9+1,1))</f>
        <v>384.05928630855732</v>
      </c>
      <c r="T166" s="59">
        <f t="shared" si="142"/>
        <v>279.93992813630513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90.726189583502929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90.726189583502929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1.9895196601282805E-13</v>
      </c>
      <c r="AJ166" s="13">
        <f>AI166*VLOOKUP('Données projet'!$B$10,Paramètres!$A$1:$I$89,3,0)*VLOOKUP('Données projet'!$B$10,Paramètres!$A$1:$I$89,5,0)</f>
        <v>1.707007868390065E-13</v>
      </c>
      <c r="AK166" s="13">
        <f t="shared" si="164"/>
        <v>2.4096578055149408E-12</v>
      </c>
      <c r="AL166" s="20">
        <f t="shared" si="165"/>
        <v>4.4941245483497909E-12</v>
      </c>
      <c r="AM166" s="59">
        <f t="shared" si="113"/>
        <v>293.33333333333781</v>
      </c>
      <c r="AN166" s="59">
        <f ca="1">AVERAGE(OFFSET($AM$3,0,0,'Données projet'!$E$10+1,1))-AVERAGE(OFFSET($H$3,0,0,'Données projet'!$E$10+1,1))</f>
        <v>335.02113791949211</v>
      </c>
      <c r="AO166" s="59">
        <f t="shared" si="144"/>
        <v>222.06886429435099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48.390788932455017</v>
      </c>
      <c r="AV166" s="21">
        <f>EXP(-LN(2)/25)*AV165+(1-EXP(-LN(2)/25))/(LN(2)/25)*Calculateur!AQ166*Calculateur!AS166*VLOOKUP('Données projet'!$B$10,Paramètres!$A$1:$I$89,3,0)*0.475*44/12</f>
        <v>23.440923938641948</v>
      </c>
      <c r="AW166" s="21">
        <f>EXP(-LN(2)/2)*AW165+(1-EXP(-LN(2)/2))/(LN(2)/2)*AQ166*AT166*VLOOKUP('Données projet'!$B$10,Paramètres!$A$1:$I$89,3,0)*0.475*44/12</f>
        <v>9.6744463556911753E-6</v>
      </c>
      <c r="AX166" s="21">
        <f t="shared" si="166"/>
        <v>71.831722545543329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-4.5474735088646412E-13</v>
      </c>
      <c r="BE166" s="13">
        <f>BD166*VLOOKUP('Données projet'!$B$11,Paramètres!$A$1:$I$89,3,0)*VLOOKUP('Données projet'!$B$11,Paramètres!$A$1:$I$89,5,0)</f>
        <v>-4.3983163777738812E-13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366.51581861366333</v>
      </c>
      <c r="BJ166" s="59">
        <f t="shared" si="146"/>
        <v>225.01415116995503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146.04202773486367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146.04202773486367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204.00000000000017</v>
      </c>
      <c r="BZ166" s="13">
        <f>BY166*VLOOKUP('Données projet'!$B$12,Paramètres!$A$1:$I$89,3,0)*VLOOKUP('Données projet'!$B$12,Paramètres!$A$1:$I$89,5,0)</f>
        <v>133.66080000000011</v>
      </c>
      <c r="CA166" s="13">
        <f t="shared" si="170"/>
        <v>34.840890682716783</v>
      </c>
      <c r="CB166" s="20">
        <f t="shared" si="171"/>
        <v>293.4737779390652</v>
      </c>
      <c r="CC166" s="59">
        <f t="shared" si="119"/>
        <v>586.80711127239852</v>
      </c>
      <c r="CD166" s="59">
        <f ca="1">AVERAGE(OFFSET($CC$3,0,0,'Données projet'!$E$12+1,1))-AVERAGE(OFFSET($H$3,0,0,'Données projet'!$E$12+1,1))</f>
        <v>230.58262378842818</v>
      </c>
      <c r="CE166" s="59">
        <f t="shared" si="148"/>
        <v>235.68746142880792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0.44986411767380396</v>
      </c>
      <c r="CL166" s="21">
        <f>EXP(-LN(2)/25)*CL165+(1-EXP(-LN(2)/25))/(LN(2)/25)*Calculateur!CG166*Calculateur!CI166*VLOOKUP('Données projet'!$B$12,Paramètres!$A$1:$I$89,3,0)*0.475*44/12</f>
        <v>1.4254108578007174</v>
      </c>
      <c r="CM166" s="21">
        <f>EXP(-LN(2)/2)*CM165+(1-EXP(-LN(2)/2))/(LN(2)/2)*CG166*CJ166*VLOOKUP('Données projet'!$B$12,Paramètres!$A$1:$I$89,3,0)*0.475*44/12</f>
        <v>3.0633418844374276E-11</v>
      </c>
      <c r="CN166" s="22">
        <f t="shared" si="172"/>
        <v>1.8752749755051548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1.7053025658242404E-13</v>
      </c>
      <c r="CU166" s="17">
        <f>CT166*VLOOKUP('Données projet'!$B$13,Paramètres!$A$1:$I$89,3,0)*VLOOKUP('Données projet'!$B$13,Paramètres!$A$1:$I$89,5,0)</f>
        <v>1.3301360013429075E-13</v>
      </c>
      <c r="CV166" s="13">
        <f t="shared" si="173"/>
        <v>1.9329766731057041E-12</v>
      </c>
      <c r="CW166" s="20">
        <f t="shared" si="174"/>
        <v>3.5982663925596575E-12</v>
      </c>
      <c r="CX166" s="59">
        <f t="shared" si="122"/>
        <v>293.3333333333369</v>
      </c>
      <c r="CY166" s="59">
        <f ca="1">AVERAGE(OFFSET($CX$3,0,0,'Données projet'!$E$13+1,1))-AVERAGE(OFFSET($H$3,0,0,'Données projet'!$E$13+1,1))</f>
        <v>288.80569134263209</v>
      </c>
      <c r="CZ166" s="59">
        <f t="shared" si="150"/>
        <v>283.48738729114024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12.61015506278663</v>
      </c>
      <c r="DG166" s="21">
        <f>EXP(-LN(2)/25)*DG165+(1-EXP(-LN(2)/25))/(LN(2)/25)*Calculateur!DB166*Calculateur!DD166*VLOOKUP('Données projet'!$B$13,Paramètres!$A$1:$I$89,3,0)*0.475*44/12</f>
        <v>5.0346854266995198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17.64484048948615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266.99999999999983</v>
      </c>
      <c r="DP166" s="17">
        <f>DO166*VLOOKUP('Données projet'!$B$14,Paramètres!$A$1:$I$89,3,0)*VLOOKUP('Données projet'!$B$14,Paramètres!$A$1:$I$89,5,0)</f>
        <v>212.42519999999985</v>
      </c>
      <c r="DQ166" s="13">
        <f t="shared" si="176"/>
        <v>52.465198231787184</v>
      </c>
      <c r="DR166" s="20">
        <f t="shared" si="177"/>
        <v>461.35077692036231</v>
      </c>
      <c r="DS166" s="59">
        <f t="shared" si="125"/>
        <v>754.68411025369562</v>
      </c>
      <c r="DT166" s="59">
        <f ca="1">AVERAGE(OFFSET($DS$3,0,0,'Données projet'!$E$14+1,1))-AVERAGE(OFFSET($H$3,0,0,'Données projet'!$E$14+1,1))</f>
        <v>299.10536994156814</v>
      </c>
      <c r="DU166" s="59">
        <f t="shared" si="152"/>
        <v>292.57799203101769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5.5640429716439685</v>
      </c>
      <c r="EB166" s="21">
        <f>EXP(-LN(2)/25)*EB165+(1-EXP(-LN(2)/25))/(LN(2)/25)*Calculateur!DW166*Calculateur!DY166*VLOOKUP('Données projet'!$B$14,Paramètres!$A$1:$I$89,3,0)*0.475*44/12</f>
        <v>0.8340058871207795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6.3980488587647484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5.1431925385259092E-13</v>
      </c>
      <c r="P167" s="13">
        <f t="shared" si="141"/>
        <v>6.3855359115685756E-12</v>
      </c>
      <c r="Q167" s="20">
        <f t="shared" si="162"/>
        <v>1.2017247746441865E-11</v>
      </c>
      <c r="R167" s="59">
        <f t="shared" si="109"/>
        <v>293.33333333334531</v>
      </c>
      <c r="S167" s="59">
        <f ca="1">AVERAGE(OFFSET($R$3,0,0,'Données projet'!$E$9+1,1))-AVERAGE(OFFSET($H$3,0,0,'Données projet'!$E$9+1,1))</f>
        <v>384.05928630855732</v>
      </c>
      <c r="T167" s="59">
        <f t="shared" si="142"/>
        <v>279.93992813630513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88.947104343281964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88.947104343281964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1.9895196601282805E-13</v>
      </c>
      <c r="AJ167" s="13">
        <f>AI167*VLOOKUP('Données projet'!$B$10,Paramètres!$A$1:$I$89,3,0)*VLOOKUP('Données projet'!$B$10,Paramètres!$A$1:$I$89,5,0)</f>
        <v>1.707007868390065E-13</v>
      </c>
      <c r="AK167" s="13">
        <f t="shared" si="164"/>
        <v>2.4096578055149408E-12</v>
      </c>
      <c r="AL167" s="20">
        <f t="shared" si="165"/>
        <v>4.4941245483497909E-12</v>
      </c>
      <c r="AM167" s="59">
        <f t="shared" si="113"/>
        <v>293.33333333333781</v>
      </c>
      <c r="AN167" s="59">
        <f ca="1">AVERAGE(OFFSET($AM$3,0,0,'Données projet'!$E$10+1,1))-AVERAGE(OFFSET($H$3,0,0,'Données projet'!$E$10+1,1))</f>
        <v>335.02113791949211</v>
      </c>
      <c r="AO167" s="59">
        <f t="shared" si="144"/>
        <v>222.06886429435099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47.441875076956414</v>
      </c>
      <c r="AV167" s="21">
        <f>EXP(-LN(2)/25)*AV166+(1-EXP(-LN(2)/25))/(LN(2)/25)*Calculateur!AQ167*Calculateur!AS167*VLOOKUP('Données projet'!$B$10,Paramètres!$A$1:$I$89,3,0)*0.475*44/12</f>
        <v>22.799930640835168</v>
      </c>
      <c r="AW167" s="21">
        <f>EXP(-LN(2)/2)*AW166+(1-EXP(-LN(2)/2))/(LN(2)/2)*AQ167*AT167*VLOOKUP('Données projet'!$B$10,Paramètres!$A$1:$I$89,3,0)*0.475*44/12</f>
        <v>6.8408666223347121E-6</v>
      </c>
      <c r="AX167" s="21">
        <f t="shared" si="166"/>
        <v>70.241812558658197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-4.5474735088646412E-13</v>
      </c>
      <c r="BE167" s="13">
        <f>BD167*VLOOKUP('Données projet'!$B$11,Paramètres!$A$1:$I$89,3,0)*VLOOKUP('Données projet'!$B$11,Paramètres!$A$1:$I$89,5,0)</f>
        <v>-4.3983163777738812E-13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366.51581861366333</v>
      </c>
      <c r="BJ167" s="59">
        <f t="shared" si="146"/>
        <v>225.01415116995503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143.1782326478243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143.1782326478243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204.00000000000017</v>
      </c>
      <c r="BZ167" s="13">
        <f>BY167*VLOOKUP('Données projet'!$B$12,Paramètres!$A$1:$I$89,3,0)*VLOOKUP('Données projet'!$B$12,Paramètres!$A$1:$I$89,5,0)</f>
        <v>133.66080000000011</v>
      </c>
      <c r="CA167" s="13">
        <f t="shared" si="170"/>
        <v>34.840890682716783</v>
      </c>
      <c r="CB167" s="20">
        <f t="shared" si="171"/>
        <v>293.4737779390652</v>
      </c>
      <c r="CC167" s="59">
        <f t="shared" si="119"/>
        <v>586.80711127239852</v>
      </c>
      <c r="CD167" s="59">
        <f ca="1">AVERAGE(OFFSET($CC$3,0,0,'Données projet'!$E$12+1,1))-AVERAGE(OFFSET($H$3,0,0,'Données projet'!$E$12+1,1))</f>
        <v>230.58262378842818</v>
      </c>
      <c r="CE167" s="59">
        <f t="shared" si="148"/>
        <v>235.68746142880792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0.44104255671623871</v>
      </c>
      <c r="CL167" s="21">
        <f>EXP(-LN(2)/25)*CL166+(1-EXP(-LN(2)/25))/(LN(2)/25)*Calculateur!CG167*Calculateur!CI167*VLOOKUP('Données projet'!$B$12,Paramètres!$A$1:$I$89,3,0)*0.475*44/12</f>
        <v>1.3864329229350576</v>
      </c>
      <c r="CM167" s="21">
        <f>EXP(-LN(2)/2)*CM166+(1-EXP(-LN(2)/2))/(LN(2)/2)*CG167*CJ167*VLOOKUP('Données projet'!$B$12,Paramètres!$A$1:$I$89,3,0)*0.475*44/12</f>
        <v>2.1661098195784823E-11</v>
      </c>
      <c r="CN167" s="22">
        <f t="shared" si="172"/>
        <v>1.8274754796729573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1.7053025658242404E-13</v>
      </c>
      <c r="CU167" s="17">
        <f>CT167*VLOOKUP('Données projet'!$B$13,Paramètres!$A$1:$I$89,3,0)*VLOOKUP('Données projet'!$B$13,Paramètres!$A$1:$I$89,5,0)</f>
        <v>1.3301360013429075E-13</v>
      </c>
      <c r="CV167" s="13">
        <f t="shared" si="173"/>
        <v>1.9329766731057041E-12</v>
      </c>
      <c r="CW167" s="20">
        <f t="shared" si="174"/>
        <v>3.5982663925596575E-12</v>
      </c>
      <c r="CX167" s="59">
        <f t="shared" si="122"/>
        <v>293.3333333333369</v>
      </c>
      <c r="CY167" s="59">
        <f ca="1">AVERAGE(OFFSET($CX$3,0,0,'Données projet'!$E$13+1,1))-AVERAGE(OFFSET($H$3,0,0,'Données projet'!$E$13+1,1))</f>
        <v>288.80569134263209</v>
      </c>
      <c r="CZ167" s="59">
        <f t="shared" si="150"/>
        <v>283.48738729114024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12.362877613440507</v>
      </c>
      <c r="DG167" s="21">
        <f>EXP(-LN(2)/25)*DG166+(1-EXP(-LN(2)/25))/(LN(2)/25)*Calculateur!DB167*Calculateur!DD167*VLOOKUP('Données projet'!$B$13,Paramètres!$A$1:$I$89,3,0)*0.475*44/12</f>
        <v>4.897011688943822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17.25988930238433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266.99999999999983</v>
      </c>
      <c r="DP167" s="17">
        <f>DO167*VLOOKUP('Données projet'!$B$14,Paramètres!$A$1:$I$89,3,0)*VLOOKUP('Données projet'!$B$14,Paramètres!$A$1:$I$89,5,0)</f>
        <v>212.42519999999985</v>
      </c>
      <c r="DQ167" s="13">
        <f t="shared" si="176"/>
        <v>52.465198231787184</v>
      </c>
      <c r="DR167" s="20">
        <f t="shared" si="177"/>
        <v>461.35077692036231</v>
      </c>
      <c r="DS167" s="59">
        <f t="shared" si="125"/>
        <v>754.68411025369562</v>
      </c>
      <c r="DT167" s="59">
        <f ca="1">AVERAGE(OFFSET($DS$3,0,0,'Données projet'!$E$14+1,1))-AVERAGE(OFFSET($H$3,0,0,'Données projet'!$E$14+1,1))</f>
        <v>299.10536994156814</v>
      </c>
      <c r="DU167" s="59">
        <f t="shared" si="152"/>
        <v>292.57799203101769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5.4549354827011403</v>
      </c>
      <c r="EB167" s="21">
        <f>EXP(-LN(2)/25)*EB166+(1-EXP(-LN(2)/25))/(LN(2)/25)*Calculateur!DW167*Calculateur!DY167*VLOOKUP('Données projet'!$B$14,Paramètres!$A$1:$I$89,3,0)*0.475*44/12</f>
        <v>0.81119995227899833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6.2661354349801384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5.1431925385259092E-13</v>
      </c>
      <c r="P168" s="13">
        <f t="shared" si="141"/>
        <v>6.3855359115685756E-12</v>
      </c>
      <c r="Q168" s="20">
        <f t="shared" si="162"/>
        <v>1.2017247746441865E-11</v>
      </c>
      <c r="R168" s="59">
        <f t="shared" si="109"/>
        <v>293.33333333334531</v>
      </c>
      <c r="S168" s="59">
        <f ca="1">AVERAGE(OFFSET($R$3,0,0,'Données projet'!$E$9+1,1))-AVERAGE(OFFSET($H$3,0,0,'Données projet'!$E$9+1,1))</f>
        <v>384.05928630855732</v>
      </c>
      <c r="T168" s="59">
        <f t="shared" si="142"/>
        <v>279.93992813630513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87.202905879486877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87.202905879486877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1.9895196601282805E-13</v>
      </c>
      <c r="AJ168" s="13">
        <f>AI168*VLOOKUP('Données projet'!$B$10,Paramètres!$A$1:$I$89,3,0)*VLOOKUP('Données projet'!$B$10,Paramètres!$A$1:$I$89,5,0)</f>
        <v>1.707007868390065E-13</v>
      </c>
      <c r="AK168" s="13">
        <f t="shared" si="164"/>
        <v>2.4096578055149408E-12</v>
      </c>
      <c r="AL168" s="20">
        <f t="shared" si="165"/>
        <v>4.4941245483497909E-12</v>
      </c>
      <c r="AM168" s="59">
        <f t="shared" si="113"/>
        <v>293.33333333333781</v>
      </c>
      <c r="AN168" s="59">
        <f ca="1">AVERAGE(OFFSET($AM$3,0,0,'Données projet'!$E$10+1,1))-AVERAGE(OFFSET($H$3,0,0,'Données projet'!$E$10+1,1))</f>
        <v>335.02113791949211</v>
      </c>
      <c r="AO168" s="59">
        <f t="shared" si="144"/>
        <v>222.06886429435099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46.511568843383834</v>
      </c>
      <c r="AV168" s="21">
        <f>EXP(-LN(2)/25)*AV167+(1-EXP(-LN(2)/25))/(LN(2)/25)*Calculateur!AQ168*Calculateur!AS168*VLOOKUP('Données projet'!$B$10,Paramètres!$A$1:$I$89,3,0)*0.475*44/12</f>
        <v>22.176465338465288</v>
      </c>
      <c r="AW168" s="21">
        <f>EXP(-LN(2)/2)*AW167+(1-EXP(-LN(2)/2))/(LN(2)/2)*AQ168*AT168*VLOOKUP('Données projet'!$B$10,Paramètres!$A$1:$I$89,3,0)*0.475*44/12</f>
        <v>4.8372231778455876E-6</v>
      </c>
      <c r="AX168" s="21">
        <f t="shared" si="166"/>
        <v>68.688039019072292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-4.5474735088646412E-13</v>
      </c>
      <c r="BE168" s="13">
        <f>BD168*VLOOKUP('Données projet'!$B$11,Paramètres!$A$1:$I$89,3,0)*VLOOKUP('Données projet'!$B$11,Paramètres!$A$1:$I$89,5,0)</f>
        <v>-4.3983163777738812E-13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366.51581861366333</v>
      </c>
      <c r="BJ168" s="59">
        <f t="shared" si="146"/>
        <v>225.01415116995503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140.37059483569925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140.37059483569925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204.00000000000017</v>
      </c>
      <c r="BZ168" s="13">
        <f>BY168*VLOOKUP('Données projet'!$B$12,Paramètres!$A$1:$I$89,3,0)*VLOOKUP('Données projet'!$B$12,Paramètres!$A$1:$I$89,5,0)</f>
        <v>133.66080000000011</v>
      </c>
      <c r="CA168" s="13">
        <f t="shared" si="170"/>
        <v>34.840890682716783</v>
      </c>
      <c r="CB168" s="20">
        <f t="shared" si="171"/>
        <v>293.4737779390652</v>
      </c>
      <c r="CC168" s="59">
        <f t="shared" si="119"/>
        <v>586.80711127239852</v>
      </c>
      <c r="CD168" s="59">
        <f ca="1">AVERAGE(OFFSET($CC$3,0,0,'Données projet'!$E$12+1,1))-AVERAGE(OFFSET($H$3,0,0,'Données projet'!$E$12+1,1))</f>
        <v>230.58262378842818</v>
      </c>
      <c r="CE168" s="59">
        <f t="shared" si="148"/>
        <v>235.68746142880792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0.43239398118843042</v>
      </c>
      <c r="CL168" s="21">
        <f>EXP(-LN(2)/25)*CL167+(1-EXP(-LN(2)/25))/(LN(2)/25)*Calculateur!CG168*Calculateur!CI168*VLOOKUP('Données projet'!$B$12,Paramètres!$A$1:$I$89,3,0)*0.475*44/12</f>
        <v>1.3485208417480599</v>
      </c>
      <c r="CM168" s="21">
        <f>EXP(-LN(2)/2)*CM167+(1-EXP(-LN(2)/2))/(LN(2)/2)*CG168*CJ168*VLOOKUP('Données projet'!$B$12,Paramètres!$A$1:$I$89,3,0)*0.475*44/12</f>
        <v>1.5316709422187138E-11</v>
      </c>
      <c r="CN168" s="22">
        <f t="shared" si="172"/>
        <v>1.7809148229518068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1.7053025658242404E-13</v>
      </c>
      <c r="CU168" s="17">
        <f>CT168*VLOOKUP('Données projet'!$B$13,Paramètres!$A$1:$I$89,3,0)*VLOOKUP('Données projet'!$B$13,Paramètres!$A$1:$I$89,5,0)</f>
        <v>1.3301360013429075E-13</v>
      </c>
      <c r="CV168" s="13">
        <f t="shared" si="173"/>
        <v>1.9329766731057041E-12</v>
      </c>
      <c r="CW168" s="20">
        <f t="shared" si="174"/>
        <v>3.5982663925596575E-12</v>
      </c>
      <c r="CX168" s="59">
        <f t="shared" si="122"/>
        <v>293.3333333333369</v>
      </c>
      <c r="CY168" s="59">
        <f ca="1">AVERAGE(OFFSET($CX$3,0,0,'Données projet'!$E$13+1,1))-AVERAGE(OFFSET($H$3,0,0,'Données projet'!$E$13+1,1))</f>
        <v>288.80569134263209</v>
      </c>
      <c r="CZ168" s="59">
        <f t="shared" si="150"/>
        <v>283.48738729114024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12.120449124051708</v>
      </c>
      <c r="DG168" s="21">
        <f>EXP(-LN(2)/25)*DG167+(1-EXP(-LN(2)/25))/(LN(2)/25)*Calculateur!DB168*Calculateur!DD168*VLOOKUP('Données projet'!$B$13,Paramètres!$A$1:$I$89,3,0)*0.475*44/12</f>
        <v>4.7631026467870008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16.883551770838707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266.99999999999983</v>
      </c>
      <c r="DP168" s="17">
        <f>DO168*VLOOKUP('Données projet'!$B$14,Paramètres!$A$1:$I$89,3,0)*VLOOKUP('Données projet'!$B$14,Paramètres!$A$1:$I$89,5,0)</f>
        <v>212.42519999999985</v>
      </c>
      <c r="DQ168" s="13">
        <f t="shared" si="176"/>
        <v>52.465198231787184</v>
      </c>
      <c r="DR168" s="20">
        <f t="shared" si="177"/>
        <v>461.35077692036231</v>
      </c>
      <c r="DS168" s="59">
        <f t="shared" si="125"/>
        <v>754.68411025369562</v>
      </c>
      <c r="DT168" s="59">
        <f ca="1">AVERAGE(OFFSET($DS$3,0,0,'Données projet'!$E$14+1,1))-AVERAGE(OFFSET($H$3,0,0,'Données projet'!$E$14+1,1))</f>
        <v>299.10536994156814</v>
      </c>
      <c r="DU168" s="59">
        <f t="shared" si="152"/>
        <v>292.57799203101769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5.3479675250674834</v>
      </c>
      <c r="EB168" s="21">
        <f>EXP(-LN(2)/25)*EB167+(1-EXP(-LN(2)/25))/(LN(2)/25)*Calculateur!DW168*Calculateur!DY168*VLOOKUP('Données projet'!$B$14,Paramètres!$A$1:$I$89,3,0)*0.475*44/12</f>
        <v>0.7890176469247776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6.1369851719922615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5.1431925385259092E-13</v>
      </c>
      <c r="P169" s="13">
        <f t="shared" si="141"/>
        <v>6.3855359115685756E-12</v>
      </c>
      <c r="Q169" s="20">
        <f t="shared" si="162"/>
        <v>1.2017247746441865E-11</v>
      </c>
      <c r="R169" s="59">
        <f t="shared" si="109"/>
        <v>293.33333333334531</v>
      </c>
      <c r="S169" s="59">
        <f ca="1">AVERAGE(OFFSET($R$3,0,0,'Données projet'!$E$9+1,1))-AVERAGE(OFFSET($H$3,0,0,'Données projet'!$E$9+1,1))</f>
        <v>384.05928630855732</v>
      </c>
      <c r="T169" s="59">
        <f t="shared" si="142"/>
        <v>279.93992813630513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85.492910083710797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85.492910083710797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1.9895196601282805E-13</v>
      </c>
      <c r="AJ169" s="13">
        <f>AI169*VLOOKUP('Données projet'!$B$10,Paramètres!$A$1:$I$89,3,0)*VLOOKUP('Données projet'!$B$10,Paramètres!$A$1:$I$89,5,0)</f>
        <v>1.707007868390065E-13</v>
      </c>
      <c r="AK169" s="13">
        <f t="shared" si="164"/>
        <v>2.4096578055149408E-12</v>
      </c>
      <c r="AL169" s="20">
        <f t="shared" si="165"/>
        <v>4.4941245483497909E-12</v>
      </c>
      <c r="AM169" s="59">
        <f t="shared" si="113"/>
        <v>293.33333333333781</v>
      </c>
      <c r="AN169" s="59">
        <f ca="1">AVERAGE(OFFSET($AM$3,0,0,'Données projet'!$E$10+1,1))-AVERAGE(OFFSET($H$3,0,0,'Données projet'!$E$10+1,1))</f>
        <v>335.02113791949211</v>
      </c>
      <c r="AO169" s="59">
        <f t="shared" si="144"/>
        <v>222.06886429435099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45.599505347620841</v>
      </c>
      <c r="AV169" s="21">
        <f>EXP(-LN(2)/25)*AV168+(1-EXP(-LN(2)/25))/(LN(2)/25)*Calculateur!AQ169*Calculateur!AS169*VLOOKUP('Données projet'!$B$10,Paramètres!$A$1:$I$89,3,0)*0.475*44/12</f>
        <v>21.570048727575326</v>
      </c>
      <c r="AW169" s="21">
        <f>EXP(-LN(2)/2)*AW168+(1-EXP(-LN(2)/2))/(LN(2)/2)*AQ169*AT169*VLOOKUP('Données projet'!$B$10,Paramètres!$A$1:$I$89,3,0)*0.475*44/12</f>
        <v>3.4204333111673561E-6</v>
      </c>
      <c r="AX169" s="21">
        <f t="shared" si="166"/>
        <v>67.169557495629491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-4.5474735088646412E-13</v>
      </c>
      <c r="BE169" s="13">
        <f>BD169*VLOOKUP('Données projet'!$B$11,Paramètres!$A$1:$I$89,3,0)*VLOOKUP('Données projet'!$B$11,Paramètres!$A$1:$I$89,5,0)</f>
        <v>-4.3983163777738812E-13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366.51581861366333</v>
      </c>
      <c r="BJ169" s="59">
        <f t="shared" si="146"/>
        <v>225.01415116995503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137.61801308858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137.61801308858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204.00000000000017</v>
      </c>
      <c r="BZ169" s="13">
        <f>BY169*VLOOKUP('Données projet'!$B$12,Paramètres!$A$1:$I$89,3,0)*VLOOKUP('Données projet'!$B$12,Paramètres!$A$1:$I$89,5,0)</f>
        <v>133.66080000000011</v>
      </c>
      <c r="CA169" s="13">
        <f t="shared" si="170"/>
        <v>34.840890682716783</v>
      </c>
      <c r="CB169" s="20">
        <f t="shared" si="171"/>
        <v>293.4737779390652</v>
      </c>
      <c r="CC169" s="59">
        <f t="shared" si="119"/>
        <v>586.80711127239852</v>
      </c>
      <c r="CD169" s="59">
        <f ca="1">AVERAGE(OFFSET($CC$3,0,0,'Données projet'!$E$12+1,1))-AVERAGE(OFFSET($H$3,0,0,'Données projet'!$E$12+1,1))</f>
        <v>230.58262378842818</v>
      </c>
      <c r="CE169" s="59">
        <f t="shared" si="148"/>
        <v>235.68746142880792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0.42391499895161222</v>
      </c>
      <c r="CL169" s="21">
        <f>EXP(-LN(2)/25)*CL168+(1-EXP(-LN(2)/25))/(LN(2)/25)*Calculateur!CG169*Calculateur!CI169*VLOOKUP('Données projet'!$B$12,Paramètres!$A$1:$I$89,3,0)*0.475*44/12</f>
        <v>1.3116454684148302</v>
      </c>
      <c r="CM169" s="21">
        <f>EXP(-LN(2)/2)*CM168+(1-EXP(-LN(2)/2))/(LN(2)/2)*CG169*CJ169*VLOOKUP('Données projet'!$B$12,Paramètres!$A$1:$I$89,3,0)*0.475*44/12</f>
        <v>1.0830549097892412E-11</v>
      </c>
      <c r="CN169" s="22">
        <f t="shared" si="172"/>
        <v>1.7355604673772729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1.7053025658242404E-13</v>
      </c>
      <c r="CU169" s="17">
        <f>CT169*VLOOKUP('Données projet'!$B$13,Paramètres!$A$1:$I$89,3,0)*VLOOKUP('Données projet'!$B$13,Paramètres!$A$1:$I$89,5,0)</f>
        <v>1.3301360013429075E-13</v>
      </c>
      <c r="CV169" s="13">
        <f t="shared" si="173"/>
        <v>1.9329766731057041E-12</v>
      </c>
      <c r="CW169" s="20">
        <f t="shared" si="174"/>
        <v>3.5982663925596575E-12</v>
      </c>
      <c r="CX169" s="59">
        <f t="shared" si="122"/>
        <v>293.3333333333369</v>
      </c>
      <c r="CY169" s="59">
        <f ca="1">AVERAGE(OFFSET($CX$3,0,0,'Données projet'!$E$13+1,1))-AVERAGE(OFFSET($H$3,0,0,'Données projet'!$E$13+1,1))</f>
        <v>288.80569134263209</v>
      </c>
      <c r="CZ169" s="59">
        <f t="shared" si="150"/>
        <v>283.48738729114024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11.882774509473046</v>
      </c>
      <c r="DG169" s="21">
        <f>EXP(-LN(2)/25)*DG168+(1-EXP(-LN(2)/25))/(LN(2)/25)*Calculateur!DB169*Calculateur!DD169*VLOOKUP('Données projet'!$B$13,Paramètres!$A$1:$I$89,3,0)*0.475*44/12</f>
        <v>4.6328553544299282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16.515629863902973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266.99999999999983</v>
      </c>
      <c r="DP169" s="17">
        <f>DO169*VLOOKUP('Données projet'!$B$14,Paramètres!$A$1:$I$89,3,0)*VLOOKUP('Données projet'!$B$14,Paramètres!$A$1:$I$89,5,0)</f>
        <v>212.42519999999985</v>
      </c>
      <c r="DQ169" s="13">
        <f t="shared" si="176"/>
        <v>52.465198231787184</v>
      </c>
      <c r="DR169" s="20">
        <f t="shared" si="177"/>
        <v>461.35077692036231</v>
      </c>
      <c r="DS169" s="59">
        <f t="shared" si="125"/>
        <v>754.68411025369562</v>
      </c>
      <c r="DT169" s="59">
        <f ca="1">AVERAGE(OFFSET($DS$3,0,0,'Données projet'!$E$14+1,1))-AVERAGE(OFFSET($H$3,0,0,'Données projet'!$E$14+1,1))</f>
        <v>299.10536994156814</v>
      </c>
      <c r="DU169" s="59">
        <f t="shared" si="152"/>
        <v>292.57799203101769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5.2430971438390106</v>
      </c>
      <c r="EB169" s="21">
        <f>EXP(-LN(2)/25)*EB168+(1-EXP(-LN(2)/25))/(LN(2)/25)*Calculateur!DW169*Calculateur!DY169*VLOOKUP('Données projet'!$B$14,Paramètres!$A$1:$I$89,3,0)*0.475*44/12</f>
        <v>0.76744191787698479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6.0105390617159955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5.1431925385259092E-13</v>
      </c>
      <c r="P170" s="13">
        <f t="shared" si="141"/>
        <v>6.3855359115685756E-12</v>
      </c>
      <c r="Q170" s="20">
        <f t="shared" si="162"/>
        <v>1.2017247746441865E-11</v>
      </c>
      <c r="R170" s="59">
        <f t="shared" si="109"/>
        <v>293.33333333334531</v>
      </c>
      <c r="S170" s="59">
        <f ca="1">AVERAGE(OFFSET($R$3,0,0,'Données projet'!$E$9+1,1))-AVERAGE(OFFSET($H$3,0,0,'Données projet'!$E$9+1,1))</f>
        <v>384.05928630855732</v>
      </c>
      <c r="T170" s="59">
        <f t="shared" si="142"/>
        <v>279.93992813630513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83.816446262495433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83.816446262495433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1.9895196601282805E-13</v>
      </c>
      <c r="AJ170" s="13">
        <f>AI170*VLOOKUP('Données projet'!$B$10,Paramètres!$A$1:$I$89,3,0)*VLOOKUP('Données projet'!$B$10,Paramètres!$A$1:$I$89,5,0)</f>
        <v>1.707007868390065E-13</v>
      </c>
      <c r="AK170" s="13">
        <f t="shared" si="164"/>
        <v>2.4096578055149408E-12</v>
      </c>
      <c r="AL170" s="20">
        <f t="shared" si="165"/>
        <v>4.4941245483497909E-12</v>
      </c>
      <c r="AM170" s="59">
        <f t="shared" si="113"/>
        <v>293.33333333333781</v>
      </c>
      <c r="AN170" s="59">
        <f ca="1">AVERAGE(OFFSET($AM$3,0,0,'Données projet'!$E$10+1,1))-AVERAGE(OFFSET($H$3,0,0,'Données projet'!$E$10+1,1))</f>
        <v>335.02113791949211</v>
      </c>
      <c r="AO170" s="59">
        <f t="shared" si="144"/>
        <v>222.06886429435099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44.705326860705959</v>
      </c>
      <c r="AV170" s="21">
        <f>EXP(-LN(2)/25)*AV169+(1-EXP(-LN(2)/25))/(LN(2)/25)*Calculateur!AQ170*Calculateur!AS170*VLOOKUP('Données projet'!$B$10,Paramètres!$A$1:$I$89,3,0)*0.475*44/12</f>
        <v>20.980214610800214</v>
      </c>
      <c r="AW170" s="21">
        <f>EXP(-LN(2)/2)*AW169+(1-EXP(-LN(2)/2))/(LN(2)/2)*AQ170*AT170*VLOOKUP('Données projet'!$B$10,Paramètres!$A$1:$I$89,3,0)*0.475*44/12</f>
        <v>2.4186115889227938E-6</v>
      </c>
      <c r="AX170" s="21">
        <f t="shared" si="166"/>
        <v>65.685543890117756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-4.5474735088646412E-13</v>
      </c>
      <c r="BE170" s="13">
        <f>BD170*VLOOKUP('Données projet'!$B$11,Paramètres!$A$1:$I$89,3,0)*VLOOKUP('Données projet'!$B$11,Paramètres!$A$1:$I$89,5,0)</f>
        <v>-4.3983163777738812E-13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366.51581861366333</v>
      </c>
      <c r="BJ170" s="59">
        <f t="shared" si="146"/>
        <v>225.01415116995503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134.91940779061267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134.91940779061267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204.00000000000017</v>
      </c>
      <c r="BZ170" s="13">
        <f>BY170*VLOOKUP('Données projet'!$B$12,Paramètres!$A$1:$I$89,3,0)*VLOOKUP('Données projet'!$B$12,Paramètres!$A$1:$I$89,5,0)</f>
        <v>133.66080000000011</v>
      </c>
      <c r="CA170" s="13">
        <f t="shared" si="170"/>
        <v>34.840890682716783</v>
      </c>
      <c r="CB170" s="20">
        <f t="shared" si="171"/>
        <v>293.4737779390652</v>
      </c>
      <c r="CC170" s="59">
        <f t="shared" si="119"/>
        <v>586.80711127239852</v>
      </c>
      <c r="CD170" s="59">
        <f ca="1">AVERAGE(OFFSET($CC$3,0,0,'Données projet'!$E$12+1,1))-AVERAGE(OFFSET($H$3,0,0,'Données projet'!$E$12+1,1))</f>
        <v>230.58262378842818</v>
      </c>
      <c r="CE170" s="59">
        <f t="shared" si="148"/>
        <v>235.68746142880792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0.41560228438478952</v>
      </c>
      <c r="CL170" s="21">
        <f>EXP(-LN(2)/25)*CL169+(1-EXP(-LN(2)/25))/(LN(2)/25)*Calculateur!CG170*Calculateur!CI170*VLOOKUP('Données projet'!$B$12,Paramètres!$A$1:$I$89,3,0)*0.475*44/12</f>
        <v>1.2757784541045893</v>
      </c>
      <c r="CM170" s="21">
        <f>EXP(-LN(2)/2)*CM169+(1-EXP(-LN(2)/2))/(LN(2)/2)*CG170*CJ170*VLOOKUP('Données projet'!$B$12,Paramètres!$A$1:$I$89,3,0)*0.475*44/12</f>
        <v>7.6583547110935691E-12</v>
      </c>
      <c r="CN170" s="22">
        <f t="shared" si="172"/>
        <v>1.6913807384970372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1.7053025658242404E-13</v>
      </c>
      <c r="CU170" s="17">
        <f>CT170*VLOOKUP('Données projet'!$B$13,Paramètres!$A$1:$I$89,3,0)*VLOOKUP('Données projet'!$B$13,Paramètres!$A$1:$I$89,5,0)</f>
        <v>1.3301360013429075E-13</v>
      </c>
      <c r="CV170" s="13">
        <f t="shared" si="173"/>
        <v>1.9329766731057041E-12</v>
      </c>
      <c r="CW170" s="20">
        <f t="shared" si="174"/>
        <v>3.5982663925596575E-12</v>
      </c>
      <c r="CX170" s="59">
        <f t="shared" si="122"/>
        <v>293.3333333333369</v>
      </c>
      <c r="CY170" s="59">
        <f ca="1">AVERAGE(OFFSET($CX$3,0,0,'Données projet'!$E$13+1,1))-AVERAGE(OFFSET($H$3,0,0,'Données projet'!$E$13+1,1))</f>
        <v>288.80569134263209</v>
      </c>
      <c r="CZ170" s="59">
        <f t="shared" si="150"/>
        <v>283.48738729114024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11.649760549119073</v>
      </c>
      <c r="DG170" s="21">
        <f>EXP(-LN(2)/25)*DG169+(1-EXP(-LN(2)/25))/(LN(2)/25)*Calculateur!DB170*Calculateur!DD170*VLOOKUP('Données projet'!$B$13,Paramètres!$A$1:$I$89,3,0)*0.475*44/12</f>
        <v>4.5061696811317669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16.155930230250839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266.99999999999983</v>
      </c>
      <c r="DP170" s="17">
        <f>DO170*VLOOKUP('Données projet'!$B$14,Paramètres!$A$1:$I$89,3,0)*VLOOKUP('Données projet'!$B$14,Paramètres!$A$1:$I$89,5,0)</f>
        <v>212.42519999999985</v>
      </c>
      <c r="DQ170" s="13">
        <f t="shared" si="176"/>
        <v>52.465198231787184</v>
      </c>
      <c r="DR170" s="20">
        <f t="shared" si="177"/>
        <v>461.35077692036231</v>
      </c>
      <c r="DS170" s="59">
        <f t="shared" si="125"/>
        <v>754.68411025369562</v>
      </c>
      <c r="DT170" s="59">
        <f ca="1">AVERAGE(OFFSET($DS$3,0,0,'Données projet'!$E$14+1,1))-AVERAGE(OFFSET($H$3,0,0,'Données projet'!$E$14+1,1))</f>
        <v>299.10536994156814</v>
      </c>
      <c r="DU170" s="59">
        <f t="shared" si="152"/>
        <v>292.57799203101769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5.1402832068218114</v>
      </c>
      <c r="EB170" s="21">
        <f>EXP(-LN(2)/25)*EB169+(1-EXP(-LN(2)/25))/(LN(2)/25)*Calculateur!DW170*Calculateur!DY170*VLOOKUP('Données projet'!$B$14,Paramètres!$A$1:$I$89,3,0)*0.475*44/12</f>
        <v>0.74645617827462218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5.8867393850964334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5.1431925385259092E-13</v>
      </c>
      <c r="P171" s="13">
        <f t="shared" si="141"/>
        <v>6.3855359115685756E-12</v>
      </c>
      <c r="Q171" s="20">
        <f t="shared" si="162"/>
        <v>1.2017247746441865E-11</v>
      </c>
      <c r="R171" s="59">
        <f t="shared" si="109"/>
        <v>293.33333333334531</v>
      </c>
      <c r="S171" s="59">
        <f ca="1">AVERAGE(OFFSET($R$3,0,0,'Données projet'!$E$9+1,1))-AVERAGE(OFFSET($H$3,0,0,'Données projet'!$E$9+1,1))</f>
        <v>384.05928630855732</v>
      </c>
      <c r="T171" s="59">
        <f t="shared" si="142"/>
        <v>279.93992813630513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82.172856874272142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82.172856874272142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1.9895196601282805E-13</v>
      </c>
      <c r="AJ171" s="13">
        <f>AI171*VLOOKUP('Données projet'!$B$10,Paramètres!$A$1:$I$89,3,0)*VLOOKUP('Données projet'!$B$10,Paramètres!$A$1:$I$89,5,0)</f>
        <v>1.707007868390065E-13</v>
      </c>
      <c r="AK171" s="13">
        <f t="shared" si="164"/>
        <v>2.4096578055149408E-12</v>
      </c>
      <c r="AL171" s="20">
        <f t="shared" si="165"/>
        <v>4.4941245483497909E-12</v>
      </c>
      <c r="AM171" s="59">
        <f t="shared" si="113"/>
        <v>293.33333333333781</v>
      </c>
      <c r="AN171" s="59">
        <f ca="1">AVERAGE(OFFSET($AM$3,0,0,'Données projet'!$E$10+1,1))-AVERAGE(OFFSET($H$3,0,0,'Données projet'!$E$10+1,1))</f>
        <v>335.02113791949211</v>
      </c>
      <c r="AO171" s="59">
        <f t="shared" si="144"/>
        <v>222.06886429435099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43.828682668524451</v>
      </c>
      <c r="AV171" s="21">
        <f>EXP(-LN(2)/25)*AV170+(1-EXP(-LN(2)/25))/(LN(2)/25)*Calculateur!AQ171*Calculateur!AS171*VLOOKUP('Données projet'!$B$10,Paramètres!$A$1:$I$89,3,0)*0.475*44/12</f>
        <v>20.406509538966347</v>
      </c>
      <c r="AW171" s="21">
        <f>EXP(-LN(2)/2)*AW170+(1-EXP(-LN(2)/2))/(LN(2)/2)*AQ171*AT171*VLOOKUP('Données projet'!$B$10,Paramètres!$A$1:$I$89,3,0)*0.475*44/12</f>
        <v>1.710216655583678E-6</v>
      </c>
      <c r="AX171" s="21">
        <f t="shared" si="166"/>
        <v>64.235193917707448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-4.5474735088646412E-13</v>
      </c>
      <c r="BE171" s="13">
        <f>BD171*VLOOKUP('Données projet'!$B$11,Paramètres!$A$1:$I$89,3,0)*VLOOKUP('Données projet'!$B$11,Paramètres!$A$1:$I$89,5,0)</f>
        <v>-4.3983163777738812E-13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366.51581861366333</v>
      </c>
      <c r="BJ171" s="59">
        <f t="shared" si="146"/>
        <v>225.01415116995503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132.27372049655176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132.27372049655176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204.00000000000017</v>
      </c>
      <c r="BZ171" s="13">
        <f>BY171*VLOOKUP('Données projet'!$B$12,Paramètres!$A$1:$I$89,3,0)*VLOOKUP('Données projet'!$B$12,Paramètres!$A$1:$I$89,5,0)</f>
        <v>133.66080000000011</v>
      </c>
      <c r="CA171" s="13">
        <f t="shared" si="170"/>
        <v>34.840890682716783</v>
      </c>
      <c r="CB171" s="20">
        <f t="shared" si="171"/>
        <v>293.4737779390652</v>
      </c>
      <c r="CC171" s="59">
        <f t="shared" si="119"/>
        <v>586.80711127239852</v>
      </c>
      <c r="CD171" s="59">
        <f ca="1">AVERAGE(OFFSET($CC$3,0,0,'Données projet'!$E$12+1,1))-AVERAGE(OFFSET($H$3,0,0,'Données projet'!$E$12+1,1))</f>
        <v>230.58262378842818</v>
      </c>
      <c r="CE171" s="59">
        <f t="shared" si="148"/>
        <v>235.68746142880792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0.40745257708036697</v>
      </c>
      <c r="CL171" s="21">
        <f>EXP(-LN(2)/25)*CL170+(1-EXP(-LN(2)/25))/(LN(2)/25)*Calculateur!CG171*Calculateur!CI171*VLOOKUP('Données projet'!$B$12,Paramètres!$A$1:$I$89,3,0)*0.475*44/12</f>
        <v>1.2408922251868262</v>
      </c>
      <c r="CM171" s="21">
        <f>EXP(-LN(2)/2)*CM170+(1-EXP(-LN(2)/2))/(LN(2)/2)*CG171*CJ171*VLOOKUP('Données projet'!$B$12,Paramètres!$A$1:$I$89,3,0)*0.475*44/12</f>
        <v>5.4152745489462058E-12</v>
      </c>
      <c r="CN171" s="22">
        <f t="shared" si="172"/>
        <v>1.6483448022726084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1.7053025658242404E-13</v>
      </c>
      <c r="CU171" s="17">
        <f>CT171*VLOOKUP('Données projet'!$B$13,Paramètres!$A$1:$I$89,3,0)*VLOOKUP('Données projet'!$B$13,Paramètres!$A$1:$I$89,5,0)</f>
        <v>1.3301360013429075E-13</v>
      </c>
      <c r="CV171" s="13">
        <f t="shared" si="173"/>
        <v>1.9329766731057041E-12</v>
      </c>
      <c r="CW171" s="20">
        <f t="shared" si="174"/>
        <v>3.5982663925596575E-12</v>
      </c>
      <c r="CX171" s="59">
        <f t="shared" si="122"/>
        <v>293.3333333333369</v>
      </c>
      <c r="CY171" s="59">
        <f ca="1">AVERAGE(OFFSET($CX$3,0,0,'Données projet'!$E$13+1,1))-AVERAGE(OFFSET($H$3,0,0,'Données projet'!$E$13+1,1))</f>
        <v>288.80569134263209</v>
      </c>
      <c r="CZ171" s="59">
        <f t="shared" si="150"/>
        <v>283.48738729114024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11.421315850403158</v>
      </c>
      <c r="DG171" s="21">
        <f>EXP(-LN(2)/25)*DG170+(1-EXP(-LN(2)/25))/(LN(2)/25)*Calculateur!DB171*Calculateur!DD171*VLOOKUP('Données projet'!$B$13,Paramètres!$A$1:$I$89,3,0)*0.475*44/12</f>
        <v>4.382948234232054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15.804264084635211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266.99999999999983</v>
      </c>
      <c r="DP171" s="17">
        <f>DO171*VLOOKUP('Données projet'!$B$14,Paramètres!$A$1:$I$89,3,0)*VLOOKUP('Données projet'!$B$14,Paramètres!$A$1:$I$89,5,0)</f>
        <v>212.42519999999985</v>
      </c>
      <c r="DQ171" s="13">
        <f t="shared" si="176"/>
        <v>52.465198231787184</v>
      </c>
      <c r="DR171" s="20">
        <f t="shared" si="177"/>
        <v>461.35077692036231</v>
      </c>
      <c r="DS171" s="59">
        <f t="shared" si="125"/>
        <v>754.68411025369562</v>
      </c>
      <c r="DT171" s="59">
        <f ca="1">AVERAGE(OFFSET($DS$3,0,0,'Données projet'!$E$14+1,1))-AVERAGE(OFFSET($H$3,0,0,'Données projet'!$E$14+1,1))</f>
        <v>299.10536994156814</v>
      </c>
      <c r="DU171" s="59">
        <f t="shared" si="152"/>
        <v>292.57799203101769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5.0394853883992106</v>
      </c>
      <c r="EB171" s="21">
        <f>EXP(-LN(2)/25)*EB170+(1-EXP(-LN(2)/25))/(LN(2)/25)*Calculateur!DW171*Calculateur!DY171*VLOOKUP('Données projet'!$B$14,Paramètres!$A$1:$I$89,3,0)*0.475*44/12</f>
        <v>0.72604429482527832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5.7655296832244893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5.1431925385259092E-13</v>
      </c>
      <c r="P172" s="13">
        <f t="shared" si="141"/>
        <v>6.3855359115685756E-12</v>
      </c>
      <c r="Q172" s="20">
        <f t="shared" si="162"/>
        <v>1.2017247746441865E-11</v>
      </c>
      <c r="R172" s="59">
        <f t="shared" si="109"/>
        <v>293.33333333334531</v>
      </c>
      <c r="S172" s="59">
        <f ca="1">AVERAGE(OFFSET($R$3,0,0,'Données projet'!$E$9+1,1))-AVERAGE(OFFSET($H$3,0,0,'Données projet'!$E$9+1,1))</f>
        <v>384.05928630855732</v>
      </c>
      <c r="T172" s="59">
        <f t="shared" si="142"/>
        <v>279.93992813630513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80.561497271461377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80.561497271461377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1.9895196601282805E-13</v>
      </c>
      <c r="AJ172" s="13">
        <f>AI172*VLOOKUP('Données projet'!$B$10,Paramètres!$A$1:$I$89,3,0)*VLOOKUP('Données projet'!$B$10,Paramètres!$A$1:$I$89,5,0)</f>
        <v>1.707007868390065E-13</v>
      </c>
      <c r="AK172" s="13">
        <f t="shared" si="164"/>
        <v>2.4096578055149408E-12</v>
      </c>
      <c r="AL172" s="20">
        <f t="shared" si="165"/>
        <v>4.4941245483497909E-12</v>
      </c>
      <c r="AM172" s="59">
        <f t="shared" si="113"/>
        <v>293.33333333333781</v>
      </c>
      <c r="AN172" s="59">
        <f ca="1">AVERAGE(OFFSET($AM$3,0,0,'Données projet'!$E$10+1,1))-AVERAGE(OFFSET($H$3,0,0,'Données projet'!$E$10+1,1))</f>
        <v>335.02113791949211</v>
      </c>
      <c r="AO172" s="59">
        <f t="shared" si="144"/>
        <v>222.06886429435099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42.969228934251461</v>
      </c>
      <c r="AV172" s="21">
        <f>EXP(-LN(2)/25)*AV171+(1-EXP(-LN(2)/25))/(LN(2)/25)*Calculateur!AQ172*Calculateur!AS172*VLOOKUP('Données projet'!$B$10,Paramètres!$A$1:$I$89,3,0)*0.475*44/12</f>
        <v>19.848492462491617</v>
      </c>
      <c r="AW172" s="21">
        <f>EXP(-LN(2)/2)*AW171+(1-EXP(-LN(2)/2))/(LN(2)/2)*AQ172*AT172*VLOOKUP('Données projet'!$B$10,Paramètres!$A$1:$I$89,3,0)*0.475*44/12</f>
        <v>1.2093057944613969E-6</v>
      </c>
      <c r="AX172" s="21">
        <f t="shared" si="166"/>
        <v>62.817722606048875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-4.5474735088646412E-13</v>
      </c>
      <c r="BE172" s="13">
        <f>BD172*VLOOKUP('Données projet'!$B$11,Paramètres!$A$1:$I$89,3,0)*VLOOKUP('Données projet'!$B$11,Paramètres!$A$1:$I$89,5,0)</f>
        <v>-4.3983163777738812E-13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366.51581861366333</v>
      </c>
      <c r="BJ172" s="59">
        <f t="shared" si="146"/>
        <v>225.01415116995503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129.67991351661749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129.67991351661749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204.00000000000017</v>
      </c>
      <c r="BZ172" s="13">
        <f>BY172*VLOOKUP('Données projet'!$B$12,Paramètres!$A$1:$I$89,3,0)*VLOOKUP('Données projet'!$B$12,Paramètres!$A$1:$I$89,5,0)</f>
        <v>133.66080000000011</v>
      </c>
      <c r="CA172" s="13">
        <f t="shared" si="170"/>
        <v>34.840890682716783</v>
      </c>
      <c r="CB172" s="20">
        <f t="shared" si="171"/>
        <v>293.4737779390652</v>
      </c>
      <c r="CC172" s="59">
        <f t="shared" si="119"/>
        <v>586.80711127239852</v>
      </c>
      <c r="CD172" s="59">
        <f ca="1">AVERAGE(OFFSET($CC$3,0,0,'Données projet'!$E$12+1,1))-AVERAGE(OFFSET($H$3,0,0,'Données projet'!$E$12+1,1))</f>
        <v>230.58262378842818</v>
      </c>
      <c r="CE172" s="59">
        <f t="shared" si="148"/>
        <v>235.68746142880792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0.39946268056535356</v>
      </c>
      <c r="CL172" s="21">
        <f>EXP(-LN(2)/25)*CL171+(1-EXP(-LN(2)/25))/(LN(2)/25)*Calculateur!CG172*Calculateur!CI172*VLOOKUP('Données projet'!$B$12,Paramètres!$A$1:$I$89,3,0)*0.475*44/12</f>
        <v>1.2069599620334064</v>
      </c>
      <c r="CM172" s="21">
        <f>EXP(-LN(2)/2)*CM171+(1-EXP(-LN(2)/2))/(LN(2)/2)*CG172*CJ172*VLOOKUP('Données projet'!$B$12,Paramètres!$A$1:$I$89,3,0)*0.475*44/12</f>
        <v>3.8291773555467845E-12</v>
      </c>
      <c r="CN172" s="22">
        <f t="shared" si="172"/>
        <v>1.6064226426025892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1.7053025658242404E-13</v>
      </c>
      <c r="CU172" s="17">
        <f>CT172*VLOOKUP('Données projet'!$B$13,Paramètres!$A$1:$I$89,3,0)*VLOOKUP('Données projet'!$B$13,Paramètres!$A$1:$I$89,5,0)</f>
        <v>1.3301360013429075E-13</v>
      </c>
      <c r="CV172" s="13">
        <f t="shared" si="173"/>
        <v>1.9329766731057041E-12</v>
      </c>
      <c r="CW172" s="20">
        <f t="shared" si="174"/>
        <v>3.5982663925596575E-12</v>
      </c>
      <c r="CX172" s="59">
        <f t="shared" si="122"/>
        <v>293.3333333333369</v>
      </c>
      <c r="CY172" s="59">
        <f ca="1">AVERAGE(OFFSET($CX$3,0,0,'Données projet'!$E$13+1,1))-AVERAGE(OFFSET($H$3,0,0,'Données projet'!$E$13+1,1))</f>
        <v>288.80569134263209</v>
      </c>
      <c r="CZ172" s="59">
        <f t="shared" si="150"/>
        <v>283.48738729114024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11.197350812891553</v>
      </c>
      <c r="DG172" s="21">
        <f>EXP(-LN(2)/25)*DG171+(1-EXP(-LN(2)/25))/(LN(2)/25)*Calculateur!DB172*Calculateur!DD172*VLOOKUP('Données projet'!$B$13,Paramètres!$A$1:$I$89,3,0)*0.475*44/12</f>
        <v>4.263096284277748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15.4604470971693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266.99999999999983</v>
      </c>
      <c r="DP172" s="17">
        <f>DO172*VLOOKUP('Données projet'!$B$14,Paramètres!$A$1:$I$89,3,0)*VLOOKUP('Données projet'!$B$14,Paramètres!$A$1:$I$89,5,0)</f>
        <v>212.42519999999985</v>
      </c>
      <c r="DQ172" s="13">
        <f t="shared" si="176"/>
        <v>52.465198231787184</v>
      </c>
      <c r="DR172" s="20">
        <f t="shared" si="177"/>
        <v>461.35077692036231</v>
      </c>
      <c r="DS172" s="59">
        <f t="shared" si="125"/>
        <v>754.68411025369562</v>
      </c>
      <c r="DT172" s="59">
        <f ca="1">AVERAGE(OFFSET($DS$3,0,0,'Données projet'!$E$14+1,1))-AVERAGE(OFFSET($H$3,0,0,'Données projet'!$E$14+1,1))</f>
        <v>299.10536994156814</v>
      </c>
      <c r="DU172" s="59">
        <f t="shared" si="152"/>
        <v>292.57799203101769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4.9406641537152778</v>
      </c>
      <c r="EB172" s="21">
        <f>EXP(-LN(2)/25)*EB171+(1-EXP(-LN(2)/25))/(LN(2)/25)*Calculateur!DW172*Calculateur!DY172*VLOOKUP('Données projet'!$B$14,Paramètres!$A$1:$I$89,3,0)*0.475*44/12</f>
        <v>0.70619057540227104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5.6468547291175488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5.1431925385259092E-13</v>
      </c>
      <c r="P173" s="13">
        <f t="shared" si="141"/>
        <v>6.3855359115685756E-12</v>
      </c>
      <c r="Q173" s="20">
        <f t="shared" si="162"/>
        <v>1.2017247746441865E-11</v>
      </c>
      <c r="R173" s="59">
        <f t="shared" si="109"/>
        <v>293.33333333334531</v>
      </c>
      <c r="S173" s="59">
        <f ca="1">AVERAGE(OFFSET($R$3,0,0,'Données projet'!$E$9+1,1))-AVERAGE(OFFSET($H$3,0,0,'Données projet'!$E$9+1,1))</f>
        <v>384.05928630855732</v>
      </c>
      <c r="T173" s="59">
        <f t="shared" si="142"/>
        <v>279.93992813630513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78.981735447629418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78.981735447629418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1.9895196601282805E-13</v>
      </c>
      <c r="AJ173" s="13">
        <f>AI173*VLOOKUP('Données projet'!$B$10,Paramètres!$A$1:$I$89,3,0)*VLOOKUP('Données projet'!$B$10,Paramètres!$A$1:$I$89,5,0)</f>
        <v>1.707007868390065E-13</v>
      </c>
      <c r="AK173" s="13">
        <f t="shared" si="164"/>
        <v>2.4096578055149408E-12</v>
      </c>
      <c r="AL173" s="20">
        <f t="shared" si="165"/>
        <v>4.4941245483497909E-12</v>
      </c>
      <c r="AM173" s="59">
        <f t="shared" si="113"/>
        <v>293.33333333333781</v>
      </c>
      <c r="AN173" s="59">
        <f ca="1">AVERAGE(OFFSET($AM$3,0,0,'Données projet'!$E$10+1,1))-AVERAGE(OFFSET($H$3,0,0,'Données projet'!$E$10+1,1))</f>
        <v>335.02113791949211</v>
      </c>
      <c r="AO173" s="59">
        <f t="shared" si="144"/>
        <v>222.06886429435099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42.126628563492552</v>
      </c>
      <c r="AV173" s="21">
        <f>EXP(-LN(2)/25)*AV172+(1-EXP(-LN(2)/25))/(LN(2)/25)*Calculateur!AQ173*Calculateur!AS173*VLOOKUP('Données projet'!$B$10,Paramètres!$A$1:$I$89,3,0)*0.475*44/12</f>
        <v>19.30573439231793</v>
      </c>
      <c r="AW173" s="21">
        <f>EXP(-LN(2)/2)*AW172+(1-EXP(-LN(2)/2))/(LN(2)/2)*AQ173*AT173*VLOOKUP('Données projet'!$B$10,Paramètres!$A$1:$I$89,3,0)*0.475*44/12</f>
        <v>8.5510832779183901E-7</v>
      </c>
      <c r="AX173" s="21">
        <f t="shared" si="166"/>
        <v>61.432363810918808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-4.5474735088646412E-13</v>
      </c>
      <c r="BE173" s="13">
        <f>BD173*VLOOKUP('Données projet'!$B$11,Paramètres!$A$1:$I$89,3,0)*VLOOKUP('Données projet'!$B$11,Paramètres!$A$1:$I$89,5,0)</f>
        <v>-4.3983163777738812E-13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366.51581861366333</v>
      </c>
      <c r="BJ173" s="59">
        <f t="shared" si="146"/>
        <v>225.01415116995503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127.1369695094937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127.1369695094937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204.00000000000017</v>
      </c>
      <c r="BZ173" s="13">
        <f>BY173*VLOOKUP('Données projet'!$B$12,Paramètres!$A$1:$I$89,3,0)*VLOOKUP('Données projet'!$B$12,Paramètres!$A$1:$I$89,5,0)</f>
        <v>133.66080000000011</v>
      </c>
      <c r="CA173" s="13">
        <f t="shared" si="170"/>
        <v>34.840890682716783</v>
      </c>
      <c r="CB173" s="20">
        <f t="shared" si="171"/>
        <v>293.4737779390652</v>
      </c>
      <c r="CC173" s="59">
        <f t="shared" si="119"/>
        <v>586.80711127239852</v>
      </c>
      <c r="CD173" s="59">
        <f ca="1">AVERAGE(OFFSET($CC$3,0,0,'Données projet'!$E$12+1,1))-AVERAGE(OFFSET($H$3,0,0,'Données projet'!$E$12+1,1))</f>
        <v>230.58262378842818</v>
      </c>
      <c r="CE173" s="59">
        <f t="shared" si="148"/>
        <v>235.68746142880792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0.39162946104764385</v>
      </c>
      <c r="CL173" s="21">
        <f>EXP(-LN(2)/25)*CL172+(1-EXP(-LN(2)/25))/(LN(2)/25)*Calculateur!CG173*Calculateur!CI173*VLOOKUP('Données projet'!$B$12,Paramètres!$A$1:$I$89,3,0)*0.475*44/12</f>
        <v>1.173955578400337</v>
      </c>
      <c r="CM173" s="21">
        <f>EXP(-LN(2)/2)*CM172+(1-EXP(-LN(2)/2))/(LN(2)/2)*CG173*CJ173*VLOOKUP('Données projet'!$B$12,Paramètres!$A$1:$I$89,3,0)*0.475*44/12</f>
        <v>2.7076372744731029E-12</v>
      </c>
      <c r="CN173" s="22">
        <f t="shared" si="172"/>
        <v>1.5655850394506885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1.7053025658242404E-13</v>
      </c>
      <c r="CU173" s="17">
        <f>CT173*VLOOKUP('Données projet'!$B$13,Paramètres!$A$1:$I$89,3,0)*VLOOKUP('Données projet'!$B$13,Paramètres!$A$1:$I$89,5,0)</f>
        <v>1.3301360013429075E-13</v>
      </c>
      <c r="CV173" s="13">
        <f t="shared" si="173"/>
        <v>1.9329766731057041E-12</v>
      </c>
      <c r="CW173" s="20">
        <f t="shared" si="174"/>
        <v>3.5982663925596575E-12</v>
      </c>
      <c r="CX173" s="59">
        <f t="shared" si="122"/>
        <v>293.3333333333369</v>
      </c>
      <c r="CY173" s="59">
        <f ca="1">AVERAGE(OFFSET($CX$3,0,0,'Données projet'!$E$13+1,1))-AVERAGE(OFFSET($H$3,0,0,'Données projet'!$E$13+1,1))</f>
        <v>288.80569134263209</v>
      </c>
      <c r="CZ173" s="59">
        <f t="shared" si="150"/>
        <v>283.48738729114024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10.977777593160368</v>
      </c>
      <c r="DG173" s="21">
        <f>EXP(-LN(2)/25)*DG172+(1-EXP(-LN(2)/25))/(LN(2)/25)*Calculateur!DB173*Calculateur!DD173*VLOOKUP('Données projet'!$B$13,Paramètres!$A$1:$I$89,3,0)*0.475*44/12</f>
        <v>4.1465216921976831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15.124299285358052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266.99999999999983</v>
      </c>
      <c r="DP173" s="17">
        <f>DO173*VLOOKUP('Données projet'!$B$14,Paramètres!$A$1:$I$89,3,0)*VLOOKUP('Données projet'!$B$14,Paramètres!$A$1:$I$89,5,0)</f>
        <v>212.42519999999985</v>
      </c>
      <c r="DQ173" s="13">
        <f t="shared" si="176"/>
        <v>52.465198231787184</v>
      </c>
      <c r="DR173" s="20">
        <f t="shared" si="177"/>
        <v>461.35077692036231</v>
      </c>
      <c r="DS173" s="59">
        <f t="shared" si="125"/>
        <v>754.68411025369562</v>
      </c>
      <c r="DT173" s="59">
        <f ca="1">AVERAGE(OFFSET($DS$3,0,0,'Données projet'!$E$14+1,1))-AVERAGE(OFFSET($H$3,0,0,'Données projet'!$E$14+1,1))</f>
        <v>299.10536994156814</v>
      </c>
      <c r="DU173" s="59">
        <f t="shared" si="152"/>
        <v>292.57799203101769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4.8437807431684954</v>
      </c>
      <c r="EB173" s="21">
        <f>EXP(-LN(2)/25)*EB172+(1-EXP(-LN(2)/25))/(LN(2)/25)*Calculateur!DW173*Calculateur!DY173*VLOOKUP('Données projet'!$B$14,Paramètres!$A$1:$I$89,3,0)*0.475*44/12</f>
        <v>0.68687975698094761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5.5306605001494429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5.1431925385259092E-13</v>
      </c>
      <c r="P174" s="13">
        <f t="shared" si="141"/>
        <v>6.3855359115685756E-12</v>
      </c>
      <c r="Q174" s="20">
        <f t="shared" si="162"/>
        <v>1.2017247746441865E-11</v>
      </c>
      <c r="R174" s="59">
        <f t="shared" si="109"/>
        <v>293.33333333334531</v>
      </c>
      <c r="S174" s="59">
        <f ca="1">AVERAGE(OFFSET($R$3,0,0,'Données projet'!$E$9+1,1))-AVERAGE(OFFSET($H$3,0,0,'Données projet'!$E$9+1,1))</f>
        <v>384.05928630855732</v>
      </c>
      <c r="T174" s="59">
        <f t="shared" si="142"/>
        <v>279.93992813630513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77.432951789603237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77.432951789603237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1.9895196601282805E-13</v>
      </c>
      <c r="AJ174" s="13">
        <f>AI174*VLOOKUP('Données projet'!$B$10,Paramètres!$A$1:$I$89,3,0)*VLOOKUP('Données projet'!$B$10,Paramètres!$A$1:$I$89,5,0)</f>
        <v>1.707007868390065E-13</v>
      </c>
      <c r="AK174" s="13">
        <f t="shared" si="164"/>
        <v>2.4096578055149408E-12</v>
      </c>
      <c r="AL174" s="20">
        <f t="shared" si="165"/>
        <v>4.4941245483497909E-12</v>
      </c>
      <c r="AM174" s="59">
        <f t="shared" si="113"/>
        <v>293.33333333333781</v>
      </c>
      <c r="AN174" s="59">
        <f ca="1">AVERAGE(OFFSET($AM$3,0,0,'Données projet'!$E$10+1,1))-AVERAGE(OFFSET($H$3,0,0,'Données projet'!$E$10+1,1))</f>
        <v>335.02113791949211</v>
      </c>
      <c r="AO174" s="59">
        <f t="shared" si="144"/>
        <v>222.06886429435099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41.300551072068743</v>
      </c>
      <c r="AV174" s="21">
        <f>EXP(-LN(2)/25)*AV173+(1-EXP(-LN(2)/25))/(LN(2)/25)*Calculateur!AQ174*Calculateur!AS174*VLOOKUP('Données projet'!$B$10,Paramètres!$A$1:$I$89,3,0)*0.475*44/12</f>
        <v>18.777818070115547</v>
      </c>
      <c r="AW174" s="21">
        <f>EXP(-LN(2)/2)*AW173+(1-EXP(-LN(2)/2))/(LN(2)/2)*AQ174*AT174*VLOOKUP('Données projet'!$B$10,Paramètres!$A$1:$I$89,3,0)*0.475*44/12</f>
        <v>6.0465289723069845E-7</v>
      </c>
      <c r="AX174" s="21">
        <f t="shared" si="166"/>
        <v>60.078369746837183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-4.5474735088646412E-13</v>
      </c>
      <c r="BE174" s="13">
        <f>BD174*VLOOKUP('Données projet'!$B$11,Paramètres!$A$1:$I$89,3,0)*VLOOKUP('Données projet'!$B$11,Paramètres!$A$1:$I$89,5,0)</f>
        <v>-4.3983163777738812E-13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366.51581861366333</v>
      </c>
      <c r="BJ174" s="59">
        <f t="shared" si="146"/>
        <v>225.01415116995503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124.6438910833069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124.6438910833069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204.00000000000017</v>
      </c>
      <c r="BZ174" s="13">
        <f>BY174*VLOOKUP('Données projet'!$B$12,Paramètres!$A$1:$I$89,3,0)*VLOOKUP('Données projet'!$B$12,Paramètres!$A$1:$I$89,5,0)</f>
        <v>133.66080000000011</v>
      </c>
      <c r="CA174" s="13">
        <f t="shared" si="170"/>
        <v>34.840890682716783</v>
      </c>
      <c r="CB174" s="20">
        <f t="shared" si="171"/>
        <v>293.4737779390652</v>
      </c>
      <c r="CC174" s="59">
        <f t="shared" si="119"/>
        <v>586.80711127239852</v>
      </c>
      <c r="CD174" s="59">
        <f ca="1">AVERAGE(OFFSET($CC$3,0,0,'Données projet'!$E$12+1,1))-AVERAGE(OFFSET($H$3,0,0,'Données projet'!$E$12+1,1))</f>
        <v>230.58262378842818</v>
      </c>
      <c r="CE174" s="59">
        <f t="shared" si="148"/>
        <v>235.68746142880792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0.38394984618688432</v>
      </c>
      <c r="CL174" s="21">
        <f>EXP(-LN(2)/25)*CL173+(1-EXP(-LN(2)/25))/(LN(2)/25)*Calculateur!CG174*Calculateur!CI174*VLOOKUP('Données projet'!$B$12,Paramètres!$A$1:$I$89,3,0)*0.475*44/12</f>
        <v>1.141853701373339</v>
      </c>
      <c r="CM174" s="21">
        <f>EXP(-LN(2)/2)*CM173+(1-EXP(-LN(2)/2))/(LN(2)/2)*CG174*CJ174*VLOOKUP('Données projet'!$B$12,Paramètres!$A$1:$I$89,3,0)*0.475*44/12</f>
        <v>1.9145886777733923E-12</v>
      </c>
      <c r="CN174" s="22">
        <f t="shared" si="172"/>
        <v>1.5258035475621379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1.7053025658242404E-13</v>
      </c>
      <c r="CU174" s="17">
        <f>CT174*VLOOKUP('Données projet'!$B$13,Paramètres!$A$1:$I$89,3,0)*VLOOKUP('Données projet'!$B$13,Paramètres!$A$1:$I$89,5,0)</f>
        <v>1.3301360013429075E-13</v>
      </c>
      <c r="CV174" s="13">
        <f t="shared" si="173"/>
        <v>1.9329766731057041E-12</v>
      </c>
      <c r="CW174" s="20">
        <f t="shared" si="174"/>
        <v>3.5982663925596575E-12</v>
      </c>
      <c r="CX174" s="59">
        <f t="shared" si="122"/>
        <v>293.3333333333369</v>
      </c>
      <c r="CY174" s="59">
        <f ca="1">AVERAGE(OFFSET($CX$3,0,0,'Données projet'!$E$13+1,1))-AVERAGE(OFFSET($H$3,0,0,'Données projet'!$E$13+1,1))</f>
        <v>288.80569134263209</v>
      </c>
      <c r="CZ174" s="59">
        <f t="shared" si="150"/>
        <v>283.48738729114024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10.762510070341671</v>
      </c>
      <c r="DG174" s="21">
        <f>EXP(-LN(2)/25)*DG173+(1-EXP(-LN(2)/25))/(LN(2)/25)*Calculateur!DB174*Calculateur!DD174*VLOOKUP('Données projet'!$B$13,Paramètres!$A$1:$I$89,3,0)*0.475*44/12</f>
        <v>4.0331348384684382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14.795644908810109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266.99999999999983</v>
      </c>
      <c r="DP174" s="17">
        <f>DO174*VLOOKUP('Données projet'!$B$14,Paramètres!$A$1:$I$89,3,0)*VLOOKUP('Données projet'!$B$14,Paramètres!$A$1:$I$89,5,0)</f>
        <v>212.42519999999985</v>
      </c>
      <c r="DQ174" s="13">
        <f t="shared" si="176"/>
        <v>52.465198231787184</v>
      </c>
      <c r="DR174" s="20">
        <f t="shared" si="177"/>
        <v>461.35077692036231</v>
      </c>
      <c r="DS174" s="59">
        <f t="shared" si="125"/>
        <v>754.68411025369562</v>
      </c>
      <c r="DT174" s="59">
        <f ca="1">AVERAGE(OFFSET($DS$3,0,0,'Données projet'!$E$14+1,1))-AVERAGE(OFFSET($H$3,0,0,'Données projet'!$E$14+1,1))</f>
        <v>299.10536994156814</v>
      </c>
      <c r="DU174" s="59">
        <f t="shared" si="152"/>
        <v>292.57799203101769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4.7487971572094905</v>
      </c>
      <c r="EB174" s="21">
        <f>EXP(-LN(2)/25)*EB173+(1-EXP(-LN(2)/25))/(LN(2)/25)*Calculateur!DW174*Calculateur!DY174*VLOOKUP('Données projet'!$B$14,Paramètres!$A$1:$I$89,3,0)*0.475*44/12</f>
        <v>0.6680969939048671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5.4168941511143576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5.1431925385259092E-13</v>
      </c>
      <c r="P175" s="13">
        <f t="shared" si="141"/>
        <v>6.3855359115685756E-12</v>
      </c>
      <c r="Q175" s="20">
        <f t="shared" si="162"/>
        <v>1.2017247746441865E-11</v>
      </c>
      <c r="R175" s="59">
        <f t="shared" si="109"/>
        <v>293.33333333334531</v>
      </c>
      <c r="S175" s="59">
        <f ca="1">AVERAGE(OFFSET($R$3,0,0,'Données projet'!$E$9+1,1))-AVERAGE(OFFSET($H$3,0,0,'Données projet'!$E$9+1,1))</f>
        <v>384.05928630855732</v>
      </c>
      <c r="T175" s="59">
        <f t="shared" si="142"/>
        <v>279.93992813630513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75.914538834446191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75.914538834446191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1.9895196601282805E-13</v>
      </c>
      <c r="AJ175" s="13">
        <f>AI175*VLOOKUP('Données projet'!$B$10,Paramètres!$A$1:$I$89,3,0)*VLOOKUP('Données projet'!$B$10,Paramètres!$A$1:$I$89,5,0)</f>
        <v>1.707007868390065E-13</v>
      </c>
      <c r="AK175" s="13">
        <f t="shared" si="164"/>
        <v>2.4096578055149408E-12</v>
      </c>
      <c r="AL175" s="20">
        <f t="shared" si="165"/>
        <v>4.4941245483497909E-12</v>
      </c>
      <c r="AM175" s="59">
        <f t="shared" si="113"/>
        <v>293.33333333333781</v>
      </c>
      <c r="AN175" s="59">
        <f ca="1">AVERAGE(OFFSET($AM$3,0,0,'Données projet'!$E$10+1,1))-AVERAGE(OFFSET($H$3,0,0,'Données projet'!$E$10+1,1))</f>
        <v>335.02113791949211</v>
      </c>
      <c r="AO175" s="59">
        <f t="shared" si="144"/>
        <v>222.06886429435099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40.490672456394236</v>
      </c>
      <c r="AV175" s="21">
        <f>EXP(-LN(2)/25)*AV174+(1-EXP(-LN(2)/25))/(LN(2)/25)*Calculateur!AQ175*Calculateur!AS175*VLOOKUP('Données projet'!$B$10,Paramètres!$A$1:$I$89,3,0)*0.475*44/12</f>
        <v>18.264337647505702</v>
      </c>
      <c r="AW175" s="21">
        <f>EXP(-LN(2)/2)*AW174+(1-EXP(-LN(2)/2))/(LN(2)/2)*AQ175*AT175*VLOOKUP('Données projet'!$B$10,Paramètres!$A$1:$I$89,3,0)*0.475*44/12</f>
        <v>4.2755416389591951E-7</v>
      </c>
      <c r="AX175" s="21">
        <f t="shared" si="166"/>
        <v>58.755010531454097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-4.5474735088646412E-13</v>
      </c>
      <c r="BE175" s="13">
        <f>BD175*VLOOKUP('Données projet'!$B$11,Paramètres!$A$1:$I$89,3,0)*VLOOKUP('Données projet'!$B$11,Paramètres!$A$1:$I$89,5,0)</f>
        <v>-4.3983163777738812E-13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366.51581861366333</v>
      </c>
      <c r="BJ175" s="59">
        <f t="shared" si="146"/>
        <v>225.01415116995503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122.19970040442993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122.19970040442993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204.00000000000017</v>
      </c>
      <c r="BZ175" s="13">
        <f>BY175*VLOOKUP('Données projet'!$B$12,Paramètres!$A$1:$I$89,3,0)*VLOOKUP('Données projet'!$B$12,Paramètres!$A$1:$I$89,5,0)</f>
        <v>133.66080000000011</v>
      </c>
      <c r="CA175" s="13">
        <f t="shared" si="170"/>
        <v>34.840890682716783</v>
      </c>
      <c r="CB175" s="20">
        <f t="shared" si="171"/>
        <v>293.4737779390652</v>
      </c>
      <c r="CC175" s="59">
        <f t="shared" si="119"/>
        <v>586.80711127239852</v>
      </c>
      <c r="CD175" s="59">
        <f ca="1">AVERAGE(OFFSET($CC$3,0,0,'Données projet'!$E$12+1,1))-AVERAGE(OFFSET($H$3,0,0,'Données projet'!$E$12+1,1))</f>
        <v>230.58262378842818</v>
      </c>
      <c r="CE175" s="59">
        <f t="shared" si="148"/>
        <v>235.68746142880792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0.3764208238894417</v>
      </c>
      <c r="CL175" s="21">
        <f>EXP(-LN(2)/25)*CL174+(1-EXP(-LN(2)/25))/(LN(2)/25)*Calculateur!CG175*Calculateur!CI175*VLOOKUP('Données projet'!$B$12,Paramètres!$A$1:$I$89,3,0)*0.475*44/12</f>
        <v>1.1106296518618086</v>
      </c>
      <c r="CM175" s="21">
        <f>EXP(-LN(2)/2)*CM174+(1-EXP(-LN(2)/2))/(LN(2)/2)*CG175*CJ175*VLOOKUP('Données projet'!$B$12,Paramètres!$A$1:$I$89,3,0)*0.475*44/12</f>
        <v>1.3538186372365515E-12</v>
      </c>
      <c r="CN175" s="22">
        <f t="shared" si="172"/>
        <v>1.4870504757526042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1.7053025658242404E-13</v>
      </c>
      <c r="CU175" s="17">
        <f>CT175*VLOOKUP('Données projet'!$B$13,Paramètres!$A$1:$I$89,3,0)*VLOOKUP('Données projet'!$B$13,Paramètres!$A$1:$I$89,5,0)</f>
        <v>1.3301360013429075E-13</v>
      </c>
      <c r="CV175" s="13">
        <f t="shared" si="173"/>
        <v>1.9329766731057041E-12</v>
      </c>
      <c r="CW175" s="20">
        <f t="shared" si="174"/>
        <v>3.5982663925596575E-12</v>
      </c>
      <c r="CX175" s="59">
        <f t="shared" si="122"/>
        <v>293.3333333333369</v>
      </c>
      <c r="CY175" s="59">
        <f ca="1">AVERAGE(OFFSET($CX$3,0,0,'Données projet'!$E$13+1,1))-AVERAGE(OFFSET($H$3,0,0,'Données projet'!$E$13+1,1))</f>
        <v>288.80569134263209</v>
      </c>
      <c r="CZ175" s="59">
        <f t="shared" si="150"/>
        <v>283.48738729114024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10.551463812345224</v>
      </c>
      <c r="DG175" s="21">
        <f>EXP(-LN(2)/25)*DG174+(1-EXP(-LN(2)/25))/(LN(2)/25)*Calculateur!DB175*Calculateur!DD175*VLOOKUP('Données projet'!$B$13,Paramètres!$A$1:$I$89,3,0)*0.475*44/12</f>
        <v>3.9228485542171754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14.474312366562399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266.99999999999983</v>
      </c>
      <c r="DP175" s="17">
        <f>DO175*VLOOKUP('Données projet'!$B$14,Paramètres!$A$1:$I$89,3,0)*VLOOKUP('Données projet'!$B$14,Paramètres!$A$1:$I$89,5,0)</f>
        <v>212.42519999999985</v>
      </c>
      <c r="DQ175" s="13">
        <f t="shared" si="176"/>
        <v>52.465198231787184</v>
      </c>
      <c r="DR175" s="20">
        <f t="shared" si="177"/>
        <v>461.35077692036231</v>
      </c>
      <c r="DS175" s="59">
        <f t="shared" si="125"/>
        <v>754.68411025369562</v>
      </c>
      <c r="DT175" s="59">
        <f ca="1">AVERAGE(OFFSET($DS$3,0,0,'Données projet'!$E$14+1,1))-AVERAGE(OFFSET($H$3,0,0,'Données projet'!$E$14+1,1))</f>
        <v>299.10536994156814</v>
      </c>
      <c r="DU175" s="59">
        <f t="shared" si="152"/>
        <v>292.57799203101769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4.6556761414368744</v>
      </c>
      <c r="EB175" s="21">
        <f>EXP(-LN(2)/25)*EB174+(1-EXP(-LN(2)/25))/(LN(2)/25)*Calculateur!DW175*Calculateur!DY175*VLOOKUP('Données projet'!$B$14,Paramètres!$A$1:$I$89,3,0)*0.475*44/12</f>
        <v>0.64982784647284453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5.3055039879097192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5.1431925385259092E-13</v>
      </c>
      <c r="P176" s="13">
        <f t="shared" si="141"/>
        <v>6.3855359115685756E-12</v>
      </c>
      <c r="Q176" s="20">
        <f t="shared" si="162"/>
        <v>1.2017247746441865E-11</v>
      </c>
      <c r="R176" s="59">
        <f t="shared" si="109"/>
        <v>293.33333333334531</v>
      </c>
      <c r="S176" s="59">
        <f ca="1">AVERAGE(OFFSET($R$3,0,0,'Données projet'!$E$9+1,1))-AVERAGE(OFFSET($H$3,0,0,'Données projet'!$E$9+1,1))</f>
        <v>384.05928630855732</v>
      </c>
      <c r="T176" s="59">
        <f t="shared" si="142"/>
        <v>279.93992813630513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74.425901031199317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74.425901031199317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1.9895196601282805E-13</v>
      </c>
      <c r="AJ176" s="13">
        <f>AI176*VLOOKUP('Données projet'!$B$10,Paramètres!$A$1:$I$89,3,0)*VLOOKUP('Données projet'!$B$10,Paramètres!$A$1:$I$89,5,0)</f>
        <v>1.707007868390065E-13</v>
      </c>
      <c r="AK176" s="13">
        <f t="shared" si="164"/>
        <v>2.4096578055149408E-12</v>
      </c>
      <c r="AL176" s="20">
        <f t="shared" si="165"/>
        <v>4.4941245483497909E-12</v>
      </c>
      <c r="AM176" s="59">
        <f t="shared" si="113"/>
        <v>293.33333333333781</v>
      </c>
      <c r="AN176" s="59">
        <f ca="1">AVERAGE(OFFSET($AM$3,0,0,'Données projet'!$E$10+1,1))-AVERAGE(OFFSET($H$3,0,0,'Données projet'!$E$10+1,1))</f>
        <v>335.02113791949211</v>
      </c>
      <c r="AO176" s="59">
        <f t="shared" si="144"/>
        <v>222.06886429435099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39.696675066395933</v>
      </c>
      <c r="AV176" s="21">
        <f>EXP(-LN(2)/25)*AV175+(1-EXP(-LN(2)/25))/(LN(2)/25)*Calculateur!AQ176*Calculateur!AS176*VLOOKUP('Données projet'!$B$10,Paramètres!$A$1:$I$89,3,0)*0.475*44/12</f>
        <v>17.764898374054884</v>
      </c>
      <c r="AW176" s="21">
        <f>EXP(-LN(2)/2)*AW175+(1-EXP(-LN(2)/2))/(LN(2)/2)*AQ176*AT176*VLOOKUP('Données projet'!$B$10,Paramètres!$A$1:$I$89,3,0)*0.475*44/12</f>
        <v>3.0232644861534923E-7</v>
      </c>
      <c r="AX176" s="21">
        <f t="shared" si="166"/>
        <v>57.461573742777269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-4.5474735088646412E-13</v>
      </c>
      <c r="BE176" s="13">
        <f>BD176*VLOOKUP('Données projet'!$B$11,Paramètres!$A$1:$I$89,3,0)*VLOOKUP('Données projet'!$B$11,Paramètres!$A$1:$I$89,5,0)</f>
        <v>-4.3983163777738812E-13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366.51581861366333</v>
      </c>
      <c r="BJ176" s="59">
        <f t="shared" si="146"/>
        <v>225.01415116995503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119.80343881395665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119.80343881395665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204.00000000000017</v>
      </c>
      <c r="BZ176" s="13">
        <f>BY176*VLOOKUP('Données projet'!$B$12,Paramètres!$A$1:$I$89,3,0)*VLOOKUP('Données projet'!$B$12,Paramètres!$A$1:$I$89,5,0)</f>
        <v>133.66080000000011</v>
      </c>
      <c r="CA176" s="13">
        <f t="shared" si="170"/>
        <v>34.840890682716783</v>
      </c>
      <c r="CB176" s="20">
        <f t="shared" si="171"/>
        <v>293.4737779390652</v>
      </c>
      <c r="CC176" s="59">
        <f t="shared" si="119"/>
        <v>586.80711127239852</v>
      </c>
      <c r="CD176" s="59">
        <f ca="1">AVERAGE(OFFSET($CC$3,0,0,'Données projet'!$E$12+1,1))-AVERAGE(OFFSET($H$3,0,0,'Données projet'!$E$12+1,1))</f>
        <v>230.58262378842818</v>
      </c>
      <c r="CE176" s="59">
        <f t="shared" si="148"/>
        <v>235.68746142880792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0.36903944112700182</v>
      </c>
      <c r="CL176" s="21">
        <f>EXP(-LN(2)/25)*CL175+(1-EXP(-LN(2)/25))/(LN(2)/25)*Calculateur!CG176*Calculateur!CI176*VLOOKUP('Données projet'!$B$12,Paramètres!$A$1:$I$89,3,0)*0.475*44/12</f>
        <v>1.0802594256261724</v>
      </c>
      <c r="CM176" s="21">
        <f>EXP(-LN(2)/2)*CM175+(1-EXP(-LN(2)/2))/(LN(2)/2)*CG176*CJ176*VLOOKUP('Données projet'!$B$12,Paramètres!$A$1:$I$89,3,0)*0.475*44/12</f>
        <v>9.5729433888669613E-13</v>
      </c>
      <c r="CN176" s="22">
        <f t="shared" si="172"/>
        <v>1.4492988667541316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1.7053025658242404E-13</v>
      </c>
      <c r="CU176" s="17">
        <f>CT176*VLOOKUP('Données projet'!$B$13,Paramètres!$A$1:$I$89,3,0)*VLOOKUP('Données projet'!$B$13,Paramètres!$A$1:$I$89,5,0)</f>
        <v>1.3301360013429075E-13</v>
      </c>
      <c r="CV176" s="13">
        <f t="shared" si="173"/>
        <v>1.9329766731057041E-12</v>
      </c>
      <c r="CW176" s="20">
        <f t="shared" si="174"/>
        <v>3.5982663925596575E-12</v>
      </c>
      <c r="CX176" s="59">
        <f t="shared" si="122"/>
        <v>293.3333333333369</v>
      </c>
      <c r="CY176" s="59">
        <f ca="1">AVERAGE(OFFSET($CX$3,0,0,'Données projet'!$E$13+1,1))-AVERAGE(OFFSET($H$3,0,0,'Données projet'!$E$13+1,1))</f>
        <v>288.80569134263209</v>
      </c>
      <c r="CZ176" s="59">
        <f t="shared" si="150"/>
        <v>283.48738729114024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10.344556042742582</v>
      </c>
      <c r="DG176" s="21">
        <f>EXP(-LN(2)/25)*DG175+(1-EXP(-LN(2)/25))/(LN(2)/25)*Calculateur!DB176*Calculateur!DD176*VLOOKUP('Données projet'!$B$13,Paramètres!$A$1:$I$89,3,0)*0.475*44/12</f>
        <v>3.815578054208467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14.160134096951049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266.99999999999983</v>
      </c>
      <c r="DP176" s="17">
        <f>DO176*VLOOKUP('Données projet'!$B$14,Paramètres!$A$1:$I$89,3,0)*VLOOKUP('Données projet'!$B$14,Paramètres!$A$1:$I$89,5,0)</f>
        <v>212.42519999999985</v>
      </c>
      <c r="DQ176" s="13">
        <f t="shared" si="176"/>
        <v>52.465198231787184</v>
      </c>
      <c r="DR176" s="20">
        <f t="shared" si="177"/>
        <v>461.35077692036231</v>
      </c>
      <c r="DS176" s="59">
        <f t="shared" si="125"/>
        <v>754.68411025369562</v>
      </c>
      <c r="DT176" s="59">
        <f ca="1">AVERAGE(OFFSET($DS$3,0,0,'Données projet'!$E$14+1,1))-AVERAGE(OFFSET($H$3,0,0,'Données projet'!$E$14+1,1))</f>
        <v>299.10536994156814</v>
      </c>
      <c r="DU176" s="59">
        <f t="shared" si="152"/>
        <v>292.57799203101769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4.5643811719853487</v>
      </c>
      <c r="EB176" s="21">
        <f>EXP(-LN(2)/25)*EB175+(1-EXP(-LN(2)/25))/(LN(2)/25)*Calculateur!DW176*Calculateur!DY176*VLOOKUP('Données projet'!$B$14,Paramètres!$A$1:$I$89,3,0)*0.475*44/12</f>
        <v>0.63205826983808333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5.1964394418234319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5.1431925385259092E-13</v>
      </c>
      <c r="P177" s="13">
        <f t="shared" si="141"/>
        <v>6.3855359115685756E-12</v>
      </c>
      <c r="Q177" s="20">
        <f t="shared" si="162"/>
        <v>1.2017247746441865E-11</v>
      </c>
      <c r="R177" s="59">
        <f t="shared" si="109"/>
        <v>293.33333333334531</v>
      </c>
      <c r="S177" s="59">
        <f ca="1">AVERAGE(OFFSET($R$3,0,0,'Données projet'!$E$9+1,1))-AVERAGE(OFFSET($H$3,0,0,'Données projet'!$E$9+1,1))</f>
        <v>384.05928630855732</v>
      </c>
      <c r="T177" s="59">
        <f t="shared" si="142"/>
        <v>279.93992813630513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72.966454507294713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72.966454507294713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1.9895196601282805E-13</v>
      </c>
      <c r="AJ177" s="13">
        <f>AI177*VLOOKUP('Données projet'!$B$10,Paramètres!$A$1:$I$89,3,0)*VLOOKUP('Données projet'!$B$10,Paramètres!$A$1:$I$89,5,0)</f>
        <v>1.707007868390065E-13</v>
      </c>
      <c r="AK177" s="13">
        <f t="shared" si="164"/>
        <v>2.4096578055149408E-12</v>
      </c>
      <c r="AL177" s="20">
        <f t="shared" si="165"/>
        <v>4.4941245483497909E-12</v>
      </c>
      <c r="AM177" s="59">
        <f t="shared" si="113"/>
        <v>293.33333333333781</v>
      </c>
      <c r="AN177" s="59">
        <f ca="1">AVERAGE(OFFSET($AM$3,0,0,'Données projet'!$E$10+1,1))-AVERAGE(OFFSET($H$3,0,0,'Données projet'!$E$10+1,1))</f>
        <v>335.02113791949211</v>
      </c>
      <c r="AO177" s="59">
        <f t="shared" si="144"/>
        <v>222.06886429435099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38.918247480924904</v>
      </c>
      <c r="AV177" s="21">
        <f>EXP(-LN(2)/25)*AV176+(1-EXP(-LN(2)/25))/(LN(2)/25)*Calculateur!AQ177*Calculateur!AS177*VLOOKUP('Données projet'!$B$10,Paramètres!$A$1:$I$89,3,0)*0.475*44/12</f>
        <v>17.27911629380095</v>
      </c>
      <c r="AW177" s="21">
        <f>EXP(-LN(2)/2)*AW176+(1-EXP(-LN(2)/2))/(LN(2)/2)*AQ177*AT177*VLOOKUP('Données projet'!$B$10,Paramètres!$A$1:$I$89,3,0)*0.475*44/12</f>
        <v>2.1377708194795975E-7</v>
      </c>
      <c r="AX177" s="21">
        <f t="shared" si="166"/>
        <v>56.197363988502943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-4.5474735088646412E-13</v>
      </c>
      <c r="BE177" s="13">
        <f>BD177*VLOOKUP('Données projet'!$B$11,Paramètres!$A$1:$I$89,3,0)*VLOOKUP('Données projet'!$B$11,Paramètres!$A$1:$I$89,5,0)</f>
        <v>-4.3983163777738812E-13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366.51581861366333</v>
      </c>
      <c r="BJ177" s="59">
        <f t="shared" si="146"/>
        <v>225.01415116995503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117.45416645169729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117.45416645169729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204.00000000000017</v>
      </c>
      <c r="BZ177" s="13">
        <f>BY177*VLOOKUP('Données projet'!$B$12,Paramètres!$A$1:$I$89,3,0)*VLOOKUP('Données projet'!$B$12,Paramètres!$A$1:$I$89,5,0)</f>
        <v>133.66080000000011</v>
      </c>
      <c r="CA177" s="13">
        <f t="shared" si="170"/>
        <v>34.840890682716783</v>
      </c>
      <c r="CB177" s="20">
        <f t="shared" si="171"/>
        <v>293.4737779390652</v>
      </c>
      <c r="CC177" s="59">
        <f t="shared" si="119"/>
        <v>586.80711127239852</v>
      </c>
      <c r="CD177" s="59">
        <f ca="1">AVERAGE(OFFSET($CC$3,0,0,'Données projet'!$E$12+1,1))-AVERAGE(OFFSET($H$3,0,0,'Données projet'!$E$12+1,1))</f>
        <v>230.58262378842818</v>
      </c>
      <c r="CE177" s="59">
        <f t="shared" si="148"/>
        <v>235.68746142880792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0.36180280277833443</v>
      </c>
      <c r="CL177" s="21">
        <f>EXP(-LN(2)/25)*CL176+(1-EXP(-LN(2)/25))/(LN(2)/25)*Calculateur!CG177*Calculateur!CI177*VLOOKUP('Données projet'!$B$12,Paramètres!$A$1:$I$89,3,0)*0.475*44/12</f>
        <v>1.0507196748240504</v>
      </c>
      <c r="CM177" s="21">
        <f>EXP(-LN(2)/2)*CM176+(1-EXP(-LN(2)/2))/(LN(2)/2)*CG177*CJ177*VLOOKUP('Données projet'!$B$12,Paramètres!$A$1:$I$89,3,0)*0.475*44/12</f>
        <v>6.7690931861827573E-13</v>
      </c>
      <c r="CN177" s="22">
        <f t="shared" si="172"/>
        <v>1.4125224776030618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1.7053025658242404E-13</v>
      </c>
      <c r="CU177" s="17">
        <f>CT177*VLOOKUP('Données projet'!$B$13,Paramètres!$A$1:$I$89,3,0)*VLOOKUP('Données projet'!$B$13,Paramètres!$A$1:$I$89,5,0)</f>
        <v>1.3301360013429075E-13</v>
      </c>
      <c r="CV177" s="13">
        <f t="shared" si="173"/>
        <v>1.9329766731057041E-12</v>
      </c>
      <c r="CW177" s="20">
        <f t="shared" si="174"/>
        <v>3.5982663925596575E-12</v>
      </c>
      <c r="CX177" s="59">
        <f t="shared" si="122"/>
        <v>293.3333333333369</v>
      </c>
      <c r="CY177" s="59">
        <f ca="1">AVERAGE(OFFSET($CX$3,0,0,'Données projet'!$E$13+1,1))-AVERAGE(OFFSET($H$3,0,0,'Données projet'!$E$13+1,1))</f>
        <v>288.80569134263209</v>
      </c>
      <c r="CZ177" s="59">
        <f t="shared" si="150"/>
        <v>283.48738729114024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10.141705608300569</v>
      </c>
      <c r="DG177" s="21">
        <f>EXP(-LN(2)/25)*DG176+(1-EXP(-LN(2)/25))/(LN(2)/25)*Calculateur!DB177*Calculateur!DD177*VLOOKUP('Données projet'!$B$13,Paramètres!$A$1:$I$89,3,0)*0.475*44/12</f>
        <v>3.7112408716636072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13.852946479964176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266.99999999999983</v>
      </c>
      <c r="DP177" s="17">
        <f>DO177*VLOOKUP('Données projet'!$B$14,Paramètres!$A$1:$I$89,3,0)*VLOOKUP('Données projet'!$B$14,Paramètres!$A$1:$I$89,5,0)</f>
        <v>212.42519999999985</v>
      </c>
      <c r="DQ177" s="13">
        <f t="shared" si="176"/>
        <v>52.465198231787184</v>
      </c>
      <c r="DR177" s="20">
        <f t="shared" si="177"/>
        <v>461.35077692036231</v>
      </c>
      <c r="DS177" s="59">
        <f t="shared" si="125"/>
        <v>754.68411025369562</v>
      </c>
      <c r="DT177" s="59">
        <f ca="1">AVERAGE(OFFSET($DS$3,0,0,'Données projet'!$E$14+1,1))-AVERAGE(OFFSET($H$3,0,0,'Données projet'!$E$14+1,1))</f>
        <v>299.10536994156814</v>
      </c>
      <c r="DU177" s="59">
        <f t="shared" si="152"/>
        <v>292.57799203101769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4.4748764412003341</v>
      </c>
      <c r="EB177" s="21">
        <f>EXP(-LN(2)/25)*EB176+(1-EXP(-LN(2)/25))/(LN(2)/25)*Calculateur!DW177*Calculateur!DY177*VLOOKUP('Données projet'!$B$14,Paramètres!$A$1:$I$89,3,0)*0.475*44/12</f>
        <v>0.61477460321086108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5.0896510444111955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5.1431925385259092E-13</v>
      </c>
      <c r="P178" s="13">
        <f t="shared" si="141"/>
        <v>6.3855359115685756E-12</v>
      </c>
      <c r="Q178" s="20">
        <f t="shared" si="162"/>
        <v>1.2017247746441865E-11</v>
      </c>
      <c r="R178" s="59">
        <f t="shared" si="109"/>
        <v>293.33333333334531</v>
      </c>
      <c r="S178" s="59">
        <f ca="1">AVERAGE(OFFSET($R$3,0,0,'Données projet'!$E$9+1,1))-AVERAGE(OFFSET($H$3,0,0,'Données projet'!$E$9+1,1))</f>
        <v>384.05928630855732</v>
      </c>
      <c r="T178" s="59">
        <f t="shared" si="142"/>
        <v>279.93992813630513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71.535626839549394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71.535626839549394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1.9895196601282805E-13</v>
      </c>
      <c r="AJ178" s="13">
        <f>AI178*VLOOKUP('Données projet'!$B$10,Paramètres!$A$1:$I$89,3,0)*VLOOKUP('Données projet'!$B$10,Paramètres!$A$1:$I$89,5,0)</f>
        <v>1.707007868390065E-13</v>
      </c>
      <c r="AK178" s="13">
        <f t="shared" si="164"/>
        <v>2.4096578055149408E-12</v>
      </c>
      <c r="AL178" s="20">
        <f t="shared" si="165"/>
        <v>4.4941245483497909E-12</v>
      </c>
      <c r="AM178" s="59">
        <f t="shared" si="113"/>
        <v>293.33333333333781</v>
      </c>
      <c r="AN178" s="59">
        <f ca="1">AVERAGE(OFFSET($AM$3,0,0,'Données projet'!$E$10+1,1))-AVERAGE(OFFSET($H$3,0,0,'Données projet'!$E$10+1,1))</f>
        <v>335.02113791949211</v>
      </c>
      <c r="AO178" s="59">
        <f t="shared" si="144"/>
        <v>222.06886429435099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38.155084385611019</v>
      </c>
      <c r="AV178" s="21">
        <f>EXP(-LN(2)/25)*AV177+(1-EXP(-LN(2)/25))/(LN(2)/25)*Calculateur!AQ178*Calculateur!AS178*VLOOKUP('Données projet'!$B$10,Paramètres!$A$1:$I$89,3,0)*0.475*44/12</f>
        <v>16.80661795007773</v>
      </c>
      <c r="AW178" s="21">
        <f>EXP(-LN(2)/2)*AW177+(1-EXP(-LN(2)/2))/(LN(2)/2)*AQ178*AT178*VLOOKUP('Données projet'!$B$10,Paramètres!$A$1:$I$89,3,0)*0.475*44/12</f>
        <v>1.5116322430767461E-7</v>
      </c>
      <c r="AX178" s="21">
        <f t="shared" si="166"/>
        <v>54.961702486851976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-4.5474735088646412E-13</v>
      </c>
      <c r="BE178" s="13">
        <f>BD178*VLOOKUP('Données projet'!$B$11,Paramètres!$A$1:$I$89,3,0)*VLOOKUP('Données projet'!$B$11,Paramètres!$A$1:$I$89,5,0)</f>
        <v>-4.3983163777738812E-13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366.51581861366333</v>
      </c>
      <c r="BJ178" s="59">
        <f t="shared" si="146"/>
        <v>225.01415116995503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115.15096188754718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115.15096188754718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204.00000000000017</v>
      </c>
      <c r="BZ178" s="13">
        <f>BY178*VLOOKUP('Données projet'!$B$12,Paramètres!$A$1:$I$89,3,0)*VLOOKUP('Données projet'!$B$12,Paramètres!$A$1:$I$89,5,0)</f>
        <v>133.66080000000011</v>
      </c>
      <c r="CA178" s="13">
        <f t="shared" si="170"/>
        <v>34.840890682716783</v>
      </c>
      <c r="CB178" s="20">
        <f t="shared" si="171"/>
        <v>293.4737779390652</v>
      </c>
      <c r="CC178" s="59">
        <f t="shared" si="119"/>
        <v>586.80711127239852</v>
      </c>
      <c r="CD178" s="59">
        <f ca="1">AVERAGE(OFFSET($CC$3,0,0,'Données projet'!$E$12+1,1))-AVERAGE(OFFSET($H$3,0,0,'Données projet'!$E$12+1,1))</f>
        <v>230.58262378842818</v>
      </c>
      <c r="CE178" s="59">
        <f t="shared" si="148"/>
        <v>235.68746142880792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0.35470807049377084</v>
      </c>
      <c r="CL178" s="21">
        <f>EXP(-LN(2)/25)*CL177+(1-EXP(-LN(2)/25))/(LN(2)/25)*Calculateur!CG178*Calculateur!CI178*VLOOKUP('Données projet'!$B$12,Paramètres!$A$1:$I$89,3,0)*0.475*44/12</f>
        <v>1.0219876900610405</v>
      </c>
      <c r="CM178" s="21">
        <f>EXP(-LN(2)/2)*CM177+(1-EXP(-LN(2)/2))/(LN(2)/2)*CG178*CJ178*VLOOKUP('Données projet'!$B$12,Paramètres!$A$1:$I$89,3,0)*0.475*44/12</f>
        <v>4.7864716944334807E-13</v>
      </c>
      <c r="CN178" s="22">
        <f t="shared" si="172"/>
        <v>1.3766957605552901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1.7053025658242404E-13</v>
      </c>
      <c r="CU178" s="17">
        <f>CT178*VLOOKUP('Données projet'!$B$13,Paramètres!$A$1:$I$89,3,0)*VLOOKUP('Données projet'!$B$13,Paramètres!$A$1:$I$89,5,0)</f>
        <v>1.3301360013429075E-13</v>
      </c>
      <c r="CV178" s="13">
        <f t="shared" si="173"/>
        <v>1.9329766731057041E-12</v>
      </c>
      <c r="CW178" s="20">
        <f t="shared" si="174"/>
        <v>3.5982663925596575E-12</v>
      </c>
      <c r="CX178" s="59">
        <f t="shared" si="122"/>
        <v>293.3333333333369</v>
      </c>
      <c r="CY178" s="59">
        <f ca="1">AVERAGE(OFFSET($CX$3,0,0,'Données projet'!$E$13+1,1))-AVERAGE(OFFSET($H$3,0,0,'Données projet'!$E$13+1,1))</f>
        <v>288.80569134263209</v>
      </c>
      <c r="CZ178" s="59">
        <f t="shared" si="150"/>
        <v>283.48738729114024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9.9428329471514161</v>
      </c>
      <c r="DG178" s="21">
        <f>EXP(-LN(2)/25)*DG177+(1-EXP(-LN(2)/25))/(LN(2)/25)*Calculateur!DB178*Calculateur!DD178*VLOOKUP('Données projet'!$B$13,Paramètres!$A$1:$I$89,3,0)*0.475*44/12</f>
        <v>3.6097567948622906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13.552589742013707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266.99999999999983</v>
      </c>
      <c r="DP178" s="17">
        <f>DO178*VLOOKUP('Données projet'!$B$14,Paramètres!$A$1:$I$89,3,0)*VLOOKUP('Données projet'!$B$14,Paramètres!$A$1:$I$89,5,0)</f>
        <v>212.42519999999985</v>
      </c>
      <c r="DQ178" s="13">
        <f t="shared" si="176"/>
        <v>52.465198231787184</v>
      </c>
      <c r="DR178" s="20">
        <f t="shared" si="177"/>
        <v>461.35077692036231</v>
      </c>
      <c r="DS178" s="59">
        <f t="shared" si="125"/>
        <v>754.68411025369562</v>
      </c>
      <c r="DT178" s="59">
        <f ca="1">AVERAGE(OFFSET($DS$3,0,0,'Données projet'!$E$14+1,1))-AVERAGE(OFFSET($H$3,0,0,'Données projet'!$E$14+1,1))</f>
        <v>299.10536994156814</v>
      </c>
      <c r="DU178" s="59">
        <f t="shared" si="152"/>
        <v>292.57799203101769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4.387126843593518</v>
      </c>
      <c r="EB178" s="21">
        <f>EXP(-LN(2)/25)*EB177+(1-EXP(-LN(2)/25))/(LN(2)/25)*Calculateur!DW178*Calculateur!DY178*VLOOKUP('Données projet'!$B$14,Paramètres!$A$1:$I$89,3,0)*0.475*44/12</f>
        <v>0.59796355935646883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4.9850904029499867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5.1431925385259092E-13</v>
      </c>
      <c r="P179" s="13">
        <f t="shared" si="141"/>
        <v>6.3855359115685756E-12</v>
      </c>
      <c r="Q179" s="20">
        <f t="shared" si="162"/>
        <v>1.2017247746441865E-11</v>
      </c>
      <c r="R179" s="59">
        <f t="shared" si="109"/>
        <v>293.33333333334531</v>
      </c>
      <c r="S179" s="59">
        <f ca="1">AVERAGE(OFFSET($R$3,0,0,'Données projet'!$E$9+1,1))-AVERAGE(OFFSET($H$3,0,0,'Données projet'!$E$9+1,1))</f>
        <v>384.05928630855732</v>
      </c>
      <c r="T179" s="59">
        <f t="shared" si="142"/>
        <v>279.93992813630513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70.132856829649853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70.132856829649853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1.9895196601282805E-13</v>
      </c>
      <c r="AJ179" s="13">
        <f>AI179*VLOOKUP('Données projet'!$B$10,Paramètres!$A$1:$I$89,3,0)*VLOOKUP('Données projet'!$B$10,Paramètres!$A$1:$I$89,5,0)</f>
        <v>1.707007868390065E-13</v>
      </c>
      <c r="AK179" s="13">
        <f t="shared" si="164"/>
        <v>2.4096578055149408E-12</v>
      </c>
      <c r="AL179" s="20">
        <f t="shared" si="165"/>
        <v>4.4941245483497909E-12</v>
      </c>
      <c r="AM179" s="59">
        <f t="shared" si="113"/>
        <v>293.33333333333781</v>
      </c>
      <c r="AN179" s="59">
        <f ca="1">AVERAGE(OFFSET($AM$3,0,0,'Données projet'!$E$10+1,1))-AVERAGE(OFFSET($H$3,0,0,'Données projet'!$E$10+1,1))</f>
        <v>335.02113791949211</v>
      </c>
      <c r="AO179" s="59">
        <f t="shared" si="144"/>
        <v>222.06886429435099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37.406886453112712</v>
      </c>
      <c r="AV179" s="21">
        <f>EXP(-LN(2)/25)*AV178+(1-EXP(-LN(2)/25))/(LN(2)/25)*Calculateur!AQ179*Calculateur!AS179*VLOOKUP('Données projet'!$B$10,Paramètres!$A$1:$I$89,3,0)*0.475*44/12</f>
        <v>16.347040098411227</v>
      </c>
      <c r="AW179" s="21">
        <f>EXP(-LN(2)/2)*AW178+(1-EXP(-LN(2)/2))/(LN(2)/2)*AQ179*AT179*VLOOKUP('Données projet'!$B$10,Paramètres!$A$1:$I$89,3,0)*0.475*44/12</f>
        <v>1.0688854097397988E-7</v>
      </c>
      <c r="AX179" s="21">
        <f t="shared" si="166"/>
        <v>53.753926658412482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-4.5474735088646412E-13</v>
      </c>
      <c r="BE179" s="13">
        <f>BD179*VLOOKUP('Données projet'!$B$11,Paramètres!$A$1:$I$89,3,0)*VLOOKUP('Données projet'!$B$11,Paramètres!$A$1:$I$89,5,0)</f>
        <v>-4.3983163777738812E-13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366.51581861366333</v>
      </c>
      <c r="BJ179" s="59">
        <f t="shared" si="146"/>
        <v>225.01415116995503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112.89292176008399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112.89292176008399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204.00000000000017</v>
      </c>
      <c r="BZ179" s="13">
        <f>BY179*VLOOKUP('Données projet'!$B$12,Paramètres!$A$1:$I$89,3,0)*VLOOKUP('Données projet'!$B$12,Paramètres!$A$1:$I$89,5,0)</f>
        <v>133.66080000000011</v>
      </c>
      <c r="CA179" s="13">
        <f t="shared" si="170"/>
        <v>34.840890682716783</v>
      </c>
      <c r="CB179" s="20">
        <f t="shared" si="171"/>
        <v>293.4737779390652</v>
      </c>
      <c r="CC179" s="59">
        <f t="shared" si="119"/>
        <v>586.80711127239852</v>
      </c>
      <c r="CD179" s="59">
        <f ca="1">AVERAGE(OFFSET($CC$3,0,0,'Données projet'!$E$12+1,1))-AVERAGE(OFFSET($H$3,0,0,'Données projet'!$E$12+1,1))</f>
        <v>230.58262378842818</v>
      </c>
      <c r="CE179" s="59">
        <f t="shared" si="148"/>
        <v>235.68746142880792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0.34775246158194817</v>
      </c>
      <c r="CL179" s="21">
        <f>EXP(-LN(2)/25)*CL178+(1-EXP(-LN(2)/25))/(LN(2)/25)*Calculateur!CG179*Calculateur!CI179*VLOOKUP('Données projet'!$B$12,Paramètres!$A$1:$I$89,3,0)*0.475*44/12</f>
        <v>0.99404138293232447</v>
      </c>
      <c r="CM179" s="21">
        <f>EXP(-LN(2)/2)*CM178+(1-EXP(-LN(2)/2))/(LN(2)/2)*CG179*CJ179*VLOOKUP('Données projet'!$B$12,Paramètres!$A$1:$I$89,3,0)*0.475*44/12</f>
        <v>3.3845465930913786E-13</v>
      </c>
      <c r="CN179" s="22">
        <f t="shared" si="172"/>
        <v>1.3417938445146111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1.7053025658242404E-13</v>
      </c>
      <c r="CU179" s="17">
        <f>CT179*VLOOKUP('Données projet'!$B$13,Paramètres!$A$1:$I$89,3,0)*VLOOKUP('Données projet'!$B$13,Paramètres!$A$1:$I$89,5,0)</f>
        <v>1.3301360013429075E-13</v>
      </c>
      <c r="CV179" s="13">
        <f t="shared" si="173"/>
        <v>1.9329766731057041E-12</v>
      </c>
      <c r="CW179" s="20">
        <f t="shared" si="174"/>
        <v>3.5982663925596575E-12</v>
      </c>
      <c r="CX179" s="59">
        <f t="shared" si="122"/>
        <v>293.3333333333369</v>
      </c>
      <c r="CY179" s="59">
        <f ca="1">AVERAGE(OFFSET($CX$3,0,0,'Données projet'!$E$13+1,1))-AVERAGE(OFFSET($H$3,0,0,'Données projet'!$E$13+1,1))</f>
        <v>288.80569134263209</v>
      </c>
      <c r="CZ179" s="59">
        <f t="shared" si="150"/>
        <v>283.48738729114024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9.7478600575870527</v>
      </c>
      <c r="DG179" s="21">
        <f>EXP(-LN(2)/25)*DG178+(1-EXP(-LN(2)/25))/(LN(2)/25)*Calculateur!DB179*Calculateur!DD179*VLOOKUP('Données projet'!$B$13,Paramètres!$A$1:$I$89,3,0)*0.475*44/12</f>
        <v>3.5110478054779217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13.258907863064975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266.99999999999983</v>
      </c>
      <c r="DP179" s="17">
        <f>DO179*VLOOKUP('Données projet'!$B$14,Paramètres!$A$1:$I$89,3,0)*VLOOKUP('Données projet'!$B$14,Paramètres!$A$1:$I$89,5,0)</f>
        <v>212.42519999999985</v>
      </c>
      <c r="DQ179" s="13">
        <f t="shared" si="176"/>
        <v>52.465198231787184</v>
      </c>
      <c r="DR179" s="20">
        <f t="shared" si="177"/>
        <v>461.35077692036231</v>
      </c>
      <c r="DS179" s="59">
        <f t="shared" si="125"/>
        <v>754.68411025369562</v>
      </c>
      <c r="DT179" s="59">
        <f ca="1">AVERAGE(OFFSET($DS$3,0,0,'Données projet'!$E$14+1,1))-AVERAGE(OFFSET($H$3,0,0,'Données projet'!$E$14+1,1))</f>
        <v>299.10536994156814</v>
      </c>
      <c r="DU179" s="59">
        <f t="shared" si="152"/>
        <v>292.57799203101769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4.3010979620738023</v>
      </c>
      <c r="EB179" s="21">
        <f>EXP(-LN(2)/25)*EB178+(1-EXP(-LN(2)/25))/(LN(2)/25)*Calculateur!DW179*Calculateur!DY179*VLOOKUP('Données projet'!$B$14,Paramètres!$A$1:$I$89,3,0)*0.475*44/12</f>
        <v>0.58161221438032928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4.8827101764541316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5.1431925385259092E-13</v>
      </c>
      <c r="P180" s="13">
        <f t="shared" si="141"/>
        <v>6.3855359115685756E-12</v>
      </c>
      <c r="Q180" s="20">
        <f t="shared" si="162"/>
        <v>1.2017247746441865E-11</v>
      </c>
      <c r="R180" s="59">
        <f t="shared" si="109"/>
        <v>293.33333333334531</v>
      </c>
      <c r="S180" s="59">
        <f ca="1">AVERAGE(OFFSET($R$3,0,0,'Données projet'!$E$9+1,1))-AVERAGE(OFFSET($H$3,0,0,'Données projet'!$E$9+1,1))</f>
        <v>384.05928630855732</v>
      </c>
      <c r="T180" s="59">
        <f t="shared" si="142"/>
        <v>279.93992813630513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68.757594284039229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68.757594284039229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1.9895196601282805E-13</v>
      </c>
      <c r="AJ180" s="13">
        <f>AI180*VLOOKUP('Données projet'!$B$10,Paramètres!$A$1:$I$89,3,0)*VLOOKUP('Données projet'!$B$10,Paramètres!$A$1:$I$89,5,0)</f>
        <v>1.707007868390065E-13</v>
      </c>
      <c r="AK180" s="13">
        <f t="shared" si="164"/>
        <v>2.4096578055149408E-12</v>
      </c>
      <c r="AL180" s="20">
        <f t="shared" si="165"/>
        <v>4.4941245483497909E-12</v>
      </c>
      <c r="AM180" s="59">
        <f t="shared" si="113"/>
        <v>293.33333333333781</v>
      </c>
      <c r="AN180" s="59">
        <f ca="1">AVERAGE(OFFSET($AM$3,0,0,'Données projet'!$E$10+1,1))-AVERAGE(OFFSET($H$3,0,0,'Données projet'!$E$10+1,1))</f>
        <v>335.02113791949211</v>
      </c>
      <c r="AO180" s="59">
        <f t="shared" si="144"/>
        <v>222.06886429435099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36.673360225715022</v>
      </c>
      <c r="AV180" s="21">
        <f>EXP(-LN(2)/25)*AV179+(1-EXP(-LN(2)/25))/(LN(2)/25)*Calculateur!AQ180*Calculateur!AS180*VLOOKUP('Données projet'!$B$10,Paramètres!$A$1:$I$89,3,0)*0.475*44/12</f>
        <v>15.900029427266695</v>
      </c>
      <c r="AW180" s="21">
        <f>EXP(-LN(2)/2)*AW179+(1-EXP(-LN(2)/2))/(LN(2)/2)*AQ180*AT180*VLOOKUP('Données projet'!$B$10,Paramètres!$A$1:$I$89,3,0)*0.475*44/12</f>
        <v>7.5581612153837307E-8</v>
      </c>
      <c r="AX180" s="21">
        <f t="shared" si="166"/>
        <v>52.573389728563328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-4.5474735088646412E-13</v>
      </c>
      <c r="BE180" s="13">
        <f>BD180*VLOOKUP('Données projet'!$B$11,Paramètres!$A$1:$I$89,3,0)*VLOOKUP('Données projet'!$B$11,Paramètres!$A$1:$I$89,5,0)</f>
        <v>-4.3983163777738812E-13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366.51581861366333</v>
      </c>
      <c r="BJ180" s="59">
        <f t="shared" si="146"/>
        <v>225.01415116995503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110.67916042225187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110.67916042225187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204.00000000000017</v>
      </c>
      <c r="BZ180" s="13">
        <f>BY180*VLOOKUP('Données projet'!$B$12,Paramètres!$A$1:$I$89,3,0)*VLOOKUP('Données projet'!$B$12,Paramètres!$A$1:$I$89,5,0)</f>
        <v>133.66080000000011</v>
      </c>
      <c r="CA180" s="13">
        <f t="shared" si="170"/>
        <v>34.840890682716783</v>
      </c>
      <c r="CB180" s="20">
        <f t="shared" si="171"/>
        <v>293.4737779390652</v>
      </c>
      <c r="CC180" s="59">
        <f t="shared" si="119"/>
        <v>586.80711127239852</v>
      </c>
      <c r="CD180" s="59">
        <f ca="1">AVERAGE(OFFSET($CC$3,0,0,'Données projet'!$E$12+1,1))-AVERAGE(OFFSET($H$3,0,0,'Données projet'!$E$12+1,1))</f>
        <v>230.58262378842818</v>
      </c>
      <c r="CE180" s="59">
        <f t="shared" si="148"/>
        <v>235.68746142880792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0.34093324791838381</v>
      </c>
      <c r="CL180" s="21">
        <f>EXP(-LN(2)/25)*CL179+(1-EXP(-LN(2)/25))/(LN(2)/25)*Calculateur!CG180*Calculateur!CI180*VLOOKUP('Données projet'!$B$12,Paramètres!$A$1:$I$89,3,0)*0.475*44/12</f>
        <v>0.96685926904167563</v>
      </c>
      <c r="CM180" s="21">
        <f>EXP(-LN(2)/2)*CM179+(1-EXP(-LN(2)/2))/(LN(2)/2)*CG180*CJ180*VLOOKUP('Données projet'!$B$12,Paramètres!$A$1:$I$89,3,0)*0.475*44/12</f>
        <v>2.3932358472167403E-13</v>
      </c>
      <c r="CN180" s="22">
        <f t="shared" si="172"/>
        <v>1.3077925169602989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1.7053025658242404E-13</v>
      </c>
      <c r="CU180" s="17">
        <f>CT180*VLOOKUP('Données projet'!$B$13,Paramètres!$A$1:$I$89,3,0)*VLOOKUP('Données projet'!$B$13,Paramètres!$A$1:$I$89,5,0)</f>
        <v>1.3301360013429075E-13</v>
      </c>
      <c r="CV180" s="13">
        <f t="shared" si="173"/>
        <v>1.9329766731057041E-12</v>
      </c>
      <c r="CW180" s="20">
        <f t="shared" si="174"/>
        <v>3.5982663925596575E-12</v>
      </c>
      <c r="CX180" s="59">
        <f t="shared" si="122"/>
        <v>293.3333333333369</v>
      </c>
      <c r="CY180" s="59">
        <f ca="1">AVERAGE(OFFSET($CX$3,0,0,'Données projet'!$E$13+1,1))-AVERAGE(OFFSET($H$3,0,0,'Données projet'!$E$13+1,1))</f>
        <v>288.80569134263209</v>
      </c>
      <c r="CZ180" s="59">
        <f t="shared" si="150"/>
        <v>283.48738729114024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9.5567104674653258</v>
      </c>
      <c r="DG180" s="21">
        <f>EXP(-LN(2)/25)*DG179+(1-EXP(-LN(2)/25))/(LN(2)/25)*Calculateur!DB180*Calculateur!DD180*VLOOKUP('Données projet'!$B$13,Paramètres!$A$1:$I$89,3,0)*0.475*44/12</f>
        <v>3.4150380185991485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12.971748486064474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266.99999999999983</v>
      </c>
      <c r="DP180" s="17">
        <f>DO180*VLOOKUP('Données projet'!$B$14,Paramètres!$A$1:$I$89,3,0)*VLOOKUP('Données projet'!$B$14,Paramètres!$A$1:$I$89,5,0)</f>
        <v>212.42519999999985</v>
      </c>
      <c r="DQ180" s="13">
        <f t="shared" si="176"/>
        <v>52.465198231787184</v>
      </c>
      <c r="DR180" s="20">
        <f t="shared" si="177"/>
        <v>461.35077692036231</v>
      </c>
      <c r="DS180" s="59">
        <f t="shared" si="125"/>
        <v>754.68411025369562</v>
      </c>
      <c r="DT180" s="59">
        <f ca="1">AVERAGE(OFFSET($DS$3,0,0,'Données projet'!$E$14+1,1))-AVERAGE(OFFSET($H$3,0,0,'Données projet'!$E$14+1,1))</f>
        <v>299.10536994156814</v>
      </c>
      <c r="DU180" s="59">
        <f t="shared" si="152"/>
        <v>292.57799203101769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4.2167560544482514</v>
      </c>
      <c r="EB180" s="21">
        <f>EXP(-LN(2)/25)*EB179+(1-EXP(-LN(2)/25))/(LN(2)/25)*Calculateur!DW180*Calculateur!DY180*VLOOKUP('Données projet'!$B$14,Paramètres!$A$1:$I$89,3,0)*0.475*44/12</f>
        <v>0.56570799779244207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4.7824640522406936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5.1431925385259092E-13</v>
      </c>
      <c r="P181" s="13">
        <f t="shared" si="141"/>
        <v>6.3855359115685756E-12</v>
      </c>
      <c r="Q181" s="20">
        <f t="shared" si="162"/>
        <v>1.2017247746441865E-11</v>
      </c>
      <c r="R181" s="59">
        <f t="shared" si="109"/>
        <v>293.33333333334531</v>
      </c>
      <c r="S181" s="59">
        <f ca="1">AVERAGE(OFFSET($R$3,0,0,'Données projet'!$E$9+1,1))-AVERAGE(OFFSET($H$3,0,0,'Données projet'!$E$9+1,1))</f>
        <v>384.05928630855732</v>
      </c>
      <c r="T181" s="59">
        <f t="shared" si="142"/>
        <v>279.93992813630513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67.409299798120699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67.409299798120699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1.9895196601282805E-13</v>
      </c>
      <c r="AJ181" s="13">
        <f>AI181*VLOOKUP('Données projet'!$B$10,Paramètres!$A$1:$I$89,3,0)*VLOOKUP('Données projet'!$B$10,Paramètres!$A$1:$I$89,5,0)</f>
        <v>1.707007868390065E-13</v>
      </c>
      <c r="AK181" s="13">
        <f t="shared" si="164"/>
        <v>2.4096578055149408E-12</v>
      </c>
      <c r="AL181" s="20">
        <f t="shared" si="165"/>
        <v>4.4941245483497909E-12</v>
      </c>
      <c r="AM181" s="59">
        <f t="shared" si="113"/>
        <v>293.33333333333781</v>
      </c>
      <c r="AN181" s="59">
        <f ca="1">AVERAGE(OFFSET($AM$3,0,0,'Données projet'!$E$10+1,1))-AVERAGE(OFFSET($H$3,0,0,'Données projet'!$E$10+1,1))</f>
        <v>335.02113791949211</v>
      </c>
      <c r="AO181" s="59">
        <f t="shared" si="144"/>
        <v>222.06886429435099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35.95421800022978</v>
      </c>
      <c r="AV181" s="21">
        <f>EXP(-LN(2)/25)*AV180+(1-EXP(-LN(2)/25))/(LN(2)/25)*Calculateur!AQ181*Calculateur!AS181*VLOOKUP('Données projet'!$B$10,Paramètres!$A$1:$I$89,3,0)*0.475*44/12</f>
        <v>15.465242286431879</v>
      </c>
      <c r="AW181" s="21">
        <f>EXP(-LN(2)/2)*AW180+(1-EXP(-LN(2)/2))/(LN(2)/2)*AQ181*AT181*VLOOKUP('Données projet'!$B$10,Paramètres!$A$1:$I$89,3,0)*0.475*44/12</f>
        <v>5.3444270486989938E-8</v>
      </c>
      <c r="AX181" s="21">
        <f t="shared" si="166"/>
        <v>51.419460340105928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-4.5474735088646412E-13</v>
      </c>
      <c r="BE181" s="13">
        <f>BD181*VLOOKUP('Données projet'!$B$11,Paramètres!$A$1:$I$89,3,0)*VLOOKUP('Données projet'!$B$11,Paramètres!$A$1:$I$89,5,0)</f>
        <v>-4.3983163777738812E-13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366.51581861366333</v>
      </c>
      <c r="BJ181" s="59">
        <f t="shared" si="146"/>
        <v>225.01415116995503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108.50880959399355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108.50880959399355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204.00000000000017</v>
      </c>
      <c r="BZ181" s="13">
        <f>BY181*VLOOKUP('Données projet'!$B$12,Paramètres!$A$1:$I$89,3,0)*VLOOKUP('Données projet'!$B$12,Paramètres!$A$1:$I$89,5,0)</f>
        <v>133.66080000000011</v>
      </c>
      <c r="CA181" s="13">
        <f t="shared" si="170"/>
        <v>34.840890682716783</v>
      </c>
      <c r="CB181" s="20">
        <f t="shared" si="171"/>
        <v>293.4737779390652</v>
      </c>
      <c r="CC181" s="59">
        <f t="shared" si="119"/>
        <v>586.80711127239852</v>
      </c>
      <c r="CD181" s="59">
        <f ca="1">AVERAGE(OFFSET($CC$3,0,0,'Données projet'!$E$12+1,1))-AVERAGE(OFFSET($H$3,0,0,'Données projet'!$E$12+1,1))</f>
        <v>230.58262378842818</v>
      </c>
      <c r="CE181" s="59">
        <f t="shared" si="148"/>
        <v>235.68746142880792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0.33424775487545227</v>
      </c>
      <c r="CL181" s="21">
        <f>EXP(-LN(2)/25)*CL180+(1-EXP(-LN(2)/25))/(LN(2)/25)*Calculateur!CG181*Calculateur!CI181*VLOOKUP('Données projet'!$B$12,Paramètres!$A$1:$I$89,3,0)*0.475*44/12</f>
        <v>0.94042045148481179</v>
      </c>
      <c r="CM181" s="21">
        <f>EXP(-LN(2)/2)*CM180+(1-EXP(-LN(2)/2))/(LN(2)/2)*CG181*CJ181*VLOOKUP('Données projet'!$B$12,Paramètres!$A$1:$I$89,3,0)*0.475*44/12</f>
        <v>1.6922732965456893E-13</v>
      </c>
      <c r="CN181" s="22">
        <f t="shared" si="172"/>
        <v>1.2746682063604333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1.7053025658242404E-13</v>
      </c>
      <c r="CU181" s="17">
        <f>CT181*VLOOKUP('Données projet'!$B$13,Paramètres!$A$1:$I$89,3,0)*VLOOKUP('Données projet'!$B$13,Paramètres!$A$1:$I$89,5,0)</f>
        <v>1.3301360013429075E-13</v>
      </c>
      <c r="CV181" s="13">
        <f t="shared" si="173"/>
        <v>1.9329766731057041E-12</v>
      </c>
      <c r="CW181" s="20">
        <f t="shared" si="174"/>
        <v>3.5982663925596575E-12</v>
      </c>
      <c r="CX181" s="59">
        <f t="shared" si="122"/>
        <v>293.3333333333369</v>
      </c>
      <c r="CY181" s="59">
        <f ca="1">AVERAGE(OFFSET($CX$3,0,0,'Données projet'!$E$13+1,1))-AVERAGE(OFFSET($H$3,0,0,'Données projet'!$E$13+1,1))</f>
        <v>288.80569134263209</v>
      </c>
      <c r="CZ181" s="59">
        <f t="shared" si="150"/>
        <v>283.48738729114024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9.3693092042161474</v>
      </c>
      <c r="DG181" s="21">
        <f>EXP(-LN(2)/25)*DG180+(1-EXP(-LN(2)/25))/(LN(2)/25)*Calculateur!DB181*Calculateur!DD181*VLOOKUP('Données projet'!$B$13,Paramètres!$A$1:$I$89,3,0)*0.475*44/12</f>
        <v>3.3216536243915105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12.690962828607658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266.99999999999983</v>
      </c>
      <c r="DP181" s="17">
        <f>DO181*VLOOKUP('Données projet'!$B$14,Paramètres!$A$1:$I$89,3,0)*VLOOKUP('Données projet'!$B$14,Paramètres!$A$1:$I$89,5,0)</f>
        <v>212.42519999999985</v>
      </c>
      <c r="DQ181" s="13">
        <f t="shared" si="176"/>
        <v>52.465198231787184</v>
      </c>
      <c r="DR181" s="20">
        <f t="shared" si="177"/>
        <v>461.35077692036231</v>
      </c>
      <c r="DS181" s="59">
        <f t="shared" si="125"/>
        <v>754.68411025369562</v>
      </c>
      <c r="DT181" s="59">
        <f ca="1">AVERAGE(OFFSET($DS$3,0,0,'Données projet'!$E$14+1,1))-AVERAGE(OFFSET($H$3,0,0,'Données projet'!$E$14+1,1))</f>
        <v>299.10536994156814</v>
      </c>
      <c r="DU181" s="59">
        <f t="shared" si="152"/>
        <v>292.57799203101769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4.1340680401877536</v>
      </c>
      <c r="EB181" s="21">
        <f>EXP(-LN(2)/25)*EB180+(1-EXP(-LN(2)/25))/(LN(2)/25)*Calculateur!DW181*Calculateur!DY181*VLOOKUP('Données projet'!$B$14,Paramètres!$A$1:$I$89,3,0)*0.475*44/12</f>
        <v>0.55023868284351707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4.6843067230312707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5.1431925385259092E-13</v>
      </c>
      <c r="P182" s="13">
        <f t="shared" si="141"/>
        <v>6.3855359115685756E-12</v>
      </c>
      <c r="Q182" s="20">
        <f t="shared" si="162"/>
        <v>1.2017247746441865E-11</v>
      </c>
      <c r="R182" s="59">
        <f t="shared" si="109"/>
        <v>293.33333333334531</v>
      </c>
      <c r="S182" s="59">
        <f ca="1">AVERAGE(OFFSET($R$3,0,0,'Données projet'!$E$9+1,1))-AVERAGE(OFFSET($H$3,0,0,'Données projet'!$E$9+1,1))</f>
        <v>384.05928630855732</v>
      </c>
      <c r="T182" s="59">
        <f t="shared" si="142"/>
        <v>279.93992813630513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66.087444544692602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66.087444544692602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1.9895196601282805E-13</v>
      </c>
      <c r="AJ182" s="13">
        <f>AI182*VLOOKUP('Données projet'!$B$10,Paramètres!$A$1:$I$89,3,0)*VLOOKUP('Données projet'!$B$10,Paramètres!$A$1:$I$89,5,0)</f>
        <v>1.707007868390065E-13</v>
      </c>
      <c r="AK182" s="13">
        <f t="shared" si="164"/>
        <v>2.4096578055149408E-12</v>
      </c>
      <c r="AL182" s="20">
        <f t="shared" si="165"/>
        <v>4.4941245483497909E-12</v>
      </c>
      <c r="AM182" s="59">
        <f t="shared" si="113"/>
        <v>293.33333333333781</v>
      </c>
      <c r="AN182" s="59">
        <f ca="1">AVERAGE(OFFSET($AM$3,0,0,'Données projet'!$E$10+1,1))-AVERAGE(OFFSET($H$3,0,0,'Données projet'!$E$10+1,1))</f>
        <v>335.02113791949211</v>
      </c>
      <c r="AO182" s="59">
        <f t="shared" si="144"/>
        <v>222.06886429435099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35.249177715152854</v>
      </c>
      <c r="AV182" s="21">
        <f>EXP(-LN(2)/25)*AV181+(1-EXP(-LN(2)/25))/(LN(2)/25)*Calculateur!AQ182*Calculateur!AS182*VLOOKUP('Données projet'!$B$10,Paramètres!$A$1:$I$89,3,0)*0.475*44/12</f>
        <v>15.042344422827654</v>
      </c>
      <c r="AW182" s="21">
        <f>EXP(-LN(2)/2)*AW181+(1-EXP(-LN(2)/2))/(LN(2)/2)*AQ182*AT182*VLOOKUP('Données projet'!$B$10,Paramètres!$A$1:$I$89,3,0)*0.475*44/12</f>
        <v>3.7790806076918653E-8</v>
      </c>
      <c r="AX182" s="21">
        <f t="shared" si="166"/>
        <v>50.291522175771313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-4.5474735088646412E-13</v>
      </c>
      <c r="BE182" s="13">
        <f>BD182*VLOOKUP('Données projet'!$B$11,Paramètres!$A$1:$I$89,3,0)*VLOOKUP('Données projet'!$B$11,Paramètres!$A$1:$I$89,5,0)</f>
        <v>-4.3983163777738812E-13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366.51581861366333</v>
      </c>
      <c r="BJ182" s="59">
        <f t="shared" si="146"/>
        <v>225.01415116995503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106.38101802169408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106.38101802169408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204.00000000000017</v>
      </c>
      <c r="BZ182" s="13">
        <f>BY182*VLOOKUP('Données projet'!$B$12,Paramètres!$A$1:$I$89,3,0)*VLOOKUP('Données projet'!$B$12,Paramètres!$A$1:$I$89,5,0)</f>
        <v>133.66080000000011</v>
      </c>
      <c r="CA182" s="13">
        <f t="shared" si="170"/>
        <v>34.840890682716783</v>
      </c>
      <c r="CB182" s="20">
        <f t="shared" si="171"/>
        <v>293.4737779390652</v>
      </c>
      <c r="CC182" s="59">
        <f t="shared" si="119"/>
        <v>586.80711127239852</v>
      </c>
      <c r="CD182" s="59">
        <f ca="1">AVERAGE(OFFSET($CC$3,0,0,'Données projet'!$E$12+1,1))-AVERAGE(OFFSET($H$3,0,0,'Données projet'!$E$12+1,1))</f>
        <v>230.58262378842818</v>
      </c>
      <c r="CE182" s="59">
        <f t="shared" si="148"/>
        <v>235.68746142880792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0.32769336027334456</v>
      </c>
      <c r="CL182" s="21">
        <f>EXP(-LN(2)/25)*CL181+(1-EXP(-LN(2)/25))/(LN(2)/25)*Calculateur!CG182*Calculateur!CI182*VLOOKUP('Données projet'!$B$12,Paramètres!$A$1:$I$89,3,0)*0.475*44/12</f>
        <v>0.91470460478439741</v>
      </c>
      <c r="CM182" s="21">
        <f>EXP(-LN(2)/2)*CM181+(1-EXP(-LN(2)/2))/(LN(2)/2)*CG182*CJ182*VLOOKUP('Données projet'!$B$12,Paramètres!$A$1:$I$89,3,0)*0.475*44/12</f>
        <v>1.1966179236083702E-13</v>
      </c>
      <c r="CN182" s="22">
        <f t="shared" si="172"/>
        <v>1.2423979650578616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1.7053025658242404E-13</v>
      </c>
      <c r="CU182" s="17">
        <f>CT182*VLOOKUP('Données projet'!$B$13,Paramètres!$A$1:$I$89,3,0)*VLOOKUP('Données projet'!$B$13,Paramètres!$A$1:$I$89,5,0)</f>
        <v>1.3301360013429075E-13</v>
      </c>
      <c r="CV182" s="13">
        <f t="shared" si="173"/>
        <v>1.9329766731057041E-12</v>
      </c>
      <c r="CW182" s="20">
        <f t="shared" si="174"/>
        <v>3.5982663925596575E-12</v>
      </c>
      <c r="CX182" s="59">
        <f t="shared" si="122"/>
        <v>293.3333333333369</v>
      </c>
      <c r="CY182" s="59">
        <f ca="1">AVERAGE(OFFSET($CX$3,0,0,'Données projet'!$E$13+1,1))-AVERAGE(OFFSET($H$3,0,0,'Données projet'!$E$13+1,1))</f>
        <v>288.80569134263209</v>
      </c>
      <c r="CZ182" s="59">
        <f t="shared" si="150"/>
        <v>283.48738729114024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9.185582765435802</v>
      </c>
      <c r="DG182" s="21">
        <f>EXP(-LN(2)/25)*DG181+(1-EXP(-LN(2)/25))/(LN(2)/25)*Calculateur!DB182*Calculateur!DD182*VLOOKUP('Données projet'!$B$13,Paramètres!$A$1:$I$89,3,0)*0.475*44/12</f>
        <v>3.2308228313543523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12.416405596790154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266.99999999999983</v>
      </c>
      <c r="DP182" s="17">
        <f>DO182*VLOOKUP('Données projet'!$B$14,Paramètres!$A$1:$I$89,3,0)*VLOOKUP('Données projet'!$B$14,Paramètres!$A$1:$I$89,5,0)</f>
        <v>212.42519999999985</v>
      </c>
      <c r="DQ182" s="13">
        <f t="shared" si="176"/>
        <v>52.465198231787184</v>
      </c>
      <c r="DR182" s="20">
        <f t="shared" si="177"/>
        <v>461.35077692036231</v>
      </c>
      <c r="DS182" s="59">
        <f t="shared" si="125"/>
        <v>754.68411025369562</v>
      </c>
      <c r="DT182" s="59">
        <f ca="1">AVERAGE(OFFSET($DS$3,0,0,'Données projet'!$E$14+1,1))-AVERAGE(OFFSET($H$3,0,0,'Données projet'!$E$14+1,1))</f>
        <v>299.10536994156814</v>
      </c>
      <c r="DU182" s="59">
        <f t="shared" si="152"/>
        <v>292.57799203101769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4.053001487452196</v>
      </c>
      <c r="EB182" s="21">
        <f>EXP(-LN(2)/25)*EB181+(1-EXP(-LN(2)/25))/(LN(2)/25)*Calculateur!DW182*Calculateur!DY182*VLOOKUP('Données projet'!$B$14,Paramètres!$A$1:$I$89,3,0)*0.475*44/12</f>
        <v>0.53519237712536638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4.588193864577562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5.1431925385259092E-13</v>
      </c>
      <c r="P183" s="13">
        <f t="shared" si="141"/>
        <v>6.3855359115685756E-12</v>
      </c>
      <c r="Q183" s="20">
        <f t="shared" si="162"/>
        <v>1.2017247746441865E-11</v>
      </c>
      <c r="R183" s="59">
        <f t="shared" si="109"/>
        <v>293.33333333334531</v>
      </c>
      <c r="S183" s="59">
        <f ca="1">AVERAGE(OFFSET($R$3,0,0,'Données projet'!$E$9+1,1))-AVERAGE(OFFSET($H$3,0,0,'Données projet'!$E$9+1,1))</f>
        <v>384.05928630855732</v>
      </c>
      <c r="T183" s="59">
        <f t="shared" si="142"/>
        <v>279.93992813630513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64.79151006653214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64.79151006653214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1.9895196601282805E-13</v>
      </c>
      <c r="AJ183" s="13">
        <f>AI183*VLOOKUP('Données projet'!$B$10,Paramètres!$A$1:$I$89,3,0)*VLOOKUP('Données projet'!$B$10,Paramètres!$A$1:$I$89,5,0)</f>
        <v>1.707007868390065E-13</v>
      </c>
      <c r="AK183" s="13">
        <f t="shared" si="164"/>
        <v>2.4096578055149408E-12</v>
      </c>
      <c r="AL183" s="20">
        <f t="shared" si="165"/>
        <v>4.4941245483497909E-12</v>
      </c>
      <c r="AM183" s="59">
        <f t="shared" si="113"/>
        <v>293.33333333333781</v>
      </c>
      <c r="AN183" s="59">
        <f ca="1">AVERAGE(OFFSET($AM$3,0,0,'Données projet'!$E$10+1,1))-AVERAGE(OFFSET($H$3,0,0,'Données projet'!$E$10+1,1))</f>
        <v>335.02113791949211</v>
      </c>
      <c r="AO183" s="59">
        <f t="shared" si="144"/>
        <v>222.06886429435099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34.557962840034179</v>
      </c>
      <c r="AV183" s="21">
        <f>EXP(-LN(2)/25)*AV182+(1-EXP(-LN(2)/25))/(LN(2)/25)*Calculateur!AQ183*Calculateur!AS183*VLOOKUP('Données projet'!$B$10,Paramètres!$A$1:$I$89,3,0)*0.475*44/12</f>
        <v>14.631010723542918</v>
      </c>
      <c r="AW183" s="21">
        <f>EXP(-LN(2)/2)*AW182+(1-EXP(-LN(2)/2))/(LN(2)/2)*AQ183*AT183*VLOOKUP('Données projet'!$B$10,Paramètres!$A$1:$I$89,3,0)*0.475*44/12</f>
        <v>2.6722135243494969E-8</v>
      </c>
      <c r="AX183" s="21">
        <f t="shared" si="166"/>
        <v>49.188973590299227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-4.5474735088646412E-13</v>
      </c>
      <c r="BE183" s="13">
        <f>BD183*VLOOKUP('Données projet'!$B$11,Paramètres!$A$1:$I$89,3,0)*VLOOKUP('Données projet'!$B$11,Paramètres!$A$1:$I$89,5,0)</f>
        <v>-4.3983163777738812E-13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366.51581861366333</v>
      </c>
      <c r="BJ183" s="59">
        <f t="shared" si="146"/>
        <v>225.01415116995503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104.29495114430269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104.29495114430269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204.00000000000017</v>
      </c>
      <c r="BZ183" s="13">
        <f>BY183*VLOOKUP('Données projet'!$B$12,Paramètres!$A$1:$I$89,3,0)*VLOOKUP('Données projet'!$B$12,Paramètres!$A$1:$I$89,5,0)</f>
        <v>133.66080000000011</v>
      </c>
      <c r="CA183" s="13">
        <f t="shared" si="170"/>
        <v>34.840890682716783</v>
      </c>
      <c r="CB183" s="20">
        <f t="shared" si="171"/>
        <v>293.4737779390652</v>
      </c>
      <c r="CC183" s="59">
        <f t="shared" si="119"/>
        <v>586.80711127239852</v>
      </c>
      <c r="CD183" s="59">
        <f ca="1">AVERAGE(OFFSET($CC$3,0,0,'Données projet'!$E$12+1,1))-AVERAGE(OFFSET($H$3,0,0,'Données projet'!$E$12+1,1))</f>
        <v>230.58262378842818</v>
      </c>
      <c r="CE183" s="59">
        <f t="shared" si="148"/>
        <v>235.68746142880792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0.32126749335159821</v>
      </c>
      <c r="CL183" s="21">
        <f>EXP(-LN(2)/25)*CL182+(1-EXP(-LN(2)/25))/(LN(2)/25)*Calculateur!CG183*Calculateur!CI183*VLOOKUP('Données projet'!$B$12,Paramètres!$A$1:$I$89,3,0)*0.475*44/12</f>
        <v>0.88969195926434352</v>
      </c>
      <c r="CM183" s="21">
        <f>EXP(-LN(2)/2)*CM182+(1-EXP(-LN(2)/2))/(LN(2)/2)*CG183*CJ183*VLOOKUP('Données projet'!$B$12,Paramètres!$A$1:$I$89,3,0)*0.475*44/12</f>
        <v>8.4613664827284466E-14</v>
      </c>
      <c r="CN183" s="22">
        <f t="shared" si="172"/>
        <v>1.2109594526160263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1.7053025658242404E-13</v>
      </c>
      <c r="CU183" s="17">
        <f>CT183*VLOOKUP('Données projet'!$B$13,Paramètres!$A$1:$I$89,3,0)*VLOOKUP('Données projet'!$B$13,Paramètres!$A$1:$I$89,5,0)</f>
        <v>1.3301360013429075E-13</v>
      </c>
      <c r="CV183" s="13">
        <f t="shared" si="173"/>
        <v>1.9329766731057041E-12</v>
      </c>
      <c r="CW183" s="20">
        <f t="shared" si="174"/>
        <v>3.5982663925596575E-12</v>
      </c>
      <c r="CX183" s="59">
        <f t="shared" si="122"/>
        <v>293.3333333333369</v>
      </c>
      <c r="CY183" s="59">
        <f ca="1">AVERAGE(OFFSET($CX$3,0,0,'Données projet'!$E$13+1,1))-AVERAGE(OFFSET($H$3,0,0,'Données projet'!$E$13+1,1))</f>
        <v>288.80569134263209</v>
      </c>
      <c r="CZ183" s="59">
        <f t="shared" si="150"/>
        <v>283.48738729114024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9.0054590900578777</v>
      </c>
      <c r="DG183" s="21">
        <f>EXP(-LN(2)/25)*DG182+(1-EXP(-LN(2)/25))/(LN(2)/25)*Calculateur!DB183*Calculateur!DD183*VLOOKUP('Données projet'!$B$13,Paramètres!$A$1:$I$89,3,0)*0.475*44/12</f>
        <v>3.1424758111293789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12.147934901187256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266.99999999999983</v>
      </c>
      <c r="DP183" s="17">
        <f>DO183*VLOOKUP('Données projet'!$B$14,Paramètres!$A$1:$I$89,3,0)*VLOOKUP('Données projet'!$B$14,Paramètres!$A$1:$I$89,5,0)</f>
        <v>212.42519999999985</v>
      </c>
      <c r="DQ183" s="13">
        <f t="shared" si="176"/>
        <v>52.465198231787184</v>
      </c>
      <c r="DR183" s="20">
        <f t="shared" si="177"/>
        <v>461.35077692036231</v>
      </c>
      <c r="DS183" s="59">
        <f t="shared" si="125"/>
        <v>754.68411025369562</v>
      </c>
      <c r="DT183" s="59">
        <f ca="1">AVERAGE(OFFSET($DS$3,0,0,'Données projet'!$E$14+1,1))-AVERAGE(OFFSET($H$3,0,0,'Données projet'!$E$14+1,1))</f>
        <v>299.10536994156814</v>
      </c>
      <c r="DU183" s="59">
        <f t="shared" si="152"/>
        <v>292.57799203101769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3.9735246003700677</v>
      </c>
      <c r="EB183" s="21">
        <f>EXP(-LN(2)/25)*EB182+(1-EXP(-LN(2)/25))/(LN(2)/25)*Calculateur!DW183*Calculateur!DY183*VLOOKUP('Données projet'!$B$14,Paramètres!$A$1:$I$89,3,0)*0.475*44/12</f>
        <v>0.52055751342832934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4.4940821137983971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5.1431925385259092E-13</v>
      </c>
      <c r="P184" s="13">
        <f t="shared" si="141"/>
        <v>6.3855359115685756E-12</v>
      </c>
      <c r="Q184" s="20">
        <f t="shared" si="162"/>
        <v>1.2017247746441865E-11</v>
      </c>
      <c r="R184" s="59">
        <f t="shared" si="109"/>
        <v>293.33333333334531</v>
      </c>
      <c r="S184" s="59">
        <f ca="1">AVERAGE(OFFSET($R$3,0,0,'Données projet'!$E$9+1,1))-AVERAGE(OFFSET($H$3,0,0,'Données projet'!$E$9+1,1))</f>
        <v>384.05928630855732</v>
      </c>
      <c r="T184" s="59">
        <f t="shared" si="142"/>
        <v>279.93992813630513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63.520988073046418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63.520988073046418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1.9895196601282805E-13</v>
      </c>
      <c r="AJ184" s="13">
        <f>AI184*VLOOKUP('Données projet'!$B$10,Paramètres!$A$1:$I$89,3,0)*VLOOKUP('Données projet'!$B$10,Paramètres!$A$1:$I$89,5,0)</f>
        <v>1.707007868390065E-13</v>
      </c>
      <c r="AK184" s="13">
        <f t="shared" si="164"/>
        <v>2.4096578055149408E-12</v>
      </c>
      <c r="AL184" s="20">
        <f t="shared" si="165"/>
        <v>4.4941245483497909E-12</v>
      </c>
      <c r="AM184" s="59">
        <f t="shared" si="113"/>
        <v>293.33333333333781</v>
      </c>
      <c r="AN184" s="59">
        <f ca="1">AVERAGE(OFFSET($AM$3,0,0,'Données projet'!$E$10+1,1))-AVERAGE(OFFSET($H$3,0,0,'Données projet'!$E$10+1,1))</f>
        <v>335.02113791949211</v>
      </c>
      <c r="AO184" s="59">
        <f t="shared" si="144"/>
        <v>222.06886429435099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33.880302267017136</v>
      </c>
      <c r="AV184" s="21">
        <f>EXP(-LN(2)/25)*AV183+(1-EXP(-LN(2)/25))/(LN(2)/25)*Calculateur!AQ184*Calculateur!AS184*VLOOKUP('Données projet'!$B$10,Paramètres!$A$1:$I$89,3,0)*0.475*44/12</f>
        <v>14.230924965896222</v>
      </c>
      <c r="AW184" s="21">
        <f>EXP(-LN(2)/2)*AW183+(1-EXP(-LN(2)/2))/(LN(2)/2)*AQ184*AT184*VLOOKUP('Données projet'!$B$10,Paramètres!$A$1:$I$89,3,0)*0.475*44/12</f>
        <v>1.8895403038459327E-8</v>
      </c>
      <c r="AX184" s="21">
        <f t="shared" si="166"/>
        <v>48.111227251808764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-4.5474735088646412E-13</v>
      </c>
      <c r="BE184" s="13">
        <f>BD184*VLOOKUP('Données projet'!$B$11,Paramètres!$A$1:$I$89,3,0)*VLOOKUP('Données projet'!$B$11,Paramètres!$A$1:$I$89,5,0)</f>
        <v>-4.3983163777738812E-13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366.51581861366333</v>
      </c>
      <c r="BJ184" s="59">
        <f t="shared" si="146"/>
        <v>225.01415116995503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102.24979076600178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102.24979076600178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204.00000000000017</v>
      </c>
      <c r="BZ184" s="13">
        <f>BY184*VLOOKUP('Données projet'!$B$12,Paramètres!$A$1:$I$89,3,0)*VLOOKUP('Données projet'!$B$12,Paramètres!$A$1:$I$89,5,0)</f>
        <v>133.66080000000011</v>
      </c>
      <c r="CA184" s="13">
        <f t="shared" si="170"/>
        <v>34.840890682716783</v>
      </c>
      <c r="CB184" s="20">
        <f t="shared" si="171"/>
        <v>293.4737779390652</v>
      </c>
      <c r="CC184" s="59">
        <f t="shared" si="119"/>
        <v>586.80711127239852</v>
      </c>
      <c r="CD184" s="59">
        <f ca="1">AVERAGE(OFFSET($CC$3,0,0,'Données projet'!$E$12+1,1))-AVERAGE(OFFSET($H$3,0,0,'Données projet'!$E$12+1,1))</f>
        <v>230.58262378842818</v>
      </c>
      <c r="CE184" s="59">
        <f t="shared" si="148"/>
        <v>235.68746142880792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0.31496763376079551</v>
      </c>
      <c r="CL184" s="21">
        <f>EXP(-LN(2)/25)*CL183+(1-EXP(-LN(2)/25))/(LN(2)/25)*Calculateur!CG184*Calculateur!CI184*VLOOKUP('Données projet'!$B$12,Paramètres!$A$1:$I$89,3,0)*0.475*44/12</f>
        <v>0.86536328585139333</v>
      </c>
      <c r="CM184" s="21">
        <f>EXP(-LN(2)/2)*CM183+(1-EXP(-LN(2)/2))/(LN(2)/2)*CG184*CJ184*VLOOKUP('Données projet'!$B$12,Paramètres!$A$1:$I$89,3,0)*0.475*44/12</f>
        <v>5.9830896180418508E-14</v>
      </c>
      <c r="CN184" s="22">
        <f t="shared" si="172"/>
        <v>1.1803309196122485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1.7053025658242404E-13</v>
      </c>
      <c r="CU184" s="17">
        <f>CT184*VLOOKUP('Données projet'!$B$13,Paramètres!$A$1:$I$89,3,0)*VLOOKUP('Données projet'!$B$13,Paramètres!$A$1:$I$89,5,0)</f>
        <v>1.3301360013429075E-13</v>
      </c>
      <c r="CV184" s="13">
        <f t="shared" si="173"/>
        <v>1.9329766731057041E-12</v>
      </c>
      <c r="CW184" s="20">
        <f t="shared" si="174"/>
        <v>3.5982663925596575E-12</v>
      </c>
      <c r="CX184" s="59">
        <f t="shared" si="122"/>
        <v>293.3333333333369</v>
      </c>
      <c r="CY184" s="59">
        <f ca="1">AVERAGE(OFFSET($CX$3,0,0,'Données projet'!$E$13+1,1))-AVERAGE(OFFSET($H$3,0,0,'Données projet'!$E$13+1,1))</f>
        <v>288.80569134263209</v>
      </c>
      <c r="CZ184" s="59">
        <f t="shared" si="150"/>
        <v>283.48738729114024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8.8288675300895196</v>
      </c>
      <c r="DG184" s="21">
        <f>EXP(-LN(2)/25)*DG183+(1-EXP(-LN(2)/25))/(LN(2)/25)*Calculateur!DB184*Calculateur!DD184*VLOOKUP('Données projet'!$B$13,Paramètres!$A$1:$I$89,3,0)*0.475*44/12</f>
        <v>3.0565446448184255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11.885412174907945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266.99999999999983</v>
      </c>
      <c r="DP184" s="17">
        <f>DO184*VLOOKUP('Données projet'!$B$14,Paramètres!$A$1:$I$89,3,0)*VLOOKUP('Données projet'!$B$14,Paramètres!$A$1:$I$89,5,0)</f>
        <v>212.42519999999985</v>
      </c>
      <c r="DQ184" s="13">
        <f t="shared" si="176"/>
        <v>52.465198231787184</v>
      </c>
      <c r="DR184" s="20">
        <f t="shared" si="177"/>
        <v>461.35077692036231</v>
      </c>
      <c r="DS184" s="59">
        <f t="shared" si="125"/>
        <v>754.68411025369562</v>
      </c>
      <c r="DT184" s="59">
        <f ca="1">AVERAGE(OFFSET($DS$3,0,0,'Données projet'!$E$14+1,1))-AVERAGE(OFFSET($H$3,0,0,'Données projet'!$E$14+1,1))</f>
        <v>299.10536994156814</v>
      </c>
      <c r="DU184" s="59">
        <f t="shared" si="152"/>
        <v>292.57799203101769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3.8956062065675052</v>
      </c>
      <c r="EB184" s="21">
        <f>EXP(-LN(2)/25)*EB183+(1-EXP(-LN(2)/25))/(LN(2)/25)*Calculateur!DW184*Calculateur!DY184*VLOOKUP('Données projet'!$B$14,Paramètres!$A$1:$I$89,3,0)*0.475*44/12</f>
        <v>0.50632284084870183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4.4019290474162069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5.1431925385259092E-13</v>
      </c>
      <c r="P185" s="13">
        <f t="shared" si="141"/>
        <v>6.3855359115685756E-12</v>
      </c>
      <c r="Q185" s="20">
        <f t="shared" si="162"/>
        <v>1.2017247746441865E-11</v>
      </c>
      <c r="R185" s="59">
        <f t="shared" si="109"/>
        <v>293.33333333334531</v>
      </c>
      <c r="S185" s="59">
        <f ca="1">AVERAGE(OFFSET($R$3,0,0,'Données projet'!$E$9+1,1))-AVERAGE(OFFSET($H$3,0,0,'Données projet'!$E$9+1,1))</f>
        <v>384.05928630855732</v>
      </c>
      <c r="T185" s="59">
        <f t="shared" si="142"/>
        <v>279.93992813630513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62.275380240911055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62.275380240911055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1.9895196601282805E-13</v>
      </c>
      <c r="AJ185" s="13">
        <f>AI185*VLOOKUP('Données projet'!$B$10,Paramètres!$A$1:$I$89,3,0)*VLOOKUP('Données projet'!$B$10,Paramètres!$A$1:$I$89,5,0)</f>
        <v>1.707007868390065E-13</v>
      </c>
      <c r="AK185" s="13">
        <f t="shared" si="164"/>
        <v>2.4096578055149408E-12</v>
      </c>
      <c r="AL185" s="20">
        <f t="shared" si="165"/>
        <v>4.4941245483497909E-12</v>
      </c>
      <c r="AM185" s="59">
        <f t="shared" si="113"/>
        <v>293.33333333333781</v>
      </c>
      <c r="AN185" s="59">
        <f ca="1">AVERAGE(OFFSET($AM$3,0,0,'Données projet'!$E$10+1,1))-AVERAGE(OFFSET($H$3,0,0,'Données projet'!$E$10+1,1))</f>
        <v>335.02113791949211</v>
      </c>
      <c r="AO185" s="59">
        <f t="shared" si="144"/>
        <v>222.06886429435099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33.215930204504822</v>
      </c>
      <c r="AV185" s="21">
        <f>EXP(-LN(2)/25)*AV184+(1-EXP(-LN(2)/25))/(LN(2)/25)*Calculateur!AQ185*Calculateur!AS185*VLOOKUP('Données projet'!$B$10,Paramètres!$A$1:$I$89,3,0)*0.475*44/12</f>
        <v>13.841779574331971</v>
      </c>
      <c r="AW185" s="21">
        <f>EXP(-LN(2)/2)*AW184+(1-EXP(-LN(2)/2))/(LN(2)/2)*AQ185*AT185*VLOOKUP('Données projet'!$B$10,Paramètres!$A$1:$I$89,3,0)*0.475*44/12</f>
        <v>1.3361067621747485E-8</v>
      </c>
      <c r="AX185" s="21">
        <f t="shared" si="166"/>
        <v>47.057709792197862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-4.5474735088646412E-13</v>
      </c>
      <c r="BE185" s="13">
        <f>BD185*VLOOKUP('Données projet'!$B$11,Paramètres!$A$1:$I$89,3,0)*VLOOKUP('Données projet'!$B$11,Paramètres!$A$1:$I$89,5,0)</f>
        <v>-4.3983163777738812E-13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366.51581861366333</v>
      </c>
      <c r="BJ185" s="59">
        <f t="shared" si="146"/>
        <v>225.01415116995503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100.2447347352947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100.2447347352947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204.00000000000017</v>
      </c>
      <c r="BZ185" s="13">
        <f>BY185*VLOOKUP('Données projet'!$B$12,Paramètres!$A$1:$I$89,3,0)*VLOOKUP('Données projet'!$B$12,Paramètres!$A$1:$I$89,5,0)</f>
        <v>133.66080000000011</v>
      </c>
      <c r="CA185" s="13">
        <f t="shared" si="170"/>
        <v>34.840890682716783</v>
      </c>
      <c r="CB185" s="20">
        <f t="shared" si="171"/>
        <v>293.4737779390652</v>
      </c>
      <c r="CC185" s="59">
        <f t="shared" si="119"/>
        <v>586.80711127239852</v>
      </c>
      <c r="CD185" s="59">
        <f ca="1">AVERAGE(OFFSET($CC$3,0,0,'Données projet'!$E$12+1,1))-AVERAGE(OFFSET($H$3,0,0,'Données projet'!$E$12+1,1))</f>
        <v>230.58262378842818</v>
      </c>
      <c r="CE185" s="59">
        <f t="shared" si="148"/>
        <v>235.68746142880792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0.30879131057403347</v>
      </c>
      <c r="CL185" s="21">
        <f>EXP(-LN(2)/25)*CL184+(1-EXP(-LN(2)/25))/(LN(2)/25)*Calculateur!CG185*Calculateur!CI185*VLOOKUP('Données projet'!$B$12,Paramètres!$A$1:$I$89,3,0)*0.475*44/12</f>
        <v>0.84169988129230955</v>
      </c>
      <c r="CM185" s="21">
        <f>EXP(-LN(2)/2)*CM184+(1-EXP(-LN(2)/2))/(LN(2)/2)*CG185*CJ185*VLOOKUP('Données projet'!$B$12,Paramètres!$A$1:$I$89,3,0)*0.475*44/12</f>
        <v>4.2306832413642233E-14</v>
      </c>
      <c r="CN185" s="22">
        <f t="shared" si="172"/>
        <v>1.1504911918663854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1.7053025658242404E-13</v>
      </c>
      <c r="CU185" s="17">
        <f>CT185*VLOOKUP('Données projet'!$B$13,Paramètres!$A$1:$I$89,3,0)*VLOOKUP('Données projet'!$B$13,Paramètres!$A$1:$I$89,5,0)</f>
        <v>1.3301360013429075E-13</v>
      </c>
      <c r="CV185" s="13">
        <f t="shared" si="173"/>
        <v>1.9329766731057041E-12</v>
      </c>
      <c r="CW185" s="20">
        <f t="shared" si="174"/>
        <v>3.5982663925596575E-12</v>
      </c>
      <c r="CX185" s="59">
        <f t="shared" si="122"/>
        <v>293.3333333333369</v>
      </c>
      <c r="CY185" s="59">
        <f ca="1">AVERAGE(OFFSET($CX$3,0,0,'Données projet'!$E$13+1,1))-AVERAGE(OFFSET($H$3,0,0,'Données projet'!$E$13+1,1))</f>
        <v>288.80569134263209</v>
      </c>
      <c r="CZ185" s="59">
        <f t="shared" si="150"/>
        <v>283.48738729114024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8.6557388229019256</v>
      </c>
      <c r="DG185" s="21">
        <f>EXP(-LN(2)/25)*DG184+(1-EXP(-LN(2)/25))/(LN(2)/25)*Calculateur!DB185*Calculateur!DD185*VLOOKUP('Données projet'!$B$13,Paramètres!$A$1:$I$89,3,0)*0.475*44/12</f>
        <v>2.9729632707691684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11.628702093671095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266.99999999999983</v>
      </c>
      <c r="DP185" s="17">
        <f>DO185*VLOOKUP('Données projet'!$B$14,Paramètres!$A$1:$I$89,3,0)*VLOOKUP('Données projet'!$B$14,Paramètres!$A$1:$I$89,5,0)</f>
        <v>212.42519999999985</v>
      </c>
      <c r="DQ185" s="13">
        <f t="shared" si="176"/>
        <v>52.465198231787184</v>
      </c>
      <c r="DR185" s="20">
        <f t="shared" si="177"/>
        <v>461.35077692036231</v>
      </c>
      <c r="DS185" s="59">
        <f t="shared" si="125"/>
        <v>754.68411025369562</v>
      </c>
      <c r="DT185" s="59">
        <f ca="1">AVERAGE(OFFSET($DS$3,0,0,'Données projet'!$E$14+1,1))-AVERAGE(OFFSET($H$3,0,0,'Données projet'!$E$14+1,1))</f>
        <v>299.10536994156814</v>
      </c>
      <c r="DU185" s="59">
        <f t="shared" si="152"/>
        <v>292.57799203101769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3.8192157449418835</v>
      </c>
      <c r="EB185" s="21">
        <f>EXP(-LN(2)/25)*EB184+(1-EXP(-LN(2)/25))/(LN(2)/25)*Calculateur!DW185*Calculateur!DY185*VLOOKUP('Données projet'!$B$14,Paramètres!$A$1:$I$89,3,0)*0.475*44/12</f>
        <v>0.4924774161393331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4.3116931610812168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5.1431925385259092E-13</v>
      </c>
      <c r="P186" s="13">
        <f t="shared" si="141"/>
        <v>6.3855359115685756E-12</v>
      </c>
      <c r="Q186" s="20">
        <f t="shared" si="162"/>
        <v>1.2017247746441865E-11</v>
      </c>
      <c r="R186" s="59">
        <f t="shared" si="109"/>
        <v>293.33333333334531</v>
      </c>
      <c r="S186" s="59">
        <f ca="1">AVERAGE(OFFSET($R$3,0,0,'Données projet'!$E$9+1,1))-AVERAGE(OFFSET($H$3,0,0,'Données projet'!$E$9+1,1))</f>
        <v>384.05928630855732</v>
      </c>
      <c r="T186" s="59">
        <f t="shared" si="142"/>
        <v>279.93992813630513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61.054198018618102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61.054198018618102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1.9895196601282805E-13</v>
      </c>
      <c r="AJ186" s="13">
        <f>AI186*VLOOKUP('Données projet'!$B$10,Paramètres!$A$1:$I$89,3,0)*VLOOKUP('Données projet'!$B$10,Paramètres!$A$1:$I$89,5,0)</f>
        <v>1.707007868390065E-13</v>
      </c>
      <c r="AK186" s="13">
        <f t="shared" si="164"/>
        <v>2.4096578055149408E-12</v>
      </c>
      <c r="AL186" s="20">
        <f t="shared" si="165"/>
        <v>4.4941245483497909E-12</v>
      </c>
      <c r="AM186" s="59">
        <f t="shared" si="113"/>
        <v>293.33333333333781</v>
      </c>
      <c r="AN186" s="59">
        <f ca="1">AVERAGE(OFFSET($AM$3,0,0,'Données projet'!$E$10+1,1))-AVERAGE(OFFSET($H$3,0,0,'Données projet'!$E$10+1,1))</f>
        <v>335.02113791949211</v>
      </c>
      <c r="AO186" s="59">
        <f t="shared" si="144"/>
        <v>222.06886429435099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32.564586072911425</v>
      </c>
      <c r="AV186" s="21">
        <f>EXP(-LN(2)/25)*AV185+(1-EXP(-LN(2)/25))/(LN(2)/25)*Calculateur!AQ186*Calculateur!AS186*VLOOKUP('Données projet'!$B$10,Paramètres!$A$1:$I$89,3,0)*0.475*44/12</f>
        <v>13.463275383964312</v>
      </c>
      <c r="AW186" s="21">
        <f>EXP(-LN(2)/2)*AW185+(1-EXP(-LN(2)/2))/(LN(2)/2)*AQ186*AT186*VLOOKUP('Données projet'!$B$10,Paramètres!$A$1:$I$89,3,0)*0.475*44/12</f>
        <v>9.4477015192296633E-9</v>
      </c>
      <c r="AX186" s="21">
        <f t="shared" si="166"/>
        <v>46.027861466323444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-4.5474735088646412E-13</v>
      </c>
      <c r="BE186" s="13">
        <f>BD186*VLOOKUP('Données projet'!$B$11,Paramètres!$A$1:$I$89,3,0)*VLOOKUP('Données projet'!$B$11,Paramètres!$A$1:$I$89,5,0)</f>
        <v>-4.3983163777738812E-13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366.51581861366333</v>
      </c>
      <c r="BJ186" s="59">
        <f t="shared" si="146"/>
        <v>225.01415116995503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98.278996630386359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98.278996630386359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204.00000000000017</v>
      </c>
      <c r="BZ186" s="13">
        <f>BY186*VLOOKUP('Données projet'!$B$12,Paramètres!$A$1:$I$89,3,0)*VLOOKUP('Données projet'!$B$12,Paramètres!$A$1:$I$89,5,0)</f>
        <v>133.66080000000011</v>
      </c>
      <c r="CA186" s="13">
        <f t="shared" si="170"/>
        <v>34.840890682716783</v>
      </c>
      <c r="CB186" s="20">
        <f t="shared" si="171"/>
        <v>293.4737779390652</v>
      </c>
      <c r="CC186" s="59">
        <f t="shared" si="119"/>
        <v>586.80711127239852</v>
      </c>
      <c r="CD186" s="59">
        <f ca="1">AVERAGE(OFFSET($CC$3,0,0,'Données projet'!$E$12+1,1))-AVERAGE(OFFSET($H$3,0,0,'Données projet'!$E$12+1,1))</f>
        <v>230.58262378842818</v>
      </c>
      <c r="CE186" s="59">
        <f t="shared" si="148"/>
        <v>235.68746142880792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0.30273610131777867</v>
      </c>
      <c r="CL186" s="21">
        <f>EXP(-LN(2)/25)*CL185+(1-EXP(-LN(2)/25))/(LN(2)/25)*Calculateur!CG186*Calculateur!CI186*VLOOKUP('Données projet'!$B$12,Paramètres!$A$1:$I$89,3,0)*0.475*44/12</f>
        <v>0.81868355377529833</v>
      </c>
      <c r="CM186" s="21">
        <f>EXP(-LN(2)/2)*CM185+(1-EXP(-LN(2)/2))/(LN(2)/2)*CG186*CJ186*VLOOKUP('Données projet'!$B$12,Paramètres!$A$1:$I$89,3,0)*0.475*44/12</f>
        <v>2.9915448090209254E-14</v>
      </c>
      <c r="CN186" s="22">
        <f t="shared" si="172"/>
        <v>1.121419655093107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1.7053025658242404E-13</v>
      </c>
      <c r="CU186" s="17">
        <f>CT186*VLOOKUP('Données projet'!$B$13,Paramètres!$A$1:$I$89,3,0)*VLOOKUP('Données projet'!$B$13,Paramètres!$A$1:$I$89,5,0)</f>
        <v>1.3301360013429075E-13</v>
      </c>
      <c r="CV186" s="13">
        <f t="shared" si="173"/>
        <v>1.9329766731057041E-12</v>
      </c>
      <c r="CW186" s="20">
        <f t="shared" si="174"/>
        <v>3.5982663925596575E-12</v>
      </c>
      <c r="CX186" s="59">
        <f t="shared" si="122"/>
        <v>293.3333333333369</v>
      </c>
      <c r="CY186" s="59">
        <f ca="1">AVERAGE(OFFSET($CX$3,0,0,'Données projet'!$E$13+1,1))-AVERAGE(OFFSET($H$3,0,0,'Données projet'!$E$13+1,1))</f>
        <v>288.80569134263209</v>
      </c>
      <c r="CZ186" s="59">
        <f t="shared" si="150"/>
        <v>283.48738729114024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8.4860050640641962</v>
      </c>
      <c r="DG186" s="21">
        <f>EXP(-LN(2)/25)*DG185+(1-EXP(-LN(2)/25))/(LN(2)/25)*Calculateur!DB186*Calculateur!DD186*VLOOKUP('Données projet'!$B$13,Paramètres!$A$1:$I$89,3,0)*0.475*44/12</f>
        <v>2.8916674337886419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11.377672497852839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266.99999999999983</v>
      </c>
      <c r="DP186" s="17">
        <f>DO186*VLOOKUP('Données projet'!$B$14,Paramètres!$A$1:$I$89,3,0)*VLOOKUP('Données projet'!$B$14,Paramètres!$A$1:$I$89,5,0)</f>
        <v>212.42519999999985</v>
      </c>
      <c r="DQ186" s="13">
        <f t="shared" si="176"/>
        <v>52.465198231787184</v>
      </c>
      <c r="DR186" s="20">
        <f t="shared" si="177"/>
        <v>461.35077692036231</v>
      </c>
      <c r="DS186" s="59">
        <f t="shared" si="125"/>
        <v>754.68411025369562</v>
      </c>
      <c r="DT186" s="59">
        <f ca="1">AVERAGE(OFFSET($DS$3,0,0,'Données projet'!$E$14+1,1))-AVERAGE(OFFSET($H$3,0,0,'Données projet'!$E$14+1,1))</f>
        <v>299.10536994156814</v>
      </c>
      <c r="DU186" s="59">
        <f t="shared" si="152"/>
        <v>292.57799203101769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3.7443232536751596</v>
      </c>
      <c r="EB186" s="21">
        <f>EXP(-LN(2)/25)*EB185+(1-EXP(-LN(2)/25))/(LN(2)/25)*Calculateur!DW186*Calculateur!DY186*VLOOKUP('Données projet'!$B$14,Paramètres!$A$1:$I$89,3,0)*0.475*44/12</f>
        <v>0.47901059529674128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4.223333848971901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5.1431925385259092E-13</v>
      </c>
      <c r="P187" s="13">
        <f t="shared" si="141"/>
        <v>6.3855359115685756E-12</v>
      </c>
      <c r="Q187" s="20">
        <f t="shared" si="162"/>
        <v>1.2017247746441865E-11</v>
      </c>
      <c r="R187" s="59">
        <f t="shared" si="109"/>
        <v>293.33333333334531</v>
      </c>
      <c r="S187" s="59">
        <f ca="1">AVERAGE(OFFSET($R$3,0,0,'Données projet'!$E$9+1,1))-AVERAGE(OFFSET($H$3,0,0,'Données projet'!$E$9+1,1))</f>
        <v>384.05928630855732</v>
      </c>
      <c r="T187" s="59">
        <f t="shared" si="142"/>
        <v>279.93992813630513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59.856962434856712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59.856962434856712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1.9895196601282805E-13</v>
      </c>
      <c r="AJ187" s="13">
        <f>AI187*VLOOKUP('Données projet'!$B$10,Paramètres!$A$1:$I$89,3,0)*VLOOKUP('Données projet'!$B$10,Paramètres!$A$1:$I$89,5,0)</f>
        <v>1.707007868390065E-13</v>
      </c>
      <c r="AK187" s="13">
        <f t="shared" si="164"/>
        <v>2.4096578055149408E-12</v>
      </c>
      <c r="AL187" s="20">
        <f t="shared" si="165"/>
        <v>4.4941245483497909E-12</v>
      </c>
      <c r="AM187" s="59">
        <f t="shared" si="113"/>
        <v>293.33333333333781</v>
      </c>
      <c r="AN187" s="59">
        <f ca="1">AVERAGE(OFFSET($AM$3,0,0,'Données projet'!$E$10+1,1))-AVERAGE(OFFSET($H$3,0,0,'Données projet'!$E$10+1,1))</f>
        <v>335.02113791949211</v>
      </c>
      <c r="AO187" s="59">
        <f t="shared" si="144"/>
        <v>222.06886429435099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31.926014402457884</v>
      </c>
      <c r="AV187" s="21">
        <f>EXP(-LN(2)/25)*AV186+(1-EXP(-LN(2)/25))/(LN(2)/25)*Calculateur!AQ187*Calculateur!AS187*VLOOKUP('Données projet'!$B$10,Paramètres!$A$1:$I$89,3,0)*0.475*44/12</f>
        <v>13.095121410586927</v>
      </c>
      <c r="AW187" s="21">
        <f>EXP(-LN(2)/2)*AW186+(1-EXP(-LN(2)/2))/(LN(2)/2)*AQ187*AT187*VLOOKUP('Données projet'!$B$10,Paramètres!$A$1:$I$89,3,0)*0.475*44/12</f>
        <v>6.6805338108737423E-9</v>
      </c>
      <c r="AX187" s="21">
        <f t="shared" si="166"/>
        <v>45.021135819725345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-4.5474735088646412E-13</v>
      </c>
      <c r="BE187" s="13">
        <f>BD187*VLOOKUP('Données projet'!$B$11,Paramètres!$A$1:$I$89,3,0)*VLOOKUP('Données projet'!$B$11,Paramètres!$A$1:$I$89,5,0)</f>
        <v>-4.3983163777738812E-13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366.51581861366333</v>
      </c>
      <c r="BJ187" s="59">
        <f t="shared" si="146"/>
        <v>225.01415116995503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96.351805450733423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96.351805450733423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204.00000000000017</v>
      </c>
      <c r="BZ187" s="13">
        <f>BY187*VLOOKUP('Données projet'!$B$12,Paramètres!$A$1:$I$89,3,0)*VLOOKUP('Données projet'!$B$12,Paramètres!$A$1:$I$89,5,0)</f>
        <v>133.66080000000011</v>
      </c>
      <c r="CA187" s="13">
        <f t="shared" si="170"/>
        <v>34.840890682716783</v>
      </c>
      <c r="CB187" s="20">
        <f t="shared" si="171"/>
        <v>293.4737779390652</v>
      </c>
      <c r="CC187" s="59">
        <f t="shared" si="119"/>
        <v>586.80711127239852</v>
      </c>
      <c r="CD187" s="59">
        <f ca="1">AVERAGE(OFFSET($CC$3,0,0,'Données projet'!$E$12+1,1))-AVERAGE(OFFSET($H$3,0,0,'Données projet'!$E$12+1,1))</f>
        <v>230.58262378842818</v>
      </c>
      <c r="CE187" s="59">
        <f t="shared" si="148"/>
        <v>235.68746142880792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0.29679963102172607</v>
      </c>
      <c r="CL187" s="21">
        <f>EXP(-LN(2)/25)*CL186+(1-EXP(-LN(2)/25))/(LN(2)/25)*Calculateur!CG187*Calculateur!CI187*VLOOKUP('Données projet'!$B$12,Paramètres!$A$1:$I$89,3,0)*0.475*44/12</f>
        <v>0.79629660894461585</v>
      </c>
      <c r="CM187" s="21">
        <f>EXP(-LN(2)/2)*CM186+(1-EXP(-LN(2)/2))/(LN(2)/2)*CG187*CJ187*VLOOKUP('Données projet'!$B$12,Paramètres!$A$1:$I$89,3,0)*0.475*44/12</f>
        <v>2.1153416206821117E-14</v>
      </c>
      <c r="CN187" s="22">
        <f t="shared" si="172"/>
        <v>1.0930962399663631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1.7053025658242404E-13</v>
      </c>
      <c r="CU187" s="17">
        <f>CT187*VLOOKUP('Données projet'!$B$13,Paramètres!$A$1:$I$89,3,0)*VLOOKUP('Données projet'!$B$13,Paramètres!$A$1:$I$89,5,0)</f>
        <v>1.3301360013429075E-13</v>
      </c>
      <c r="CV187" s="13">
        <f t="shared" si="173"/>
        <v>1.9329766731057041E-12</v>
      </c>
      <c r="CW187" s="20">
        <f t="shared" si="174"/>
        <v>3.5982663925596575E-12</v>
      </c>
      <c r="CX187" s="59">
        <f t="shared" si="122"/>
        <v>293.3333333333369</v>
      </c>
      <c r="CY187" s="59">
        <f ca="1">AVERAGE(OFFSET($CX$3,0,0,'Données projet'!$E$13+1,1))-AVERAGE(OFFSET($H$3,0,0,'Données projet'!$E$13+1,1))</f>
        <v>288.80569134263209</v>
      </c>
      <c r="CZ187" s="59">
        <f t="shared" si="150"/>
        <v>283.48738729114024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8.3195996807099029</v>
      </c>
      <c r="DG187" s="21">
        <f>EXP(-LN(2)/25)*DG186+(1-EXP(-LN(2)/25))/(LN(2)/25)*Calculateur!DB187*Calculateur!DD187*VLOOKUP('Données projet'!$B$13,Paramètres!$A$1:$I$89,3,0)*0.475*44/12</f>
        <v>2.8125946357455103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11.132194316455413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266.99999999999983</v>
      </c>
      <c r="DP187" s="17">
        <f>DO187*VLOOKUP('Données projet'!$B$14,Paramètres!$A$1:$I$89,3,0)*VLOOKUP('Données projet'!$B$14,Paramètres!$A$1:$I$89,5,0)</f>
        <v>212.42519999999985</v>
      </c>
      <c r="DQ187" s="13">
        <f t="shared" si="176"/>
        <v>52.465198231787184</v>
      </c>
      <c r="DR187" s="20">
        <f t="shared" si="177"/>
        <v>461.35077692036231</v>
      </c>
      <c r="DS187" s="59">
        <f t="shared" si="125"/>
        <v>754.68411025369562</v>
      </c>
      <c r="DT187" s="59">
        <f ca="1">AVERAGE(OFFSET($DS$3,0,0,'Données projet'!$E$14+1,1))-AVERAGE(OFFSET($H$3,0,0,'Données projet'!$E$14+1,1))</f>
        <v>299.10536994156814</v>
      </c>
      <c r="DU187" s="59">
        <f t="shared" si="152"/>
        <v>292.57799203101769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3.6708993584822669</v>
      </c>
      <c r="EB187" s="21">
        <f>EXP(-LN(2)/25)*EB186+(1-EXP(-LN(2)/25))/(LN(2)/25)*Calculateur!DW187*Calculateur!DY187*VLOOKUP('Données projet'!$B$14,Paramètres!$A$1:$I$89,3,0)*0.475*44/12</f>
        <v>0.46591202537827947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4.1368113838605467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5.1431925385259092E-13</v>
      </c>
      <c r="P188" s="13">
        <f t="shared" si="141"/>
        <v>6.3855359115685756E-12</v>
      </c>
      <c r="Q188" s="20">
        <f t="shared" si="162"/>
        <v>1.2017247746441865E-11</v>
      </c>
      <c r="R188" s="59">
        <f t="shared" si="109"/>
        <v>293.33333333334531</v>
      </c>
      <c r="S188" s="59">
        <f ca="1">AVERAGE(OFFSET($R$3,0,0,'Données projet'!$E$9+1,1))-AVERAGE(OFFSET($H$3,0,0,'Données projet'!$E$9+1,1))</f>
        <v>384.05928630855732</v>
      </c>
      <c r="T188" s="59">
        <f t="shared" si="142"/>
        <v>279.93992813630513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58.68320391065128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58.68320391065128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1.9895196601282805E-13</v>
      </c>
      <c r="AJ188" s="13">
        <f>AI188*VLOOKUP('Données projet'!$B$10,Paramètres!$A$1:$I$89,3,0)*VLOOKUP('Données projet'!$B$10,Paramètres!$A$1:$I$89,5,0)</f>
        <v>1.707007868390065E-13</v>
      </c>
      <c r="AK188" s="13">
        <f t="shared" si="164"/>
        <v>2.4096578055149408E-12</v>
      </c>
      <c r="AL188" s="20">
        <f t="shared" si="165"/>
        <v>4.4941245483497909E-12</v>
      </c>
      <c r="AM188" s="59">
        <f t="shared" si="113"/>
        <v>293.33333333333781</v>
      </c>
      <c r="AN188" s="59">
        <f ca="1">AVERAGE(OFFSET($AM$3,0,0,'Données projet'!$E$10+1,1))-AVERAGE(OFFSET($H$3,0,0,'Données projet'!$E$10+1,1))</f>
        <v>335.02113791949211</v>
      </c>
      <c r="AO188" s="59">
        <f t="shared" si="144"/>
        <v>222.06886429435099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31.299964732971677</v>
      </c>
      <c r="AV188" s="21">
        <f>EXP(-LN(2)/25)*AV187+(1-EXP(-LN(2)/25))/(LN(2)/25)*Calculateur!AQ188*Calculateur!AS188*VLOOKUP('Données projet'!$B$10,Paramètres!$A$1:$I$89,3,0)*0.475*44/12</f>
        <v>12.737034626971921</v>
      </c>
      <c r="AW188" s="21">
        <f>EXP(-LN(2)/2)*AW187+(1-EXP(-LN(2)/2))/(LN(2)/2)*AQ188*AT188*VLOOKUP('Données projet'!$B$10,Paramètres!$A$1:$I$89,3,0)*0.475*44/12</f>
        <v>4.7238507596148317E-9</v>
      </c>
      <c r="AX188" s="21">
        <f t="shared" si="166"/>
        <v>44.036999364667452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-4.5474735088646412E-13</v>
      </c>
      <c r="BE188" s="13">
        <f>BD188*VLOOKUP('Données projet'!$B$11,Paramètres!$A$1:$I$89,3,0)*VLOOKUP('Données projet'!$B$11,Paramètres!$A$1:$I$89,5,0)</f>
        <v>-4.3983163777738812E-13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366.51581861366333</v>
      </c>
      <c r="BJ188" s="59">
        <f t="shared" si="146"/>
        <v>225.01415116995503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94.462405314642922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94.462405314642922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204.00000000000017</v>
      </c>
      <c r="BZ188" s="13">
        <f>BY188*VLOOKUP('Données projet'!$B$12,Paramètres!$A$1:$I$89,3,0)*VLOOKUP('Données projet'!$B$12,Paramètres!$A$1:$I$89,5,0)</f>
        <v>133.66080000000011</v>
      </c>
      <c r="CA188" s="13">
        <f t="shared" si="170"/>
        <v>34.840890682716783</v>
      </c>
      <c r="CB188" s="20">
        <f t="shared" si="171"/>
        <v>293.4737779390652</v>
      </c>
      <c r="CC188" s="59">
        <f t="shared" si="119"/>
        <v>586.80711127239852</v>
      </c>
      <c r="CD188" s="59">
        <f ca="1">AVERAGE(OFFSET($CC$3,0,0,'Données projet'!$E$12+1,1))-AVERAGE(OFFSET($H$3,0,0,'Données projet'!$E$12+1,1))</f>
        <v>230.58262378842818</v>
      </c>
      <c r="CE188" s="59">
        <f t="shared" si="148"/>
        <v>235.68746142880792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0.29097957128728974</v>
      </c>
      <c r="CL188" s="21">
        <f>EXP(-LN(2)/25)*CL187+(1-EXP(-LN(2)/25))/(LN(2)/25)*Calculateur!CG188*Calculateur!CI188*VLOOKUP('Données projet'!$B$12,Paramètres!$A$1:$I$89,3,0)*0.475*44/12</f>
        <v>0.77452183629760663</v>
      </c>
      <c r="CM188" s="21">
        <f>EXP(-LN(2)/2)*CM187+(1-EXP(-LN(2)/2))/(LN(2)/2)*CG188*CJ188*VLOOKUP('Données projet'!$B$12,Paramètres!$A$1:$I$89,3,0)*0.475*44/12</f>
        <v>1.4957724045104627E-14</v>
      </c>
      <c r="CN188" s="22">
        <f t="shared" si="172"/>
        <v>1.0655014075849112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1.7053025658242404E-13</v>
      </c>
      <c r="CU188" s="17">
        <f>CT188*VLOOKUP('Données projet'!$B$13,Paramètres!$A$1:$I$89,3,0)*VLOOKUP('Données projet'!$B$13,Paramètres!$A$1:$I$89,5,0)</f>
        <v>1.3301360013429075E-13</v>
      </c>
      <c r="CV188" s="13">
        <f t="shared" si="173"/>
        <v>1.9329766731057041E-12</v>
      </c>
      <c r="CW188" s="20">
        <f t="shared" si="174"/>
        <v>3.5982663925596575E-12</v>
      </c>
      <c r="CX188" s="59">
        <f t="shared" si="122"/>
        <v>293.3333333333369</v>
      </c>
      <c r="CY188" s="59">
        <f ca="1">AVERAGE(OFFSET($CX$3,0,0,'Données projet'!$E$13+1,1))-AVERAGE(OFFSET($H$3,0,0,'Données projet'!$E$13+1,1))</f>
        <v>288.80569134263209</v>
      </c>
      <c r="CZ188" s="59">
        <f t="shared" si="150"/>
        <v>283.48738729114024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8.1564574054259253</v>
      </c>
      <c r="DG188" s="21">
        <f>EXP(-LN(2)/25)*DG187+(1-EXP(-LN(2)/25))/(LN(2)/25)*Calculateur!DB188*Calculateur!DD188*VLOOKUP('Données projet'!$B$13,Paramètres!$A$1:$I$89,3,0)*0.475*44/12</f>
        <v>2.7356840875231256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10.892141492949051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266.99999999999983</v>
      </c>
      <c r="DP188" s="17">
        <f>DO188*VLOOKUP('Données projet'!$B$14,Paramètres!$A$1:$I$89,3,0)*VLOOKUP('Données projet'!$B$14,Paramètres!$A$1:$I$89,5,0)</f>
        <v>212.42519999999985</v>
      </c>
      <c r="DQ188" s="13">
        <f t="shared" si="176"/>
        <v>52.465198231787184</v>
      </c>
      <c r="DR188" s="20">
        <f t="shared" si="177"/>
        <v>461.35077692036231</v>
      </c>
      <c r="DS188" s="59">
        <f t="shared" si="125"/>
        <v>754.68411025369562</v>
      </c>
      <c r="DT188" s="59">
        <f ca="1">AVERAGE(OFFSET($DS$3,0,0,'Données projet'!$E$14+1,1))-AVERAGE(OFFSET($H$3,0,0,'Données projet'!$E$14+1,1))</f>
        <v>299.10536994156814</v>
      </c>
      <c r="DU188" s="59">
        <f t="shared" si="152"/>
        <v>292.57799203101769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3.5989152610899526</v>
      </c>
      <c r="EB188" s="21">
        <f>EXP(-LN(2)/25)*EB187+(1-EXP(-LN(2)/25))/(LN(2)/25)*Calculateur!DW188*Calculateur!DY188*VLOOKUP('Données projet'!$B$14,Paramètres!$A$1:$I$89,3,0)*0.475*44/12</f>
        <v>0.45317163654306186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4.0520868976330142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5.1431925385259092E-13</v>
      </c>
      <c r="P189" s="13">
        <f t="shared" si="141"/>
        <v>6.3855359115685756E-12</v>
      </c>
      <c r="Q189" s="20">
        <f t="shared" si="162"/>
        <v>1.2017247746441865E-11</v>
      </c>
      <c r="R189" s="59">
        <f t="shared" si="109"/>
        <v>293.33333333334531</v>
      </c>
      <c r="S189" s="59">
        <f ca="1">AVERAGE(OFFSET($R$3,0,0,'Données projet'!$E$9+1,1))-AVERAGE(OFFSET($H$3,0,0,'Données projet'!$E$9+1,1))</f>
        <v>384.05928630855732</v>
      </c>
      <c r="T189" s="59">
        <f t="shared" si="142"/>
        <v>279.93992813630513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57.53246207518351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57.53246207518351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1.9895196601282805E-13</v>
      </c>
      <c r="AJ189" s="13">
        <f>AI189*VLOOKUP('Données projet'!$B$10,Paramètres!$A$1:$I$89,3,0)*VLOOKUP('Données projet'!$B$10,Paramètres!$A$1:$I$89,5,0)</f>
        <v>1.707007868390065E-13</v>
      </c>
      <c r="AK189" s="13">
        <f t="shared" si="164"/>
        <v>2.4096578055149408E-12</v>
      </c>
      <c r="AL189" s="20">
        <f t="shared" si="165"/>
        <v>4.4941245483497909E-12</v>
      </c>
      <c r="AM189" s="59">
        <f t="shared" si="113"/>
        <v>293.33333333333781</v>
      </c>
      <c r="AN189" s="59">
        <f ca="1">AVERAGE(OFFSET($AM$3,0,0,'Données projet'!$E$10+1,1))-AVERAGE(OFFSET($H$3,0,0,'Données projet'!$E$10+1,1))</f>
        <v>335.02113791949211</v>
      </c>
      <c r="AO189" s="59">
        <f t="shared" si="144"/>
        <v>222.06886429435099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30.686191515651501</v>
      </c>
      <c r="AV189" s="21">
        <f>EXP(-LN(2)/25)*AV188+(1-EXP(-LN(2)/25))/(LN(2)/25)*Calculateur!AQ189*Calculateur!AS189*VLOOKUP('Données projet'!$B$10,Paramètres!$A$1:$I$89,3,0)*0.475*44/12</f>
        <v>12.388739745285834</v>
      </c>
      <c r="AW189" s="21">
        <f>EXP(-LN(2)/2)*AW188+(1-EXP(-LN(2)/2))/(LN(2)/2)*AQ189*AT189*VLOOKUP('Données projet'!$B$10,Paramètres!$A$1:$I$89,3,0)*0.475*44/12</f>
        <v>3.3402669054368712E-9</v>
      </c>
      <c r="AX189" s="21">
        <f t="shared" si="166"/>
        <v>43.074931264277602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-4.5474735088646412E-13</v>
      </c>
      <c r="BE189" s="13">
        <f>BD189*VLOOKUP('Données projet'!$B$11,Paramètres!$A$1:$I$89,3,0)*VLOOKUP('Données projet'!$B$11,Paramètres!$A$1:$I$89,5,0)</f>
        <v>-4.3983163777738812E-13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366.51581861366333</v>
      </c>
      <c r="BJ189" s="59">
        <f t="shared" si="146"/>
        <v>225.01415116995503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92.610055162800876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92.610055162800876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204.00000000000017</v>
      </c>
      <c r="BZ189" s="13">
        <f>BY189*VLOOKUP('Données projet'!$B$12,Paramètres!$A$1:$I$89,3,0)*VLOOKUP('Données projet'!$B$12,Paramètres!$A$1:$I$89,5,0)</f>
        <v>133.66080000000011</v>
      </c>
      <c r="CA189" s="13">
        <f t="shared" si="170"/>
        <v>34.840890682716783</v>
      </c>
      <c r="CB189" s="20">
        <f t="shared" si="171"/>
        <v>293.4737779390652</v>
      </c>
      <c r="CC189" s="59">
        <f t="shared" si="119"/>
        <v>586.80711127239852</v>
      </c>
      <c r="CD189" s="59">
        <f ca="1">AVERAGE(OFFSET($CC$3,0,0,'Données projet'!$E$12+1,1))-AVERAGE(OFFSET($H$3,0,0,'Données projet'!$E$12+1,1))</f>
        <v>230.58262378842818</v>
      </c>
      <c r="CE189" s="59">
        <f t="shared" si="148"/>
        <v>235.68746142880792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0.28527363937435979</v>
      </c>
      <c r="CL189" s="21">
        <f>EXP(-LN(2)/25)*CL188+(1-EXP(-LN(2)/25))/(LN(2)/25)*Calculateur!CG189*Calculateur!CI189*VLOOKUP('Données projet'!$B$12,Paramètres!$A$1:$I$89,3,0)*0.475*44/12</f>
        <v>0.75334249595371539</v>
      </c>
      <c r="CM189" s="21">
        <f>EXP(-LN(2)/2)*CM188+(1-EXP(-LN(2)/2))/(LN(2)/2)*CG189*CJ189*VLOOKUP('Données projet'!$B$12,Paramètres!$A$1:$I$89,3,0)*0.475*44/12</f>
        <v>1.0576708103410558E-14</v>
      </c>
      <c r="CN189" s="22">
        <f t="shared" si="172"/>
        <v>1.0386161353280858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1.7053025658242404E-13</v>
      </c>
      <c r="CU189" s="17">
        <f>CT189*VLOOKUP('Données projet'!$B$13,Paramètres!$A$1:$I$89,3,0)*VLOOKUP('Données projet'!$B$13,Paramètres!$A$1:$I$89,5,0)</f>
        <v>1.3301360013429075E-13</v>
      </c>
      <c r="CV189" s="13">
        <f t="shared" si="173"/>
        <v>1.9329766731057041E-12</v>
      </c>
      <c r="CW189" s="20">
        <f t="shared" si="174"/>
        <v>3.5982663925596575E-12</v>
      </c>
      <c r="CX189" s="59">
        <f t="shared" si="122"/>
        <v>293.3333333333369</v>
      </c>
      <c r="CY189" s="59">
        <f ca="1">AVERAGE(OFFSET($CX$3,0,0,'Données projet'!$E$13+1,1))-AVERAGE(OFFSET($H$3,0,0,'Données projet'!$E$13+1,1))</f>
        <v>288.80569134263209</v>
      </c>
      <c r="CZ189" s="59">
        <f t="shared" si="150"/>
        <v>283.48738729114024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7.9965142506533047</v>
      </c>
      <c r="DG189" s="21">
        <f>EXP(-LN(2)/25)*DG188+(1-EXP(-LN(2)/25))/(LN(2)/25)*Calculateur!DB189*Calculateur!DD189*VLOOKUP('Données projet'!$B$13,Paramètres!$A$1:$I$89,3,0)*0.475*44/12</f>
        <v>2.6608766622864319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10.657390912939736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266.99999999999983</v>
      </c>
      <c r="DP189" s="17">
        <f>DO189*VLOOKUP('Données projet'!$B$14,Paramètres!$A$1:$I$89,3,0)*VLOOKUP('Données projet'!$B$14,Paramètres!$A$1:$I$89,5,0)</f>
        <v>212.42519999999985</v>
      </c>
      <c r="DQ189" s="13">
        <f t="shared" si="176"/>
        <v>52.465198231787184</v>
      </c>
      <c r="DR189" s="20">
        <f t="shared" si="177"/>
        <v>461.35077692036231</v>
      </c>
      <c r="DS189" s="59">
        <f t="shared" si="125"/>
        <v>754.68411025369562</v>
      </c>
      <c r="DT189" s="59">
        <f ca="1">AVERAGE(OFFSET($DS$3,0,0,'Données projet'!$E$14+1,1))-AVERAGE(OFFSET($H$3,0,0,'Données projet'!$E$14+1,1))</f>
        <v>299.10536994156814</v>
      </c>
      <c r="DU189" s="59">
        <f t="shared" si="152"/>
        <v>292.57799203101769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3.5283427279415376</v>
      </c>
      <c r="EB189" s="21">
        <f>EXP(-LN(2)/25)*EB188+(1-EXP(-LN(2)/25))/(LN(2)/25)*Calculateur!DW189*Calculateur!DY189*VLOOKUP('Données projet'!$B$14,Paramètres!$A$1:$I$89,3,0)*0.475*44/12</f>
        <v>0.44077963431053119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3.9691223622520688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5.1431925385259092E-13</v>
      </c>
      <c r="P190" s="13">
        <f t="shared" si="141"/>
        <v>6.3855359115685756E-12</v>
      </c>
      <c r="Q190" s="20">
        <f t="shared" si="162"/>
        <v>1.2017247746441865E-11</v>
      </c>
      <c r="R190" s="59">
        <f t="shared" si="109"/>
        <v>293.33333333334531</v>
      </c>
      <c r="S190" s="59">
        <f ca="1">AVERAGE(OFFSET($R$3,0,0,'Données projet'!$E$9+1,1))-AVERAGE(OFFSET($H$3,0,0,'Données projet'!$E$9+1,1))</f>
        <v>384.05928630855732</v>
      </c>
      <c r="T190" s="59">
        <f t="shared" si="142"/>
        <v>279.93992813630513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56.404285585226049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56.404285585226049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1.9895196601282805E-13</v>
      </c>
      <c r="AJ190" s="13">
        <f>AI190*VLOOKUP('Données projet'!$B$10,Paramètres!$A$1:$I$89,3,0)*VLOOKUP('Données projet'!$B$10,Paramètres!$A$1:$I$89,5,0)</f>
        <v>1.707007868390065E-13</v>
      </c>
      <c r="AK190" s="13">
        <f t="shared" si="164"/>
        <v>2.4096578055149408E-12</v>
      </c>
      <c r="AL190" s="20">
        <f t="shared" si="165"/>
        <v>4.4941245483497909E-12</v>
      </c>
      <c r="AM190" s="59">
        <f t="shared" si="113"/>
        <v>293.33333333333781</v>
      </c>
      <c r="AN190" s="59">
        <f ca="1">AVERAGE(OFFSET($AM$3,0,0,'Données projet'!$E$10+1,1))-AVERAGE(OFFSET($H$3,0,0,'Données projet'!$E$10+1,1))</f>
        <v>335.02113791949211</v>
      </c>
      <c r="AO190" s="59">
        <f t="shared" si="144"/>
        <v>222.06886429435099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30.084454016758276</v>
      </c>
      <c r="AV190" s="21">
        <f>EXP(-LN(2)/25)*AV189+(1-EXP(-LN(2)/25))/(LN(2)/25)*Calculateur!AQ190*Calculateur!AS190*VLOOKUP('Données projet'!$B$10,Paramètres!$A$1:$I$89,3,0)*0.475*44/12</f>
        <v>12.049969005455484</v>
      </c>
      <c r="AW190" s="21">
        <f>EXP(-LN(2)/2)*AW189+(1-EXP(-LN(2)/2))/(LN(2)/2)*AQ190*AT190*VLOOKUP('Données projet'!$B$10,Paramètres!$A$1:$I$89,3,0)*0.475*44/12</f>
        <v>2.3619253798074158E-9</v>
      </c>
      <c r="AX190" s="21">
        <f t="shared" si="166"/>
        <v>42.134423024575682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-4.5474735088646412E-13</v>
      </c>
      <c r="BE190" s="13">
        <f>BD190*VLOOKUP('Données projet'!$B$11,Paramètres!$A$1:$I$89,3,0)*VLOOKUP('Données projet'!$B$11,Paramètres!$A$1:$I$89,5,0)</f>
        <v>-4.3983163777738812E-13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366.51581861366333</v>
      </c>
      <c r="BJ190" s="59">
        <f t="shared" si="146"/>
        <v>225.01415116995503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90.79402846761441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90.79402846761441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204.00000000000017</v>
      </c>
      <c r="BZ190" s="13">
        <f>BY190*VLOOKUP('Données projet'!$B$12,Paramètres!$A$1:$I$89,3,0)*VLOOKUP('Données projet'!$B$12,Paramètres!$A$1:$I$89,5,0)</f>
        <v>133.66080000000011</v>
      </c>
      <c r="CA190" s="13">
        <f t="shared" si="170"/>
        <v>34.840890682716783</v>
      </c>
      <c r="CB190" s="20">
        <f t="shared" si="171"/>
        <v>293.4737779390652</v>
      </c>
      <c r="CC190" s="59">
        <f t="shared" si="119"/>
        <v>586.80711127239852</v>
      </c>
      <c r="CD190" s="59">
        <f ca="1">AVERAGE(OFFSET($CC$3,0,0,'Données projet'!$E$12+1,1))-AVERAGE(OFFSET($H$3,0,0,'Données projet'!$E$12+1,1))</f>
        <v>230.58262378842818</v>
      </c>
      <c r="CE190" s="59">
        <f t="shared" si="148"/>
        <v>235.68746142880792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0.27967959730596759</v>
      </c>
      <c r="CL190" s="21">
        <f>EXP(-LN(2)/25)*CL189+(1-EXP(-LN(2)/25))/(LN(2)/25)*Calculateur!CG190*Calculateur!CI190*VLOOKUP('Données projet'!$B$12,Paramètres!$A$1:$I$89,3,0)*0.475*44/12</f>
        <v>0.73274230578530097</v>
      </c>
      <c r="CM190" s="21">
        <f>EXP(-LN(2)/2)*CM189+(1-EXP(-LN(2)/2))/(LN(2)/2)*CG190*CJ190*VLOOKUP('Données projet'!$B$12,Paramètres!$A$1:$I$89,3,0)*0.475*44/12</f>
        <v>7.4788620225523135E-15</v>
      </c>
      <c r="CN190" s="22">
        <f t="shared" si="172"/>
        <v>1.0124219030912762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1.7053025658242404E-13</v>
      </c>
      <c r="CU190" s="17">
        <f>CT190*VLOOKUP('Données projet'!$B$13,Paramètres!$A$1:$I$89,3,0)*VLOOKUP('Données projet'!$B$13,Paramètres!$A$1:$I$89,5,0)</f>
        <v>1.3301360013429075E-13</v>
      </c>
      <c r="CV190" s="13">
        <f t="shared" si="173"/>
        <v>1.9329766731057041E-12</v>
      </c>
      <c r="CW190" s="20">
        <f t="shared" si="174"/>
        <v>3.5982663925596575E-12</v>
      </c>
      <c r="CX190" s="59">
        <f t="shared" si="122"/>
        <v>293.3333333333369</v>
      </c>
      <c r="CY190" s="59">
        <f ca="1">AVERAGE(OFFSET($CX$3,0,0,'Données projet'!$E$13+1,1))-AVERAGE(OFFSET($H$3,0,0,'Données projet'!$E$13+1,1))</f>
        <v>288.80569134263209</v>
      </c>
      <c r="CZ190" s="59">
        <f t="shared" si="150"/>
        <v>283.48738729114024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7.8397074835900842</v>
      </c>
      <c r="DG190" s="21">
        <f>EXP(-LN(2)/25)*DG189+(1-EXP(-LN(2)/25))/(LN(2)/25)*Calculateur!DB190*Calculateur!DD190*VLOOKUP('Données projet'!$B$13,Paramètres!$A$1:$I$89,3,0)*0.475*44/12</f>
        <v>2.5881148500267872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10.427822333616872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266.99999999999983</v>
      </c>
      <c r="DP190" s="17">
        <f>DO190*VLOOKUP('Données projet'!$B$14,Paramètres!$A$1:$I$89,3,0)*VLOOKUP('Données projet'!$B$14,Paramètres!$A$1:$I$89,5,0)</f>
        <v>212.42519999999985</v>
      </c>
      <c r="DQ190" s="13">
        <f t="shared" si="176"/>
        <v>52.465198231787184</v>
      </c>
      <c r="DR190" s="20">
        <f t="shared" si="177"/>
        <v>461.35077692036231</v>
      </c>
      <c r="DS190" s="59">
        <f t="shared" si="125"/>
        <v>754.68411025369562</v>
      </c>
      <c r="DT190" s="59">
        <f ca="1">AVERAGE(OFFSET($DS$3,0,0,'Données projet'!$E$14+1,1))-AVERAGE(OFFSET($H$3,0,0,'Données projet'!$E$14+1,1))</f>
        <v>299.10536994156814</v>
      </c>
      <c r="DU190" s="59">
        <f t="shared" si="152"/>
        <v>292.57799203101769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3.4591540791231683</v>
      </c>
      <c r="EB190" s="21">
        <f>EXP(-LN(2)/25)*EB189+(1-EXP(-LN(2)/25))/(LN(2)/25)*Calculateur!DW190*Calculateur!DY190*VLOOKUP('Données projet'!$B$14,Paramètres!$A$1:$I$89,3,0)*0.475*44/12</f>
        <v>0.42872649203071617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3.8878805711538846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5.1431925385259092E-13</v>
      </c>
      <c r="P191" s="13">
        <f t="shared" si="141"/>
        <v>6.3855359115685756E-12</v>
      </c>
      <c r="Q191" s="20">
        <f t="shared" si="162"/>
        <v>1.2017247746441865E-11</v>
      </c>
      <c r="R191" s="59">
        <f t="shared" si="109"/>
        <v>293.33333333334531</v>
      </c>
      <c r="S191" s="59">
        <f ca="1">AVERAGE(OFFSET($R$3,0,0,'Données projet'!$E$9+1,1))-AVERAGE(OFFSET($H$3,0,0,'Données projet'!$E$9+1,1))</f>
        <v>384.05928630855732</v>
      </c>
      <c r="T191" s="59">
        <f t="shared" si="142"/>
        <v>279.93992813630513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55.298231948116936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55.298231948116936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1.9895196601282805E-13</v>
      </c>
      <c r="AJ191" s="13">
        <f>AI191*VLOOKUP('Données projet'!$B$10,Paramètres!$A$1:$I$89,3,0)*VLOOKUP('Données projet'!$B$10,Paramètres!$A$1:$I$89,5,0)</f>
        <v>1.707007868390065E-13</v>
      </c>
      <c r="AK191" s="13">
        <f t="shared" si="164"/>
        <v>2.4096578055149408E-12</v>
      </c>
      <c r="AL191" s="20">
        <f t="shared" si="165"/>
        <v>4.4941245483497909E-12</v>
      </c>
      <c r="AM191" s="59">
        <f t="shared" si="113"/>
        <v>293.33333333333781</v>
      </c>
      <c r="AN191" s="59">
        <f ca="1">AVERAGE(OFFSET($AM$3,0,0,'Données projet'!$E$10+1,1))-AVERAGE(OFFSET($H$3,0,0,'Données projet'!$E$10+1,1))</f>
        <v>335.02113791949211</v>
      </c>
      <c r="AO191" s="59">
        <f t="shared" si="144"/>
        <v>222.06886429435099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29.494516223194712</v>
      </c>
      <c r="AV191" s="21">
        <f>EXP(-LN(2)/25)*AV190+(1-EXP(-LN(2)/25))/(LN(2)/25)*Calculateur!AQ191*Calculateur!AS191*VLOOKUP('Données projet'!$B$10,Paramètres!$A$1:$I$89,3,0)*0.475*44/12</f>
        <v>11.720461969320974</v>
      </c>
      <c r="AW191" s="21">
        <f>EXP(-LN(2)/2)*AW190+(1-EXP(-LN(2)/2))/(LN(2)/2)*AQ191*AT191*VLOOKUP('Données projet'!$B$10,Paramètres!$A$1:$I$89,3,0)*0.475*44/12</f>
        <v>1.6701334527184356E-9</v>
      </c>
      <c r="AX191" s="21">
        <f t="shared" si="166"/>
        <v>41.214978194185818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-4.5474735088646412E-13</v>
      </c>
      <c r="BE191" s="13">
        <f>BD191*VLOOKUP('Données projet'!$B$11,Paramètres!$A$1:$I$89,3,0)*VLOOKUP('Données projet'!$B$11,Paramètres!$A$1:$I$89,5,0)</f>
        <v>-4.3983163777738812E-13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366.51581861366333</v>
      </c>
      <c r="BJ191" s="59">
        <f t="shared" si="146"/>
        <v>225.01415116995503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89.013612948253652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89.013612948253652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204.00000000000017</v>
      </c>
      <c r="BZ191" s="13">
        <f>BY191*VLOOKUP('Données projet'!$B$12,Paramètres!$A$1:$I$89,3,0)*VLOOKUP('Données projet'!$B$12,Paramètres!$A$1:$I$89,5,0)</f>
        <v>133.66080000000011</v>
      </c>
      <c r="CA191" s="13">
        <f t="shared" si="170"/>
        <v>34.840890682716783</v>
      </c>
      <c r="CB191" s="20">
        <f t="shared" si="171"/>
        <v>293.4737779390652</v>
      </c>
      <c r="CC191" s="59">
        <f t="shared" si="119"/>
        <v>586.80711127239852</v>
      </c>
      <c r="CD191" s="59">
        <f ca="1">AVERAGE(OFFSET($CC$3,0,0,'Données projet'!$E$12+1,1))-AVERAGE(OFFSET($H$3,0,0,'Données projet'!$E$12+1,1))</f>
        <v>230.58262378842818</v>
      </c>
      <c r="CE191" s="59">
        <f t="shared" si="148"/>
        <v>235.68746142880792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0.27419525099050779</v>
      </c>
      <c r="CL191" s="21">
        <f>EXP(-LN(2)/25)*CL190+(1-EXP(-LN(2)/25))/(LN(2)/25)*Calculateur!CG191*Calculateur!CI191*VLOOKUP('Données projet'!$B$12,Paramètres!$A$1:$I$89,3,0)*0.475*44/12</f>
        <v>0.71270542890035882</v>
      </c>
      <c r="CM191" s="21">
        <f>EXP(-LN(2)/2)*CM190+(1-EXP(-LN(2)/2))/(LN(2)/2)*CG191*CJ191*VLOOKUP('Données projet'!$B$12,Paramètres!$A$1:$I$89,3,0)*0.475*44/12</f>
        <v>5.2883540517052791E-15</v>
      </c>
      <c r="CN191" s="22">
        <f t="shared" si="172"/>
        <v>0.98690067989087193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1.7053025658242404E-13</v>
      </c>
      <c r="CU191" s="17">
        <f>CT191*VLOOKUP('Données projet'!$B$13,Paramètres!$A$1:$I$89,3,0)*VLOOKUP('Données projet'!$B$13,Paramètres!$A$1:$I$89,5,0)</f>
        <v>1.3301360013429075E-13</v>
      </c>
      <c r="CV191" s="13">
        <f t="shared" si="173"/>
        <v>1.9329766731057041E-12</v>
      </c>
      <c r="CW191" s="20">
        <f t="shared" si="174"/>
        <v>3.5982663925596575E-12</v>
      </c>
      <c r="CX191" s="59">
        <f t="shared" si="122"/>
        <v>293.3333333333369</v>
      </c>
      <c r="CY191" s="59">
        <f ca="1">AVERAGE(OFFSET($CX$3,0,0,'Données projet'!$E$13+1,1))-AVERAGE(OFFSET($H$3,0,0,'Données projet'!$E$13+1,1))</f>
        <v>288.80569134263209</v>
      </c>
      <c r="CZ191" s="59">
        <f t="shared" si="150"/>
        <v>283.48738729114024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7.6859756015862892</v>
      </c>
      <c r="DG191" s="21">
        <f>EXP(-LN(2)/25)*DG190+(1-EXP(-LN(2)/25))/(LN(2)/25)*Calculateur!DB191*Calculateur!DD191*VLOOKUP('Données projet'!$B$13,Paramètres!$A$1:$I$89,3,0)*0.475*44/12</f>
        <v>2.5173427133497599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10.203318314936048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266.99999999999983</v>
      </c>
      <c r="DP191" s="17">
        <f>DO191*VLOOKUP('Données projet'!$B$14,Paramètres!$A$1:$I$89,3,0)*VLOOKUP('Données projet'!$B$14,Paramètres!$A$1:$I$89,5,0)</f>
        <v>212.42519999999985</v>
      </c>
      <c r="DQ191" s="13">
        <f t="shared" si="176"/>
        <v>52.465198231787184</v>
      </c>
      <c r="DR191" s="20">
        <f t="shared" si="177"/>
        <v>461.35077692036231</v>
      </c>
      <c r="DS191" s="59">
        <f t="shared" si="125"/>
        <v>754.68411025369562</v>
      </c>
      <c r="DT191" s="59">
        <f ca="1">AVERAGE(OFFSET($DS$3,0,0,'Données projet'!$E$14+1,1))-AVERAGE(OFFSET($H$3,0,0,'Données projet'!$E$14+1,1))</f>
        <v>299.10536994156814</v>
      </c>
      <c r="DU191" s="59">
        <f t="shared" si="152"/>
        <v>292.57799203101769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3.3913221775072184</v>
      </c>
      <c r="EB191" s="21">
        <f>EXP(-LN(2)/25)*EB190+(1-EXP(-LN(2)/25))/(LN(2)/25)*Calculateur!DW191*Calculateur!DY191*VLOOKUP('Données projet'!$B$14,Paramètres!$A$1:$I$89,3,0)*0.475*44/12</f>
        <v>0.41700294356038986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3.8083251210676083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5.1431925385259092E-13</v>
      </c>
      <c r="P192" s="13">
        <f t="shared" si="141"/>
        <v>6.3855359115685756E-12</v>
      </c>
      <c r="Q192" s="20">
        <f t="shared" si="162"/>
        <v>1.2017247746441865E-11</v>
      </c>
      <c r="R192" s="59">
        <f t="shared" si="109"/>
        <v>293.33333333334531</v>
      </c>
      <c r="S192" s="59">
        <f ca="1">AVERAGE(OFFSET($R$3,0,0,'Données projet'!$E$9+1,1))-AVERAGE(OFFSET($H$3,0,0,'Données projet'!$E$9+1,1))</f>
        <v>384.05928630855732</v>
      </c>
      <c r="T192" s="59">
        <f t="shared" si="142"/>
        <v>279.93992813630513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54.213867348205426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54.213867348205426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1.9895196601282805E-13</v>
      </c>
      <c r="AJ192" s="13">
        <f>AI192*VLOOKUP('Données projet'!$B$10,Paramètres!$A$1:$I$89,3,0)*VLOOKUP('Données projet'!$B$10,Paramètres!$A$1:$I$89,5,0)</f>
        <v>1.707007868390065E-13</v>
      </c>
      <c r="AK192" s="13">
        <f t="shared" si="164"/>
        <v>2.4096578055149408E-12</v>
      </c>
      <c r="AL192" s="20">
        <f t="shared" si="165"/>
        <v>4.4941245483497909E-12</v>
      </c>
      <c r="AM192" s="59">
        <f t="shared" si="113"/>
        <v>293.33333333333781</v>
      </c>
      <c r="AN192" s="59">
        <f ca="1">AVERAGE(OFFSET($AM$3,0,0,'Données projet'!$E$10+1,1))-AVERAGE(OFFSET($H$3,0,0,'Données projet'!$E$10+1,1))</f>
        <v>335.02113791949211</v>
      </c>
      <c r="AO192" s="59">
        <f t="shared" si="144"/>
        <v>222.06886429435099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28.916146749936406</v>
      </c>
      <c r="AV192" s="21">
        <f>EXP(-LN(2)/25)*AV191+(1-EXP(-LN(2)/25))/(LN(2)/25)*Calculateur!AQ192*Calculateur!AS192*VLOOKUP('Données projet'!$B$10,Paramètres!$A$1:$I$89,3,0)*0.475*44/12</f>
        <v>11.399965320417584</v>
      </c>
      <c r="AW192" s="21">
        <f>EXP(-LN(2)/2)*AW191+(1-EXP(-LN(2)/2))/(LN(2)/2)*AQ192*AT192*VLOOKUP('Données projet'!$B$10,Paramètres!$A$1:$I$89,3,0)*0.475*44/12</f>
        <v>1.1809626899037079E-9</v>
      </c>
      <c r="AX192" s="21">
        <f t="shared" si="166"/>
        <v>40.316112071534953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-4.5474735088646412E-13</v>
      </c>
      <c r="BE192" s="13">
        <f>BD192*VLOOKUP('Données projet'!$B$11,Paramètres!$A$1:$I$89,3,0)*VLOOKUP('Données projet'!$B$11,Paramètres!$A$1:$I$89,5,0)</f>
        <v>-4.3983163777738812E-13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366.51581861366333</v>
      </c>
      <c r="BJ192" s="59">
        <f t="shared" si="146"/>
        <v>225.01415116995503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87.268110291281317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87.268110291281317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204.00000000000017</v>
      </c>
      <c r="BZ192" s="13">
        <f>BY192*VLOOKUP('Données projet'!$B$12,Paramètres!$A$1:$I$89,3,0)*VLOOKUP('Données projet'!$B$12,Paramètres!$A$1:$I$89,5,0)</f>
        <v>133.66080000000011</v>
      </c>
      <c r="CA192" s="13">
        <f t="shared" si="170"/>
        <v>34.840890682716783</v>
      </c>
      <c r="CB192" s="20">
        <f t="shared" si="171"/>
        <v>293.4737779390652</v>
      </c>
      <c r="CC192" s="59">
        <f t="shared" si="119"/>
        <v>586.80711127239852</v>
      </c>
      <c r="CD192" s="59">
        <f ca="1">AVERAGE(OFFSET($CC$3,0,0,'Données projet'!$E$12+1,1))-AVERAGE(OFFSET($H$3,0,0,'Données projet'!$E$12+1,1))</f>
        <v>230.58262378842818</v>
      </c>
      <c r="CE192" s="59">
        <f t="shared" si="148"/>
        <v>235.68746142880792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0.26881844936117322</v>
      </c>
      <c r="CL192" s="21">
        <f>EXP(-LN(2)/25)*CL191+(1-EXP(-LN(2)/25))/(LN(2)/25)*Calculateur!CG192*Calculateur!CI192*VLOOKUP('Données projet'!$B$12,Paramètres!$A$1:$I$89,3,0)*0.475*44/12</f>
        <v>0.69321646146752891</v>
      </c>
      <c r="CM192" s="21">
        <f>EXP(-LN(2)/2)*CM191+(1-EXP(-LN(2)/2))/(LN(2)/2)*CG192*CJ192*VLOOKUP('Données projet'!$B$12,Paramètres!$A$1:$I$89,3,0)*0.475*44/12</f>
        <v>3.7394310112761568E-15</v>
      </c>
      <c r="CN192" s="22">
        <f t="shared" si="172"/>
        <v>0.96203491082870585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1.7053025658242404E-13</v>
      </c>
      <c r="CU192" s="17">
        <f>CT192*VLOOKUP('Données projet'!$B$13,Paramètres!$A$1:$I$89,3,0)*VLOOKUP('Données projet'!$B$13,Paramètres!$A$1:$I$89,5,0)</f>
        <v>1.3301360013429075E-13</v>
      </c>
      <c r="CV192" s="13">
        <f t="shared" si="173"/>
        <v>1.9329766731057041E-12</v>
      </c>
      <c r="CW192" s="20">
        <f t="shared" si="174"/>
        <v>3.5982663925596575E-12</v>
      </c>
      <c r="CX192" s="59">
        <f t="shared" si="122"/>
        <v>293.3333333333369</v>
      </c>
      <c r="CY192" s="59">
        <f ca="1">AVERAGE(OFFSET($CX$3,0,0,'Données projet'!$E$13+1,1))-AVERAGE(OFFSET($H$3,0,0,'Données projet'!$E$13+1,1))</f>
        <v>288.80569134263209</v>
      </c>
      <c r="CZ192" s="59">
        <f t="shared" si="150"/>
        <v>283.48738729114024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7.5352583080213993</v>
      </c>
      <c r="DG192" s="21">
        <f>EXP(-LN(2)/25)*DG191+(1-EXP(-LN(2)/25))/(LN(2)/25)*Calculateur!DB192*Calculateur!DD192*VLOOKUP('Données projet'!$B$13,Paramètres!$A$1:$I$89,3,0)*0.475*44/12</f>
        <v>2.448505844471911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9.9837641524933112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266.99999999999983</v>
      </c>
      <c r="DP192" s="17">
        <f>DO192*VLOOKUP('Données projet'!$B$14,Paramètres!$A$1:$I$89,3,0)*VLOOKUP('Données projet'!$B$14,Paramètres!$A$1:$I$89,5,0)</f>
        <v>212.42519999999985</v>
      </c>
      <c r="DQ192" s="13">
        <f t="shared" si="176"/>
        <v>52.465198231787184</v>
      </c>
      <c r="DR192" s="20">
        <f t="shared" si="177"/>
        <v>461.35077692036231</v>
      </c>
      <c r="DS192" s="59">
        <f t="shared" si="125"/>
        <v>754.68411025369562</v>
      </c>
      <c r="DT192" s="59">
        <f ca="1">AVERAGE(OFFSET($DS$3,0,0,'Données projet'!$E$14+1,1))-AVERAGE(OFFSET($H$3,0,0,'Données projet'!$E$14+1,1))</f>
        <v>299.10536994156814</v>
      </c>
      <c r="DU192" s="59">
        <f t="shared" si="152"/>
        <v>292.57799203101769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3.3248204181085823</v>
      </c>
      <c r="EB192" s="21">
        <f>EXP(-LN(2)/25)*EB191+(1-EXP(-LN(2)/25))/(LN(2)/25)*Calculateur!DW192*Calculateur!DY192*VLOOKUP('Données projet'!$B$14,Paramètres!$A$1:$I$89,3,0)*0.475*44/12</f>
        <v>0.40559997613949927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3.7304203942480818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5.1431925385259092E-13</v>
      </c>
      <c r="P193" s="13">
        <f t="shared" si="141"/>
        <v>6.3855359115685756E-12</v>
      </c>
      <c r="Q193" s="20">
        <f t="shared" si="162"/>
        <v>1.2017247746441865E-11</v>
      </c>
      <c r="R193" s="59">
        <f t="shared" si="109"/>
        <v>293.33333333334531</v>
      </c>
      <c r="S193" s="59">
        <f ca="1">AVERAGE(OFFSET($R$3,0,0,'Données projet'!$E$9+1,1))-AVERAGE(OFFSET($H$3,0,0,'Données projet'!$E$9+1,1))</f>
        <v>384.05928630855732</v>
      </c>
      <c r="T193" s="59">
        <f t="shared" si="142"/>
        <v>279.93992813630513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53.150766476701087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53.150766476701087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1.9895196601282805E-13</v>
      </c>
      <c r="AJ193" s="13">
        <f>AI193*VLOOKUP('Données projet'!$B$10,Paramètres!$A$1:$I$89,3,0)*VLOOKUP('Données projet'!$B$10,Paramètres!$A$1:$I$89,5,0)</f>
        <v>1.707007868390065E-13</v>
      </c>
      <c r="AK193" s="13">
        <f t="shared" si="164"/>
        <v>2.4096578055149408E-12</v>
      </c>
      <c r="AL193" s="20">
        <f t="shared" si="165"/>
        <v>4.4941245483497909E-12</v>
      </c>
      <c r="AM193" s="59">
        <f t="shared" si="113"/>
        <v>293.33333333333781</v>
      </c>
      <c r="AN193" s="59">
        <f ca="1">AVERAGE(OFFSET($AM$3,0,0,'Données projet'!$E$10+1,1))-AVERAGE(OFFSET($H$3,0,0,'Données projet'!$E$10+1,1))</f>
        <v>335.02113791949211</v>
      </c>
      <c r="AO193" s="59">
        <f t="shared" si="144"/>
        <v>222.06886429435099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28.349118749278151</v>
      </c>
      <c r="AV193" s="21">
        <f>EXP(-LN(2)/25)*AV192+(1-EXP(-LN(2)/25))/(LN(2)/25)*Calculateur!AQ193*Calculateur!AS193*VLOOKUP('Données projet'!$B$10,Paramètres!$A$1:$I$89,3,0)*0.475*44/12</f>
        <v>11.088232669232644</v>
      </c>
      <c r="AW193" s="21">
        <f>EXP(-LN(2)/2)*AW192+(1-EXP(-LN(2)/2))/(LN(2)/2)*AQ193*AT193*VLOOKUP('Données projet'!$B$10,Paramètres!$A$1:$I$89,3,0)*0.475*44/12</f>
        <v>8.3506672635921779E-10</v>
      </c>
      <c r="AX193" s="21">
        <f t="shared" si="166"/>
        <v>39.437351419345859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-4.5474735088646412E-13</v>
      </c>
      <c r="BE193" s="13">
        <f>BD193*VLOOKUP('Données projet'!$B$11,Paramètres!$A$1:$I$89,3,0)*VLOOKUP('Données projet'!$B$11,Paramètres!$A$1:$I$89,5,0)</f>
        <v>-4.3983163777738812E-13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366.51581861366333</v>
      </c>
      <c r="BJ193" s="59">
        <f t="shared" si="146"/>
        <v>225.01415116995503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85.556835876760715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85.556835876760715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204.00000000000017</v>
      </c>
      <c r="BZ193" s="13">
        <f>BY193*VLOOKUP('Données projet'!$B$12,Paramètres!$A$1:$I$89,3,0)*VLOOKUP('Données projet'!$B$12,Paramètres!$A$1:$I$89,5,0)</f>
        <v>133.66080000000011</v>
      </c>
      <c r="CA193" s="13">
        <f t="shared" si="170"/>
        <v>34.840890682716783</v>
      </c>
      <c r="CB193" s="20">
        <f t="shared" si="171"/>
        <v>293.4737779390652</v>
      </c>
      <c r="CC193" s="59">
        <f t="shared" si="119"/>
        <v>586.80711127239852</v>
      </c>
      <c r="CD193" s="59">
        <f ca="1">AVERAGE(OFFSET($CC$3,0,0,'Données projet'!$E$12+1,1))-AVERAGE(OFFSET($H$3,0,0,'Données projet'!$E$12+1,1))</f>
        <v>230.58262378842818</v>
      </c>
      <c r="CE193" s="59">
        <f t="shared" si="148"/>
        <v>235.68746142880792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0.26354708353226469</v>
      </c>
      <c r="CL193" s="21">
        <f>EXP(-LN(2)/25)*CL192+(1-EXP(-LN(2)/25))/(LN(2)/25)*Calculateur!CG193*Calculateur!CI193*VLOOKUP('Données projet'!$B$12,Paramètres!$A$1:$I$89,3,0)*0.475*44/12</f>
        <v>0.67426042087403004</v>
      </c>
      <c r="CM193" s="21">
        <f>EXP(-LN(2)/2)*CM192+(1-EXP(-LN(2)/2))/(LN(2)/2)*CG193*CJ193*VLOOKUP('Données projet'!$B$12,Paramètres!$A$1:$I$89,3,0)*0.475*44/12</f>
        <v>2.6441770258526396E-15</v>
      </c>
      <c r="CN193" s="22">
        <f t="shared" si="172"/>
        <v>0.93780750440629745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1.7053025658242404E-13</v>
      </c>
      <c r="CU193" s="17">
        <f>CT193*VLOOKUP('Données projet'!$B$13,Paramètres!$A$1:$I$89,3,0)*VLOOKUP('Données projet'!$B$13,Paramètres!$A$1:$I$89,5,0)</f>
        <v>1.3301360013429075E-13</v>
      </c>
      <c r="CV193" s="13">
        <f t="shared" si="173"/>
        <v>1.9329766731057041E-12</v>
      </c>
      <c r="CW193" s="20">
        <f t="shared" si="174"/>
        <v>3.5982663925596575E-12</v>
      </c>
      <c r="CX193" s="59">
        <f t="shared" si="122"/>
        <v>293.3333333333369</v>
      </c>
      <c r="CY193" s="59">
        <f ca="1">AVERAGE(OFFSET($CX$3,0,0,'Données projet'!$E$13+1,1))-AVERAGE(OFFSET($H$3,0,0,'Données projet'!$E$13+1,1))</f>
        <v>288.80569134263209</v>
      </c>
      <c r="CZ193" s="59">
        <f t="shared" si="150"/>
        <v>283.48738729114024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7.3874964886548451</v>
      </c>
      <c r="DG193" s="21">
        <f>EXP(-LN(2)/25)*DG192+(1-EXP(-LN(2)/25))/(LN(2)/25)*Calculateur!DB193*Calculateur!DD193*VLOOKUP('Données projet'!$B$13,Paramètres!$A$1:$I$89,3,0)*0.475*44/12</f>
        <v>2.3815513233935004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9.7690478120483455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266.99999999999983</v>
      </c>
      <c r="DP193" s="17">
        <f>DO193*VLOOKUP('Données projet'!$B$14,Paramètres!$A$1:$I$89,3,0)*VLOOKUP('Données projet'!$B$14,Paramètres!$A$1:$I$89,5,0)</f>
        <v>212.42519999999985</v>
      </c>
      <c r="DQ193" s="13">
        <f t="shared" si="176"/>
        <v>52.465198231787184</v>
      </c>
      <c r="DR193" s="20">
        <f t="shared" si="177"/>
        <v>461.35077692036231</v>
      </c>
      <c r="DS193" s="59">
        <f t="shared" si="125"/>
        <v>754.68411025369562</v>
      </c>
      <c r="DT193" s="59">
        <f ca="1">AVERAGE(OFFSET($DS$3,0,0,'Données projet'!$E$14+1,1))-AVERAGE(OFFSET($H$3,0,0,'Données projet'!$E$14+1,1))</f>
        <v>299.10536994156814</v>
      </c>
      <c r="DU193" s="59">
        <f t="shared" si="152"/>
        <v>292.57799203101769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3.2596227176496857</v>
      </c>
      <c r="EB193" s="21">
        <f>EXP(-LN(2)/25)*EB192+(1-EXP(-LN(2)/25))/(LN(2)/25)*Calculateur!DW193*Calculateur!DY193*VLOOKUP('Données projet'!$B$14,Paramètres!$A$1:$I$89,3,0)*0.475*44/12</f>
        <v>0.39450882346238891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3.6541315411120747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5.1431925385259092E-13</v>
      </c>
      <c r="P194" s="13">
        <f t="shared" si="141"/>
        <v>6.3855359115685756E-12</v>
      </c>
      <c r="Q194" s="20">
        <f t="shared" si="162"/>
        <v>1.2017247746441865E-11</v>
      </c>
      <c r="R194" s="59">
        <f t="shared" si="109"/>
        <v>293.33333333334531</v>
      </c>
      <c r="S194" s="59">
        <f ca="1">AVERAGE(OFFSET($R$3,0,0,'Données projet'!$E$9+1,1))-AVERAGE(OFFSET($H$3,0,0,'Données projet'!$E$9+1,1))</f>
        <v>384.05928630855732</v>
      </c>
      <c r="T194" s="59">
        <f t="shared" si="142"/>
        <v>279.93992813630513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52.108512364859443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52.108512364859443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1.9895196601282805E-13</v>
      </c>
      <c r="AJ194" s="13">
        <f>AI194*VLOOKUP('Données projet'!$B$10,Paramètres!$A$1:$I$89,3,0)*VLOOKUP('Données projet'!$B$10,Paramètres!$A$1:$I$89,5,0)</f>
        <v>1.707007868390065E-13</v>
      </c>
      <c r="AK194" s="13">
        <f t="shared" si="164"/>
        <v>2.4096578055149408E-12</v>
      </c>
      <c r="AL194" s="20">
        <f t="shared" si="165"/>
        <v>4.4941245483497909E-12</v>
      </c>
      <c r="AM194" s="59">
        <f t="shared" si="113"/>
        <v>293.33333333333781</v>
      </c>
      <c r="AN194" s="59">
        <f ca="1">AVERAGE(OFFSET($AM$3,0,0,'Données projet'!$E$10+1,1))-AVERAGE(OFFSET($H$3,0,0,'Données projet'!$E$10+1,1))</f>
        <v>335.02113791949211</v>
      </c>
      <c r="AO194" s="59">
        <f t="shared" si="144"/>
        <v>222.06886429435099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27.793209821859875</v>
      </c>
      <c r="AV194" s="21">
        <f>EXP(-LN(2)/25)*AV193+(1-EXP(-LN(2)/25))/(LN(2)/25)*Calculateur!AQ194*Calculateur!AS194*VLOOKUP('Données projet'!$B$10,Paramètres!$A$1:$I$89,3,0)*0.475*44/12</f>
        <v>10.785024363787663</v>
      </c>
      <c r="AW194" s="21">
        <f>EXP(-LN(2)/2)*AW193+(1-EXP(-LN(2)/2))/(LN(2)/2)*AQ194*AT194*VLOOKUP('Données projet'!$B$10,Paramètres!$A$1:$I$89,3,0)*0.475*44/12</f>
        <v>5.9048134495185396E-10</v>
      </c>
      <c r="AX194" s="21">
        <f t="shared" si="166"/>
        <v>38.578234186238021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-4.5474735088646412E-13</v>
      </c>
      <c r="BE194" s="13">
        <f>BD194*VLOOKUP('Données projet'!$B$11,Paramètres!$A$1:$I$89,3,0)*VLOOKUP('Données projet'!$B$11,Paramètres!$A$1:$I$89,5,0)</f>
        <v>-4.3983163777738812E-13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366.51581861366333</v>
      </c>
      <c r="BJ194" s="59">
        <f t="shared" si="146"/>
        <v>225.01415116995503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83.879118509734525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83.879118509734525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204.00000000000017</v>
      </c>
      <c r="BZ194" s="13">
        <f>BY194*VLOOKUP('Données projet'!$B$12,Paramètres!$A$1:$I$89,3,0)*VLOOKUP('Données projet'!$B$12,Paramètres!$A$1:$I$89,5,0)</f>
        <v>133.66080000000011</v>
      </c>
      <c r="CA194" s="13">
        <f t="shared" si="170"/>
        <v>34.840890682716783</v>
      </c>
      <c r="CB194" s="20">
        <f t="shared" si="171"/>
        <v>293.4737779390652</v>
      </c>
      <c r="CC194" s="59">
        <f t="shared" si="119"/>
        <v>586.80711127239852</v>
      </c>
      <c r="CD194" s="59">
        <f ca="1">AVERAGE(OFFSET($CC$3,0,0,'Données projet'!$E$12+1,1))-AVERAGE(OFFSET($H$3,0,0,'Données projet'!$E$12+1,1))</f>
        <v>230.58262378842818</v>
      </c>
      <c r="CE194" s="59">
        <f t="shared" si="148"/>
        <v>235.68746142880792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0.2583790859720454</v>
      </c>
      <c r="CL194" s="21">
        <f>EXP(-LN(2)/25)*CL193+(1-EXP(-LN(2)/25))/(LN(2)/25)*Calculateur!CG194*Calculateur!CI194*VLOOKUP('Données projet'!$B$12,Paramètres!$A$1:$I$89,3,0)*0.475*44/12</f>
        <v>0.65582273420741521</v>
      </c>
      <c r="CM194" s="21">
        <f>EXP(-LN(2)/2)*CM193+(1-EXP(-LN(2)/2))/(LN(2)/2)*CG194*CJ194*VLOOKUP('Données projet'!$B$12,Paramètres!$A$1:$I$89,3,0)*0.475*44/12</f>
        <v>1.8697155056380784E-15</v>
      </c>
      <c r="CN194" s="22">
        <f t="shared" si="172"/>
        <v>0.9142018201794625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1.7053025658242404E-13</v>
      </c>
      <c r="CU194" s="17">
        <f>CT194*VLOOKUP('Données projet'!$B$13,Paramètres!$A$1:$I$89,3,0)*VLOOKUP('Données projet'!$B$13,Paramètres!$A$1:$I$89,5,0)</f>
        <v>1.3301360013429075E-13</v>
      </c>
      <c r="CV194" s="13">
        <f t="shared" si="173"/>
        <v>1.9329766731057041E-12</v>
      </c>
      <c r="CW194" s="20">
        <f t="shared" si="174"/>
        <v>3.5982663925596575E-12</v>
      </c>
      <c r="CX194" s="59">
        <f t="shared" si="122"/>
        <v>293.3333333333369</v>
      </c>
      <c r="CY194" s="59">
        <f ca="1">AVERAGE(OFFSET($CX$3,0,0,'Données projet'!$E$13+1,1))-AVERAGE(OFFSET($H$3,0,0,'Données projet'!$E$13+1,1))</f>
        <v>288.80569134263209</v>
      </c>
      <c r="CZ194" s="59">
        <f t="shared" si="150"/>
        <v>283.48738729114024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7.2426321884402585</v>
      </c>
      <c r="DG194" s="21">
        <f>EXP(-LN(2)/25)*DG193+(1-EXP(-LN(2)/25))/(LN(2)/25)*Calculateur!DB194*Calculateur!DD194*VLOOKUP('Données projet'!$B$13,Paramètres!$A$1:$I$89,3,0)*0.475*44/12</f>
        <v>2.3164276772149641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9.5590598656552217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266.99999999999983</v>
      </c>
      <c r="DP194" s="17">
        <f>DO194*VLOOKUP('Données projet'!$B$14,Paramètres!$A$1:$I$89,3,0)*VLOOKUP('Données projet'!$B$14,Paramètres!$A$1:$I$89,5,0)</f>
        <v>212.42519999999985</v>
      </c>
      <c r="DQ194" s="13">
        <f t="shared" si="176"/>
        <v>52.465198231787184</v>
      </c>
      <c r="DR194" s="20">
        <f t="shared" si="177"/>
        <v>461.35077692036231</v>
      </c>
      <c r="DS194" s="59">
        <f t="shared" si="125"/>
        <v>754.68411025369562</v>
      </c>
      <c r="DT194" s="59">
        <f ca="1">AVERAGE(OFFSET($DS$3,0,0,'Données projet'!$E$14+1,1))-AVERAGE(OFFSET($H$3,0,0,'Données projet'!$E$14+1,1))</f>
        <v>299.10536994156814</v>
      </c>
      <c r="DU194" s="59">
        <f t="shared" si="152"/>
        <v>292.57799203101769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3.1957035043301172</v>
      </c>
      <c r="EB194" s="21">
        <f>EXP(-LN(2)/25)*EB193+(1-EXP(-LN(2)/25))/(LN(2)/25)*Calculateur!DW194*Calculateur!DY194*VLOOKUP('Données projet'!$B$14,Paramètres!$A$1:$I$89,3,0)*0.475*44/12</f>
        <v>0.38372095893849251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3.5794244632686096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5.1431925385259092E-13</v>
      </c>
      <c r="P195" s="13">
        <f t="shared" si="141"/>
        <v>6.3855359115685756E-12</v>
      </c>
      <c r="Q195" s="20">
        <f t="shared" si="162"/>
        <v>1.2017247746441865E-11</v>
      </c>
      <c r="R195" s="59">
        <f t="shared" ref="R195:R203" si="191">Q195+(I195+J195)*44/12</f>
        <v>293.33333333334531</v>
      </c>
      <c r="S195" s="59">
        <f ca="1">AVERAGE(OFFSET($R$3,0,0,'Données projet'!$E$9+1,1))-AVERAGE(OFFSET($H$3,0,0,'Données projet'!$E$9+1,1))</f>
        <v>384.05928630855732</v>
      </c>
      <c r="T195" s="59">
        <f t="shared" si="142"/>
        <v>279.93992813630513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51.086696220438775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51.086696220438775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1.9895196601282805E-13</v>
      </c>
      <c r="AJ195" s="13">
        <f>AI195*VLOOKUP('Données projet'!$B$10,Paramètres!$A$1:$I$89,3,0)*VLOOKUP('Données projet'!$B$10,Paramètres!$A$1:$I$89,5,0)</f>
        <v>1.707007868390065E-13</v>
      </c>
      <c r="AK195" s="13">
        <f t="shared" si="164"/>
        <v>2.4096578055149408E-12</v>
      </c>
      <c r="AL195" s="20">
        <f t="shared" si="165"/>
        <v>4.4941245483497909E-12</v>
      </c>
      <c r="AM195" s="59">
        <f t="shared" si="113"/>
        <v>293.33333333333781</v>
      </c>
      <c r="AN195" s="59">
        <f ca="1">AVERAGE(OFFSET($AM$3,0,0,'Données projet'!$E$10+1,1))-AVERAGE(OFFSET($H$3,0,0,'Données projet'!$E$10+1,1))</f>
        <v>335.02113791949211</v>
      </c>
      <c r="AO195" s="59">
        <f t="shared" si="144"/>
        <v>222.06886429435099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27.248201929437304</v>
      </c>
      <c r="AV195" s="21">
        <f>EXP(-LN(2)/25)*AV194+(1-EXP(-LN(2)/25))/(LN(2)/25)*Calculateur!AQ195*Calculateur!AS195*VLOOKUP('Données projet'!$B$10,Paramètres!$A$1:$I$89,3,0)*0.475*44/12</f>
        <v>10.490107305400107</v>
      </c>
      <c r="AW195" s="21">
        <f>EXP(-LN(2)/2)*AW194+(1-EXP(-LN(2)/2))/(LN(2)/2)*AQ195*AT195*VLOOKUP('Données projet'!$B$10,Paramètres!$A$1:$I$89,3,0)*0.475*44/12</f>
        <v>4.1753336317960889E-10</v>
      </c>
      <c r="AX195" s="21">
        <f t="shared" si="166"/>
        <v>37.738309235254945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-4.5474735088646412E-13</v>
      </c>
      <c r="BE195" s="13">
        <f>BD195*VLOOKUP('Données projet'!$B$11,Paramètres!$A$1:$I$89,3,0)*VLOOKUP('Données projet'!$B$11,Paramètres!$A$1:$I$89,5,0)</f>
        <v>-4.3983163777738812E-13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366.51581861366333</v>
      </c>
      <c r="BJ195" s="59">
        <f t="shared" si="146"/>
        <v>225.01415116995503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82.234300156969169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82.234300156969169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204.00000000000017</v>
      </c>
      <c r="BZ195" s="13">
        <f>BY195*VLOOKUP('Données projet'!$B$12,Paramètres!$A$1:$I$89,3,0)*VLOOKUP('Données projet'!$B$12,Paramètres!$A$1:$I$89,5,0)</f>
        <v>133.66080000000011</v>
      </c>
      <c r="CA195" s="13">
        <f t="shared" si="170"/>
        <v>34.840890682716783</v>
      </c>
      <c r="CB195" s="20">
        <f t="shared" si="171"/>
        <v>293.4737779390652</v>
      </c>
      <c r="CC195" s="59">
        <f t="shared" si="119"/>
        <v>586.80711127239852</v>
      </c>
      <c r="CD195" s="59">
        <f ca="1">AVERAGE(OFFSET($CC$3,0,0,'Données projet'!$E$12+1,1))-AVERAGE(OFFSET($H$3,0,0,'Données projet'!$E$12+1,1))</f>
        <v>230.58262378842818</v>
      </c>
      <c r="CE195" s="59">
        <f t="shared" si="148"/>
        <v>235.68746142880792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0.25331242969181472</v>
      </c>
      <c r="CL195" s="21">
        <f>EXP(-LN(2)/25)*CL194+(1-EXP(-LN(2)/25))/(LN(2)/25)*Calculateur!CG195*Calculateur!CI195*VLOOKUP('Données projet'!$B$12,Paramètres!$A$1:$I$89,3,0)*0.475*44/12</f>
        <v>0.63788922705229478</v>
      </c>
      <c r="CM195" s="21">
        <f>EXP(-LN(2)/2)*CM194+(1-EXP(-LN(2)/2))/(LN(2)/2)*CG195*CJ195*VLOOKUP('Données projet'!$B$12,Paramètres!$A$1:$I$89,3,0)*0.475*44/12</f>
        <v>1.3220885129263198E-15</v>
      </c>
      <c r="CN195" s="22">
        <f t="shared" si="172"/>
        <v>0.89120165674411078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1.7053025658242404E-13</v>
      </c>
      <c r="CU195" s="17">
        <f>CT195*VLOOKUP('Données projet'!$B$13,Paramètres!$A$1:$I$89,3,0)*VLOOKUP('Données projet'!$B$13,Paramètres!$A$1:$I$89,5,0)</f>
        <v>1.3301360013429075E-13</v>
      </c>
      <c r="CV195" s="13">
        <f t="shared" si="173"/>
        <v>1.9329766731057041E-12</v>
      </c>
      <c r="CW195" s="20">
        <f t="shared" si="174"/>
        <v>3.5982663925596575E-12</v>
      </c>
      <c r="CX195" s="59">
        <f t="shared" si="122"/>
        <v>293.3333333333369</v>
      </c>
      <c r="CY195" s="59">
        <f ca="1">AVERAGE(OFFSET($CX$3,0,0,'Données projet'!$E$13+1,1))-AVERAGE(OFFSET($H$3,0,0,'Données projet'!$E$13+1,1))</f>
        <v>288.80569134263209</v>
      </c>
      <c r="CZ195" s="59">
        <f t="shared" si="150"/>
        <v>283.48738729114024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7.1006085887943815</v>
      </c>
      <c r="DG195" s="21">
        <f>EXP(-LN(2)/25)*DG194+(1-EXP(-LN(2)/25))/(LN(2)/25)*Calculateur!DB195*Calculateur!DD195*VLOOKUP('Données projet'!$B$13,Paramètres!$A$1:$I$89,3,0)*0.475*44/12</f>
        <v>2.2530848405658834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9.3536934293602645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266.99999999999983</v>
      </c>
      <c r="DP195" s="17">
        <f>DO195*VLOOKUP('Données projet'!$B$14,Paramètres!$A$1:$I$89,3,0)*VLOOKUP('Données projet'!$B$14,Paramètres!$A$1:$I$89,5,0)</f>
        <v>212.42519999999985</v>
      </c>
      <c r="DQ195" s="13">
        <f t="shared" si="176"/>
        <v>52.465198231787184</v>
      </c>
      <c r="DR195" s="20">
        <f t="shared" si="177"/>
        <v>461.35077692036231</v>
      </c>
      <c r="DS195" s="59">
        <f t="shared" si="125"/>
        <v>754.68411025369562</v>
      </c>
      <c r="DT195" s="59">
        <f ca="1">AVERAGE(OFFSET($DS$3,0,0,'Données projet'!$E$14+1,1))-AVERAGE(OFFSET($H$3,0,0,'Données projet'!$E$14+1,1))</f>
        <v>299.10536994156814</v>
      </c>
      <c r="DU195" s="59">
        <f t="shared" si="152"/>
        <v>292.57799203101769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3.1330377077968752</v>
      </c>
      <c r="EB195" s="21">
        <f>EXP(-LN(2)/25)*EB194+(1-EXP(-LN(2)/25))/(LN(2)/25)*Calculateur!DW195*Calculateur!DY195*VLOOKUP('Données projet'!$B$14,Paramètres!$A$1:$I$89,3,0)*0.475*44/12</f>
        <v>0.3732280891373112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3.5062657969341862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5.1431925385259092E-13</v>
      </c>
      <c r="P196" s="13">
        <f t="shared" si="141"/>
        <v>6.3855359115685756E-12</v>
      </c>
      <c r="Q196" s="20">
        <f t="shared" si="162"/>
        <v>1.2017247746441865E-11</v>
      </c>
      <c r="R196" s="59">
        <f t="shared" si="191"/>
        <v>293.33333333334531</v>
      </c>
      <c r="S196" s="59">
        <f ca="1">AVERAGE(OFFSET($R$3,0,0,'Données projet'!$E$9+1,1))-AVERAGE(OFFSET($H$3,0,0,'Données projet'!$E$9+1,1))</f>
        <v>384.05928630855732</v>
      </c>
      <c r="T196" s="59">
        <f t="shared" si="142"/>
        <v>279.93992813630513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50.084917267363892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50.084917267363892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1.9895196601282805E-13</v>
      </c>
      <c r="AJ196" s="13">
        <f>AI196*VLOOKUP('Données projet'!$B$10,Paramètres!$A$1:$I$89,3,0)*VLOOKUP('Données projet'!$B$10,Paramètres!$A$1:$I$89,5,0)</f>
        <v>1.707007868390065E-13</v>
      </c>
      <c r="AK196" s="13">
        <f t="shared" si="164"/>
        <v>2.4096578055149408E-12</v>
      </c>
      <c r="AL196" s="20">
        <f t="shared" si="165"/>
        <v>4.4941245483497909E-12</v>
      </c>
      <c r="AM196" s="59">
        <f t="shared" ref="AM196:AM203" si="193">AL196+(AD196+AE196)*44/12</f>
        <v>293.33333333333781</v>
      </c>
      <c r="AN196" s="59">
        <f ca="1">AVERAGE(OFFSET($AM$3,0,0,'Données projet'!$E$10+1,1))-AVERAGE(OFFSET($H$3,0,0,'Données projet'!$E$10+1,1))</f>
        <v>335.02113791949211</v>
      </c>
      <c r="AO196" s="59">
        <f t="shared" si="144"/>
        <v>222.06886429435099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26.713881309363149</v>
      </c>
      <c r="AV196" s="21">
        <f>EXP(-LN(2)/25)*AV195+(1-EXP(-LN(2)/25))/(LN(2)/25)*Calculateur!AQ196*Calculateur!AS196*VLOOKUP('Données projet'!$B$10,Paramètres!$A$1:$I$89,3,0)*0.475*44/12</f>
        <v>10.203254769483173</v>
      </c>
      <c r="AW196" s="21">
        <f>EXP(-LN(2)/2)*AW195+(1-EXP(-LN(2)/2))/(LN(2)/2)*AQ196*AT196*VLOOKUP('Données projet'!$B$10,Paramètres!$A$1:$I$89,3,0)*0.475*44/12</f>
        <v>2.9524067247592698E-10</v>
      </c>
      <c r="AX196" s="21">
        <f t="shared" si="166"/>
        <v>36.917136079141564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-4.5474735088646412E-13</v>
      </c>
      <c r="BE196" s="13">
        <f>BD196*VLOOKUP('Données projet'!$B$11,Paramètres!$A$1:$I$89,3,0)*VLOOKUP('Données projet'!$B$11,Paramètres!$A$1:$I$89,5,0)</f>
        <v>-4.3983163777738812E-13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366.51581861366333</v>
      </c>
      <c r="BJ196" s="59">
        <f t="shared" si="146"/>
        <v>225.01415116995503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80.621735688861406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80.621735688861406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204.00000000000017</v>
      </c>
      <c r="BZ196" s="13">
        <f>BY196*VLOOKUP('Données projet'!$B$12,Paramètres!$A$1:$I$89,3,0)*VLOOKUP('Données projet'!$B$12,Paramètres!$A$1:$I$89,5,0)</f>
        <v>133.66080000000011</v>
      </c>
      <c r="CA196" s="13">
        <f t="shared" si="170"/>
        <v>34.840890682716783</v>
      </c>
      <c r="CB196" s="20">
        <f t="shared" si="171"/>
        <v>293.4737779390652</v>
      </c>
      <c r="CC196" s="59">
        <f t="shared" ref="CC196:CC203" si="195">CB196+(BT196+BU196)*44/12</f>
        <v>586.80711127239852</v>
      </c>
      <c r="CD196" s="59">
        <f ca="1">AVERAGE(OFFSET($CC$3,0,0,'Données projet'!$E$12+1,1))-AVERAGE(OFFSET($H$3,0,0,'Données projet'!$E$12+1,1))</f>
        <v>230.58262378842818</v>
      </c>
      <c r="CE196" s="59">
        <f t="shared" si="148"/>
        <v>235.68746142880792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0.24834512745088422</v>
      </c>
      <c r="CL196" s="21">
        <f>EXP(-LN(2)/25)*CL195+(1-EXP(-LN(2)/25))/(LN(2)/25)*Calculateur!CG196*Calculateur!CI196*VLOOKUP('Données projet'!$B$12,Paramètres!$A$1:$I$89,3,0)*0.475*44/12</f>
        <v>0.6204461125934132</v>
      </c>
      <c r="CM196" s="21">
        <f>EXP(-LN(2)/2)*CM195+(1-EXP(-LN(2)/2))/(LN(2)/2)*CG196*CJ196*VLOOKUP('Données projet'!$B$12,Paramètres!$A$1:$I$89,3,0)*0.475*44/12</f>
        <v>9.3485775281903919E-16</v>
      </c>
      <c r="CN196" s="22">
        <f t="shared" si="172"/>
        <v>0.86879124004429831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1.7053025658242404E-13</v>
      </c>
      <c r="CU196" s="17">
        <f>CT196*VLOOKUP('Données projet'!$B$13,Paramètres!$A$1:$I$89,3,0)*VLOOKUP('Données projet'!$B$13,Paramètres!$A$1:$I$89,5,0)</f>
        <v>1.3301360013429075E-13</v>
      </c>
      <c r="CV196" s="13">
        <f t="shared" si="173"/>
        <v>1.9329766731057041E-12</v>
      </c>
      <c r="CW196" s="20">
        <f t="shared" si="174"/>
        <v>3.5982663925596575E-12</v>
      </c>
      <c r="CX196" s="59">
        <f t="shared" ref="CX196:CX203" si="196">CW196+(CO196+CP196)*44/12</f>
        <v>293.3333333333369</v>
      </c>
      <c r="CY196" s="59">
        <f ca="1">AVERAGE(OFFSET($CX$3,0,0,'Données projet'!$E$13+1,1))-AVERAGE(OFFSET($H$3,0,0,'Données projet'!$E$13+1,1))</f>
        <v>288.80569134263209</v>
      </c>
      <c r="CZ196" s="59">
        <f t="shared" si="150"/>
        <v>283.48738729114024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6.9613699853117179</v>
      </c>
      <c r="DG196" s="21">
        <f>EXP(-LN(2)/25)*DG195+(1-EXP(-LN(2)/25))/(LN(2)/25)*Calculateur!DB196*Calculateur!DD196*VLOOKUP('Données projet'!$B$13,Paramètres!$A$1:$I$89,3,0)*0.475*44/12</f>
        <v>2.191474117116027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9.1528441024277445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266.99999999999983</v>
      </c>
      <c r="DP196" s="17">
        <f>DO196*VLOOKUP('Données projet'!$B$14,Paramètres!$A$1:$I$89,3,0)*VLOOKUP('Données projet'!$B$14,Paramètres!$A$1:$I$89,5,0)</f>
        <v>212.42519999999985</v>
      </c>
      <c r="DQ196" s="13">
        <f t="shared" si="176"/>
        <v>52.465198231787184</v>
      </c>
      <c r="DR196" s="20">
        <f t="shared" si="177"/>
        <v>461.35077692036231</v>
      </c>
      <c r="DS196" s="59">
        <f t="shared" ref="DS196:DS203" si="197">DR196+(DJ196+DK196)*44/12</f>
        <v>754.68411025369562</v>
      </c>
      <c r="DT196" s="59">
        <f ca="1">AVERAGE(OFFSET($DS$3,0,0,'Données projet'!$E$14+1,1))-AVERAGE(OFFSET($H$3,0,0,'Données projet'!$E$14+1,1))</f>
        <v>299.10536994156814</v>
      </c>
      <c r="DU196" s="59">
        <f t="shared" si="152"/>
        <v>292.57799203101769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3.0716007493112882</v>
      </c>
      <c r="EB196" s="21">
        <f>EXP(-LN(2)/25)*EB195+(1-EXP(-LN(2)/25))/(LN(2)/25)*Calculateur!DW196*Calculateur!DY196*VLOOKUP('Données projet'!$B$14,Paramètres!$A$1:$I$89,3,0)*0.475*44/12</f>
        <v>0.36302214741263922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3.4346228967239276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5.1431925385259092E-13</v>
      </c>
      <c r="P197" s="13">
        <f t="shared" ref="P197:P203" si="203">EXP(-1.0587+0.8836*LN(O197)+0.284)</f>
        <v>6.3855359115685756E-12</v>
      </c>
      <c r="Q197" s="20">
        <f t="shared" si="162"/>
        <v>1.2017247746441865E-11</v>
      </c>
      <c r="R197" s="59">
        <f t="shared" si="191"/>
        <v>293.33333333334531</v>
      </c>
      <c r="S197" s="59">
        <f ca="1">AVERAGE(OFFSET($R$3,0,0,'Données projet'!$E$9+1,1))-AVERAGE(OFFSET($H$3,0,0,'Données projet'!$E$9+1,1))</f>
        <v>384.05928630855732</v>
      </c>
      <c r="T197" s="59">
        <f t="shared" ref="T197:T203" si="204">$T$3</f>
        <v>279.93992813630513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49.102782588533977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49.102782588533977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1.9895196601282805E-13</v>
      </c>
      <c r="AJ197" s="13">
        <f>AI197*VLOOKUP('Données projet'!$B$10,Paramètres!$A$1:$I$89,3,0)*VLOOKUP('Données projet'!$B$10,Paramètres!$A$1:$I$89,5,0)</f>
        <v>1.707007868390065E-13</v>
      </c>
      <c r="AK197" s="13">
        <f t="shared" si="164"/>
        <v>2.4096578055149408E-12</v>
      </c>
      <c r="AL197" s="20">
        <f t="shared" si="165"/>
        <v>4.4941245483497909E-12</v>
      </c>
      <c r="AM197" s="59">
        <f t="shared" si="193"/>
        <v>293.33333333333781</v>
      </c>
      <c r="AN197" s="59">
        <f ca="1">AVERAGE(OFFSET($AM$3,0,0,'Données projet'!$E$10+1,1))-AVERAGE(OFFSET($H$3,0,0,'Données projet'!$E$10+1,1))</f>
        <v>335.02113791949211</v>
      </c>
      <c r="AO197" s="59">
        <f t="shared" ref="AO197:AO203" si="205">$AO$3</f>
        <v>222.06886429435099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26.190038390745251</v>
      </c>
      <c r="AV197" s="21">
        <f>EXP(-LN(2)/25)*AV196+(1-EXP(-LN(2)/25))/(LN(2)/25)*Calculateur!AQ197*Calculateur!AS197*VLOOKUP('Données projet'!$B$10,Paramètres!$A$1:$I$89,3,0)*0.475*44/12</f>
        <v>9.9242462312458084</v>
      </c>
      <c r="AW197" s="21">
        <f>EXP(-LN(2)/2)*AW196+(1-EXP(-LN(2)/2))/(LN(2)/2)*AQ197*AT197*VLOOKUP('Données projet'!$B$10,Paramètres!$A$1:$I$89,3,0)*0.475*44/12</f>
        <v>2.0876668158980445E-10</v>
      </c>
      <c r="AX197" s="21">
        <f t="shared" si="166"/>
        <v>36.114284622199825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-4.5474735088646412E-13</v>
      </c>
      <c r="BE197" s="13">
        <f>BD197*VLOOKUP('Données projet'!$B$11,Paramètres!$A$1:$I$89,3,0)*VLOOKUP('Données projet'!$B$11,Paramètres!$A$1:$I$89,5,0)</f>
        <v>-4.3983163777738812E-13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366.51581861366333</v>
      </c>
      <c r="BJ197" s="59">
        <f t="shared" ref="BJ197:BJ203" si="206">$BJ$3</f>
        <v>225.01415116995503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79.040792626406031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79.040792626406031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204.00000000000017</v>
      </c>
      <c r="BZ197" s="13">
        <f>BY197*VLOOKUP('Données projet'!$B$12,Paramètres!$A$1:$I$89,3,0)*VLOOKUP('Données projet'!$B$12,Paramètres!$A$1:$I$89,5,0)</f>
        <v>133.66080000000011</v>
      </c>
      <c r="CA197" s="13">
        <f t="shared" si="170"/>
        <v>34.840890682716783</v>
      </c>
      <c r="CB197" s="20">
        <f t="shared" si="171"/>
        <v>293.4737779390652</v>
      </c>
      <c r="CC197" s="59">
        <f t="shared" si="195"/>
        <v>586.80711127239852</v>
      </c>
      <c r="CD197" s="59">
        <f ca="1">AVERAGE(OFFSET($CC$3,0,0,'Données projet'!$E$12+1,1))-AVERAGE(OFFSET($H$3,0,0,'Données projet'!$E$12+1,1))</f>
        <v>230.58262378842818</v>
      </c>
      <c r="CE197" s="59">
        <f t="shared" ref="CE197:CE203" si="207">$CE$3</f>
        <v>235.68746142880792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0.24347523097714316</v>
      </c>
      <c r="CL197" s="21">
        <f>EXP(-LN(2)/25)*CL196+(1-EXP(-LN(2)/25))/(LN(2)/25)*Calculateur!CG197*Calculateur!CI197*VLOOKUP('Données projet'!$B$12,Paramètres!$A$1:$I$89,3,0)*0.475*44/12</f>
        <v>0.6034799810167033</v>
      </c>
      <c r="CM197" s="21">
        <f>EXP(-LN(2)/2)*CM196+(1-EXP(-LN(2)/2))/(LN(2)/2)*CG197*CJ197*VLOOKUP('Données projet'!$B$12,Paramètres!$A$1:$I$89,3,0)*0.475*44/12</f>
        <v>6.6104425646315989E-16</v>
      </c>
      <c r="CN197" s="22">
        <f t="shared" si="172"/>
        <v>0.84695521199384716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1.7053025658242404E-13</v>
      </c>
      <c r="CU197" s="17">
        <f>CT197*VLOOKUP('Données projet'!$B$13,Paramètres!$A$1:$I$89,3,0)*VLOOKUP('Données projet'!$B$13,Paramètres!$A$1:$I$89,5,0)</f>
        <v>1.3301360013429075E-13</v>
      </c>
      <c r="CV197" s="13">
        <f t="shared" si="173"/>
        <v>1.9329766731057041E-12</v>
      </c>
      <c r="CW197" s="20">
        <f t="shared" si="174"/>
        <v>3.5982663925596575E-12</v>
      </c>
      <c r="CX197" s="59">
        <f t="shared" si="196"/>
        <v>293.3333333333369</v>
      </c>
      <c r="CY197" s="59">
        <f ca="1">AVERAGE(OFFSET($CX$3,0,0,'Données projet'!$E$13+1,1))-AVERAGE(OFFSET($H$3,0,0,'Données projet'!$E$13+1,1))</f>
        <v>288.80569134263209</v>
      </c>
      <c r="CZ197" s="59">
        <f t="shared" ref="CZ197:CZ203" si="208">$CZ$3</f>
        <v>283.48738729114024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6.8248617659161868</v>
      </c>
      <c r="DG197" s="21">
        <f>EXP(-LN(2)/25)*DG196+(1-EXP(-LN(2)/25))/(LN(2)/25)*Calculateur!DB197*Calculateur!DD197*VLOOKUP('Données projet'!$B$13,Paramètres!$A$1:$I$89,3,0)*0.475*44/12</f>
        <v>2.131548142138874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8.9564099080550612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266.99999999999983</v>
      </c>
      <c r="DP197" s="17">
        <f>DO197*VLOOKUP('Données projet'!$B$14,Paramètres!$A$1:$I$89,3,0)*VLOOKUP('Données projet'!$B$14,Paramètres!$A$1:$I$89,5,0)</f>
        <v>212.42519999999985</v>
      </c>
      <c r="DQ197" s="13">
        <f t="shared" si="176"/>
        <v>52.465198231787184</v>
      </c>
      <c r="DR197" s="20">
        <f t="shared" si="177"/>
        <v>461.35077692036231</v>
      </c>
      <c r="DS197" s="59">
        <f t="shared" si="197"/>
        <v>754.68411025369562</v>
      </c>
      <c r="DT197" s="59">
        <f ca="1">AVERAGE(OFFSET($DS$3,0,0,'Données projet'!$E$14+1,1))-AVERAGE(OFFSET($H$3,0,0,'Données projet'!$E$14+1,1))</f>
        <v>299.10536994156814</v>
      </c>
      <c r="DU197" s="59">
        <f t="shared" ref="DU197:DU203" si="209">$DU$3</f>
        <v>292.57799203101769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3.0113685321087589</v>
      </c>
      <c r="EB197" s="21">
        <f>EXP(-LN(2)/25)*EB196+(1-EXP(-LN(2)/25))/(LN(2)/25)*Calculateur!DW197*Calculateur!DY197*VLOOKUP('Données projet'!$B$14,Paramètres!$A$1:$I$89,3,0)*0.475*44/12</f>
        <v>0.35309528770113557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3.3644638198098944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5.1431925385259092E-13</v>
      </c>
      <c r="P198" s="13">
        <f t="shared" si="203"/>
        <v>6.3855359115685756E-12</v>
      </c>
      <c r="Q198" s="20">
        <f t="shared" si="162"/>
        <v>1.2017247746441865E-11</v>
      </c>
      <c r="R198" s="59">
        <f t="shared" si="191"/>
        <v>293.33333333334531</v>
      </c>
      <c r="S198" s="59">
        <f ca="1">AVERAGE(OFFSET($R$3,0,0,'Données projet'!$E$9+1,1))-AVERAGE(OFFSET($H$3,0,0,'Données projet'!$E$9+1,1))</f>
        <v>384.05928630855732</v>
      </c>
      <c r="T198" s="59">
        <f t="shared" si="204"/>
        <v>279.93992813630513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48.139906971712911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48.139906971712911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1.9895196601282805E-13</v>
      </c>
      <c r="AJ198" s="13">
        <f>AI198*VLOOKUP('Données projet'!$B$10,Paramètres!$A$1:$I$89,3,0)*VLOOKUP('Données projet'!$B$10,Paramètres!$A$1:$I$89,5,0)</f>
        <v>1.707007868390065E-13</v>
      </c>
      <c r="AK198" s="13">
        <f t="shared" si="164"/>
        <v>2.4096578055149408E-12</v>
      </c>
      <c r="AL198" s="20">
        <f t="shared" si="165"/>
        <v>4.4941245483497909E-12</v>
      </c>
      <c r="AM198" s="59">
        <f t="shared" si="193"/>
        <v>293.33333333333781</v>
      </c>
      <c r="AN198" s="59">
        <f ca="1">AVERAGE(OFFSET($AM$3,0,0,'Données projet'!$E$10+1,1))-AVERAGE(OFFSET($H$3,0,0,'Données projet'!$E$10+1,1))</f>
        <v>335.02113791949211</v>
      </c>
      <c r="AO198" s="59">
        <f t="shared" si="205"/>
        <v>222.06886429435099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25.676467712248819</v>
      </c>
      <c r="AV198" s="21">
        <f>EXP(-LN(2)/25)*AV197+(1-EXP(-LN(2)/25))/(LN(2)/25)*Calculateur!AQ198*Calculateur!AS198*VLOOKUP('Données projet'!$B$10,Paramètres!$A$1:$I$89,3,0)*0.475*44/12</f>
        <v>9.6528671961589652</v>
      </c>
      <c r="AW198" s="21">
        <f>EXP(-LN(2)/2)*AW197+(1-EXP(-LN(2)/2))/(LN(2)/2)*AQ198*AT198*VLOOKUP('Données projet'!$B$10,Paramètres!$A$1:$I$89,3,0)*0.475*44/12</f>
        <v>1.4762033623796349E-10</v>
      </c>
      <c r="AX198" s="21">
        <f t="shared" si="166"/>
        <v>35.32933490855541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-4.5474735088646412E-13</v>
      </c>
      <c r="BE198" s="13">
        <f>BD198*VLOOKUP('Données projet'!$B$11,Paramètres!$A$1:$I$89,3,0)*VLOOKUP('Données projet'!$B$11,Paramètres!$A$1:$I$89,5,0)</f>
        <v>-4.3983163777738812E-13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366.51581861366333</v>
      </c>
      <c r="BJ198" s="59">
        <f t="shared" si="206"/>
        <v>225.01415116995503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77.490850893125355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77.490850893125355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204.00000000000017</v>
      </c>
      <c r="BZ198" s="13">
        <f>BY198*VLOOKUP('Données projet'!$B$12,Paramètres!$A$1:$I$89,3,0)*VLOOKUP('Données projet'!$B$12,Paramètres!$A$1:$I$89,5,0)</f>
        <v>133.66080000000011</v>
      </c>
      <c r="CA198" s="13">
        <f t="shared" si="170"/>
        <v>34.840890682716783</v>
      </c>
      <c r="CB198" s="20">
        <f t="shared" si="171"/>
        <v>293.4737779390652</v>
      </c>
      <c r="CC198" s="59">
        <f t="shared" si="195"/>
        <v>586.80711127239852</v>
      </c>
      <c r="CD198" s="59">
        <f ca="1">AVERAGE(OFFSET($CC$3,0,0,'Données projet'!$E$12+1,1))-AVERAGE(OFFSET($H$3,0,0,'Données projet'!$E$12+1,1))</f>
        <v>230.58262378842818</v>
      </c>
      <c r="CE198" s="59">
        <f t="shared" si="207"/>
        <v>235.68746142880792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0.23870083020290861</v>
      </c>
      <c r="CL198" s="21">
        <f>EXP(-LN(2)/25)*CL197+(1-EXP(-LN(2)/25))/(LN(2)/25)*Calculateur!CG198*Calculateur!CI198*VLOOKUP('Données projet'!$B$12,Paramètres!$A$1:$I$89,3,0)*0.475*44/12</f>
        <v>0.58697778920016863</v>
      </c>
      <c r="CM198" s="21">
        <f>EXP(-LN(2)/2)*CM197+(1-EXP(-LN(2)/2))/(LN(2)/2)*CG198*CJ198*VLOOKUP('Données projet'!$B$12,Paramètres!$A$1:$I$89,3,0)*0.475*44/12</f>
        <v>4.674288764095196E-16</v>
      </c>
      <c r="CN198" s="22">
        <f t="shared" si="172"/>
        <v>0.82567861940307763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1.7053025658242404E-13</v>
      </c>
      <c r="CU198" s="17">
        <f>CT198*VLOOKUP('Données projet'!$B$13,Paramètres!$A$1:$I$89,3,0)*VLOOKUP('Données projet'!$B$13,Paramètres!$A$1:$I$89,5,0)</f>
        <v>1.3301360013429075E-13</v>
      </c>
      <c r="CV198" s="13">
        <f t="shared" si="173"/>
        <v>1.9329766731057041E-12</v>
      </c>
      <c r="CW198" s="20">
        <f t="shared" si="174"/>
        <v>3.5982663925596575E-12</v>
      </c>
      <c r="CX198" s="59">
        <f t="shared" si="196"/>
        <v>293.3333333333369</v>
      </c>
      <c r="CY198" s="59">
        <f ca="1">AVERAGE(OFFSET($CX$3,0,0,'Données projet'!$E$13+1,1))-AVERAGE(OFFSET($H$3,0,0,'Données projet'!$E$13+1,1))</f>
        <v>288.80569134263209</v>
      </c>
      <c r="CZ198" s="59">
        <f t="shared" si="208"/>
        <v>283.48738729114024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6.6910303894412095</v>
      </c>
      <c r="DG198" s="21">
        <f>EXP(-LN(2)/25)*DG197+(1-EXP(-LN(2)/25))/(LN(2)/25)*Calculateur!DB198*Calculateur!DD198*VLOOKUP('Données projet'!$B$13,Paramètres!$A$1:$I$89,3,0)*0.475*44/12</f>
        <v>2.0732608460988415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8.7642912355400515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266.99999999999983</v>
      </c>
      <c r="DP198" s="17">
        <f>DO198*VLOOKUP('Données projet'!$B$14,Paramètres!$A$1:$I$89,3,0)*VLOOKUP('Données projet'!$B$14,Paramètres!$A$1:$I$89,5,0)</f>
        <v>212.42519999999985</v>
      </c>
      <c r="DQ198" s="13">
        <f t="shared" si="176"/>
        <v>52.465198231787184</v>
      </c>
      <c r="DR198" s="20">
        <f t="shared" si="177"/>
        <v>461.35077692036231</v>
      </c>
      <c r="DS198" s="59">
        <f t="shared" si="197"/>
        <v>754.68411025369562</v>
      </c>
      <c r="DT198" s="59">
        <f ca="1">AVERAGE(OFFSET($DS$3,0,0,'Données projet'!$E$14+1,1))-AVERAGE(OFFSET($H$3,0,0,'Données projet'!$E$14+1,1))</f>
        <v>299.10536994156814</v>
      </c>
      <c r="DU198" s="59">
        <f t="shared" si="209"/>
        <v>292.57799203101769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2.9523174319475465</v>
      </c>
      <c r="EB198" s="21">
        <f>EXP(-LN(2)/25)*EB197+(1-EXP(-LN(2)/25))/(LN(2)/25)*Calculateur!DW198*Calculateur!DY198*VLOOKUP('Données projet'!$B$14,Paramètres!$A$1:$I$89,3,0)*0.475*44/12</f>
        <v>0.34343987849047386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3.2957573104380202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5.1431925385259092E-13</v>
      </c>
      <c r="P199" s="13">
        <f t="shared" si="203"/>
        <v>6.3855359115685756E-12</v>
      </c>
      <c r="Q199" s="20">
        <f t="shared" si="162"/>
        <v>1.2017247746441865E-11</v>
      </c>
      <c r="R199" s="59">
        <f t="shared" si="191"/>
        <v>293.33333333334531</v>
      </c>
      <c r="S199" s="59">
        <f ca="1">AVERAGE(OFFSET($R$3,0,0,'Données projet'!$E$9+1,1))-AVERAGE(OFFSET($H$3,0,0,'Données projet'!$E$9+1,1))</f>
        <v>384.05928630855732</v>
      </c>
      <c r="T199" s="59">
        <f t="shared" si="204"/>
        <v>279.93992813630513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47.195912758441573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47.195912758441573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1.9895196601282805E-13</v>
      </c>
      <c r="AJ199" s="13">
        <f>AI199*VLOOKUP('Données projet'!$B$10,Paramètres!$A$1:$I$89,3,0)*VLOOKUP('Données projet'!$B$10,Paramètres!$A$1:$I$89,5,0)</f>
        <v>1.707007868390065E-13</v>
      </c>
      <c r="AK199" s="13">
        <f t="shared" si="164"/>
        <v>2.4096578055149408E-12</v>
      </c>
      <c r="AL199" s="20">
        <f t="shared" si="165"/>
        <v>4.4941245483497909E-12</v>
      </c>
      <c r="AM199" s="59">
        <f t="shared" si="193"/>
        <v>293.33333333333781</v>
      </c>
      <c r="AN199" s="59">
        <f ca="1">AVERAGE(OFFSET($AM$3,0,0,'Données projet'!$E$10+1,1))-AVERAGE(OFFSET($H$3,0,0,'Données projet'!$E$10+1,1))</f>
        <v>335.02113791949211</v>
      </c>
      <c r="AO199" s="59">
        <f t="shared" si="205"/>
        <v>222.06886429435099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25.17296784151052</v>
      </c>
      <c r="AV199" s="21">
        <f>EXP(-LN(2)/25)*AV198+(1-EXP(-LN(2)/25))/(LN(2)/25)*Calculateur!AQ199*Calculateur!AS199*VLOOKUP('Données projet'!$B$10,Paramètres!$A$1:$I$89,3,0)*0.475*44/12</f>
        <v>9.3889090350577735</v>
      </c>
      <c r="AW199" s="21">
        <f>EXP(-LN(2)/2)*AW198+(1-EXP(-LN(2)/2))/(LN(2)/2)*AQ199*AT199*VLOOKUP('Données projet'!$B$10,Paramètres!$A$1:$I$89,3,0)*0.475*44/12</f>
        <v>1.0438334079490222E-10</v>
      </c>
      <c r="AX199" s="21">
        <f t="shared" si="166"/>
        <v>34.561876876672677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-4.5474735088646412E-13</v>
      </c>
      <c r="BE199" s="13">
        <f>BD199*VLOOKUP('Données projet'!$B$11,Paramètres!$A$1:$I$89,3,0)*VLOOKUP('Données projet'!$B$11,Paramètres!$A$1:$I$89,5,0)</f>
        <v>-4.3983163777738812E-13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366.51581861366333</v>
      </c>
      <c r="BJ199" s="59">
        <f t="shared" si="206"/>
        <v>225.01415116995503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75.971302571863205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75.971302571863205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204.00000000000017</v>
      </c>
      <c r="BZ199" s="13">
        <f>BY199*VLOOKUP('Données projet'!$B$12,Paramètres!$A$1:$I$89,3,0)*VLOOKUP('Données projet'!$B$12,Paramètres!$A$1:$I$89,5,0)</f>
        <v>133.66080000000011</v>
      </c>
      <c r="CA199" s="13">
        <f t="shared" si="170"/>
        <v>34.840890682716783</v>
      </c>
      <c r="CB199" s="20">
        <f t="shared" si="171"/>
        <v>293.4737779390652</v>
      </c>
      <c r="CC199" s="59">
        <f t="shared" si="195"/>
        <v>586.80711127239852</v>
      </c>
      <c r="CD199" s="59">
        <f ca="1">AVERAGE(OFFSET($CC$3,0,0,'Données projet'!$E$12+1,1))-AVERAGE(OFFSET($H$3,0,0,'Données projet'!$E$12+1,1))</f>
        <v>230.58262378842818</v>
      </c>
      <c r="CE199" s="59">
        <f t="shared" si="207"/>
        <v>235.68746142880792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0.23402005251575986</v>
      </c>
      <c r="CL199" s="21">
        <f>EXP(-LN(2)/25)*CL198+(1-EXP(-LN(2)/25))/(LN(2)/25)*Calculateur!CG199*Calculateur!CI199*VLOOKUP('Données projet'!$B$12,Paramètres!$A$1:$I$89,3,0)*0.475*44/12</f>
        <v>0.5709268506866696</v>
      </c>
      <c r="CM199" s="21">
        <f>EXP(-LN(2)/2)*CM198+(1-EXP(-LN(2)/2))/(LN(2)/2)*CG199*CJ199*VLOOKUP('Données projet'!$B$12,Paramètres!$A$1:$I$89,3,0)*0.475*44/12</f>
        <v>3.3052212823157995E-16</v>
      </c>
      <c r="CN199" s="22">
        <f t="shared" si="172"/>
        <v>0.80494690320242979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1.7053025658242404E-13</v>
      </c>
      <c r="CU199" s="17">
        <f>CT199*VLOOKUP('Données projet'!$B$13,Paramètres!$A$1:$I$89,3,0)*VLOOKUP('Données projet'!$B$13,Paramètres!$A$1:$I$89,5,0)</f>
        <v>1.3301360013429075E-13</v>
      </c>
      <c r="CV199" s="13">
        <f t="shared" si="173"/>
        <v>1.9329766731057041E-12</v>
      </c>
      <c r="CW199" s="20">
        <f t="shared" si="174"/>
        <v>3.5982663925596575E-12</v>
      </c>
      <c r="CX199" s="59">
        <f t="shared" si="196"/>
        <v>293.3333333333369</v>
      </c>
      <c r="CY199" s="59">
        <f ca="1">AVERAGE(OFFSET($CX$3,0,0,'Données projet'!$E$13+1,1))-AVERAGE(OFFSET($H$3,0,0,'Données projet'!$E$13+1,1))</f>
        <v>288.80569134263209</v>
      </c>
      <c r="CZ199" s="59">
        <f t="shared" si="208"/>
        <v>283.48738729114024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6.5598233646298274</v>
      </c>
      <c r="DG199" s="21">
        <f>EXP(-LN(2)/25)*DG198+(1-EXP(-LN(2)/25))/(LN(2)/25)*Calculateur!DB199*Calculateur!DD199*VLOOKUP('Données projet'!$B$13,Paramètres!$A$1:$I$89,3,0)*0.475*44/12</f>
        <v>2.0165674192342191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8.5763907838640456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266.99999999999983</v>
      </c>
      <c r="DP199" s="17">
        <f>DO199*VLOOKUP('Données projet'!$B$14,Paramètres!$A$1:$I$89,3,0)*VLOOKUP('Données projet'!$B$14,Paramètres!$A$1:$I$89,5,0)</f>
        <v>212.42519999999985</v>
      </c>
      <c r="DQ199" s="13">
        <f t="shared" si="176"/>
        <v>52.465198231787184</v>
      </c>
      <c r="DR199" s="20">
        <f t="shared" si="177"/>
        <v>461.35077692036231</v>
      </c>
      <c r="DS199" s="59">
        <f t="shared" si="197"/>
        <v>754.68411025369562</v>
      </c>
      <c r="DT199" s="59">
        <f ca="1">AVERAGE(OFFSET($DS$3,0,0,'Données projet'!$E$14+1,1))-AVERAGE(OFFSET($H$3,0,0,'Données projet'!$E$14+1,1))</f>
        <v>299.10536994156814</v>
      </c>
      <c r="DU199" s="59">
        <f t="shared" si="209"/>
        <v>292.57799203101769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2.8944242878428805</v>
      </c>
      <c r="EB199" s="21">
        <f>EXP(-LN(2)/25)*EB198+(1-EXP(-LN(2)/25))/(LN(2)/25)*Calculateur!DW199*Calculateur!DY199*VLOOKUP('Données projet'!$B$14,Paramètres!$A$1:$I$89,3,0)*0.475*44/12</f>
        <v>0.3340484969524336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3.2284727847953141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5.1431925385259092E-13</v>
      </c>
      <c r="P200" s="13">
        <f t="shared" si="203"/>
        <v>6.3855359115685756E-12</v>
      </c>
      <c r="Q200" s="20">
        <f t="shared" si="162"/>
        <v>1.2017247746441865E-11</v>
      </c>
      <c r="R200" s="59">
        <f t="shared" si="191"/>
        <v>293.33333333334531</v>
      </c>
      <c r="S200" s="59">
        <f ca="1">AVERAGE(OFFSET($R$3,0,0,'Données projet'!$E$9+1,1))-AVERAGE(OFFSET($H$3,0,0,'Données projet'!$E$9+1,1))</f>
        <v>384.05928630855732</v>
      </c>
      <c r="T200" s="59">
        <f t="shared" si="204"/>
        <v>279.93992813630513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46.270429695912867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46.270429695912867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1.9895196601282805E-13</v>
      </c>
      <c r="AJ200" s="13">
        <f>AI200*VLOOKUP('Données projet'!$B$10,Paramètres!$A$1:$I$89,3,0)*VLOOKUP('Données projet'!$B$10,Paramètres!$A$1:$I$89,5,0)</f>
        <v>1.707007868390065E-13</v>
      </c>
      <c r="AK200" s="13">
        <f t="shared" si="164"/>
        <v>2.4096578055149408E-12</v>
      </c>
      <c r="AL200" s="20">
        <f t="shared" si="165"/>
        <v>4.4941245483497909E-12</v>
      </c>
      <c r="AM200" s="59">
        <f t="shared" si="193"/>
        <v>293.33333333333781</v>
      </c>
      <c r="AN200" s="59">
        <f ca="1">AVERAGE(OFFSET($AM$3,0,0,'Données projet'!$E$10+1,1))-AVERAGE(OFFSET($H$3,0,0,'Données projet'!$E$10+1,1))</f>
        <v>335.02113791949211</v>
      </c>
      <c r="AO200" s="59">
        <f t="shared" si="205"/>
        <v>222.06886429435099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24.679341296132801</v>
      </c>
      <c r="AV200" s="21">
        <f>EXP(-LN(2)/25)*AV199+(1-EXP(-LN(2)/25))/(LN(2)/25)*Calculateur!AQ200*Calculateur!AS200*VLOOKUP('Données projet'!$B$10,Paramètres!$A$1:$I$89,3,0)*0.475*44/12</f>
        <v>9.1321688237528509</v>
      </c>
      <c r="AW200" s="21">
        <f>EXP(-LN(2)/2)*AW199+(1-EXP(-LN(2)/2))/(LN(2)/2)*AQ200*AT200*VLOOKUP('Données projet'!$B$10,Paramètres!$A$1:$I$89,3,0)*0.475*44/12</f>
        <v>7.3810168118981745E-11</v>
      </c>
      <c r="AX200" s="21">
        <f t="shared" si="166"/>
        <v>33.811510119959465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-4.5474735088646412E-13</v>
      </c>
      <c r="BE200" s="13">
        <f>BD200*VLOOKUP('Données projet'!$B$11,Paramètres!$A$1:$I$89,3,0)*VLOOKUP('Données projet'!$B$11,Paramètres!$A$1:$I$89,5,0)</f>
        <v>-4.3983163777738812E-13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366.51581861366333</v>
      </c>
      <c r="BJ200" s="59">
        <f t="shared" si="206"/>
        <v>225.01415116995503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74.481551666348054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74.481551666348054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204.00000000000017</v>
      </c>
      <c r="BZ200" s="13">
        <f>BY200*VLOOKUP('Données projet'!$B$12,Paramètres!$A$1:$I$89,3,0)*VLOOKUP('Données projet'!$B$12,Paramètres!$A$1:$I$89,5,0)</f>
        <v>133.66080000000011</v>
      </c>
      <c r="CA200" s="13">
        <f t="shared" si="170"/>
        <v>34.840890682716783</v>
      </c>
      <c r="CB200" s="20">
        <f t="shared" si="171"/>
        <v>293.4737779390652</v>
      </c>
      <c r="CC200" s="59">
        <f t="shared" si="195"/>
        <v>586.80711127239852</v>
      </c>
      <c r="CD200" s="59">
        <f ca="1">AVERAGE(OFFSET($CC$3,0,0,'Données projet'!$E$12+1,1))-AVERAGE(OFFSET($H$3,0,0,'Données projet'!$E$12+1,1))</f>
        <v>230.58262378842818</v>
      </c>
      <c r="CE200" s="59">
        <f t="shared" si="207"/>
        <v>235.68746142880792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0.22943106202406363</v>
      </c>
      <c r="CL200" s="21">
        <f>EXP(-LN(2)/25)*CL199+(1-EXP(-LN(2)/25))/(LN(2)/25)*Calculateur!CG200*Calculateur!CI200*VLOOKUP('Données projet'!$B$12,Paramètres!$A$1:$I$89,3,0)*0.475*44/12</f>
        <v>0.55531482593090442</v>
      </c>
      <c r="CM200" s="21">
        <f>EXP(-LN(2)/2)*CM199+(1-EXP(-LN(2)/2))/(LN(2)/2)*CG200*CJ200*VLOOKUP('Données projet'!$B$12,Paramètres!$A$1:$I$89,3,0)*0.475*44/12</f>
        <v>2.337144382047598E-16</v>
      </c>
      <c r="CN200" s="22">
        <f t="shared" si="172"/>
        <v>0.78474588795496825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1.7053025658242404E-13</v>
      </c>
      <c r="CU200" s="17">
        <f>CT200*VLOOKUP('Données projet'!$B$13,Paramètres!$A$1:$I$89,3,0)*VLOOKUP('Données projet'!$B$13,Paramètres!$A$1:$I$89,5,0)</f>
        <v>1.3301360013429075E-13</v>
      </c>
      <c r="CV200" s="13">
        <f t="shared" si="173"/>
        <v>1.9329766731057041E-12</v>
      </c>
      <c r="CW200" s="20">
        <f t="shared" si="174"/>
        <v>3.5982663925596575E-12</v>
      </c>
      <c r="CX200" s="59">
        <f t="shared" si="196"/>
        <v>293.3333333333369</v>
      </c>
      <c r="CY200" s="59">
        <f ca="1">AVERAGE(OFFSET($CX$3,0,0,'Données projet'!$E$13+1,1))-AVERAGE(OFFSET($H$3,0,0,'Données projet'!$E$13+1,1))</f>
        <v>288.80569134263209</v>
      </c>
      <c r="CZ200" s="59">
        <f t="shared" si="208"/>
        <v>283.48738729114024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6.4311892295466135</v>
      </c>
      <c r="DG200" s="21">
        <f>EXP(-LN(2)/25)*DG199+(1-EXP(-LN(2)/25))/(LN(2)/25)*Calculateur!DB200*Calculateur!DD200*VLOOKUP('Données projet'!$B$13,Paramètres!$A$1:$I$89,3,0)*0.475*44/12</f>
        <v>1.9614242771085877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8.3926135066552021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266.99999999999983</v>
      </c>
      <c r="DP200" s="17">
        <f>DO200*VLOOKUP('Données projet'!$B$14,Paramètres!$A$1:$I$89,3,0)*VLOOKUP('Données projet'!$B$14,Paramètres!$A$1:$I$89,5,0)</f>
        <v>212.42519999999985</v>
      </c>
      <c r="DQ200" s="13">
        <f t="shared" si="176"/>
        <v>52.465198231787184</v>
      </c>
      <c r="DR200" s="20">
        <f t="shared" si="177"/>
        <v>461.35077692036231</v>
      </c>
      <c r="DS200" s="59">
        <f t="shared" si="197"/>
        <v>754.68411025369562</v>
      </c>
      <c r="DT200" s="59">
        <f ca="1">AVERAGE(OFFSET($DS$3,0,0,'Données projet'!$E$14+1,1))-AVERAGE(OFFSET($H$3,0,0,'Données projet'!$E$14+1,1))</f>
        <v>299.10536994156814</v>
      </c>
      <c r="DU200" s="59">
        <f t="shared" si="209"/>
        <v>292.57799203101769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2.8376663929827761</v>
      </c>
      <c r="EB200" s="21">
        <f>EXP(-LN(2)/25)*EB199+(1-EXP(-LN(2)/25))/(LN(2)/25)*Calculateur!DW200*Calculateur!DY200*VLOOKUP('Données projet'!$B$14,Paramètres!$A$1:$I$89,3,0)*0.475*44/12</f>
        <v>0.32491392323642232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3.1625803162191986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5.1431925385259092E-13</v>
      </c>
      <c r="P201" s="13">
        <f t="shared" si="203"/>
        <v>6.3855359115685756E-12</v>
      </c>
      <c r="Q201" s="20">
        <f t="shared" si="162"/>
        <v>1.2017247746441865E-11</v>
      </c>
      <c r="R201" s="59">
        <f t="shared" si="191"/>
        <v>293.33333333334531</v>
      </c>
      <c r="S201" s="59">
        <f ca="1">AVERAGE(OFFSET($R$3,0,0,'Données projet'!$E$9+1,1))-AVERAGE(OFFSET($H$3,0,0,'Données projet'!$E$9+1,1))</f>
        <v>384.05928630855732</v>
      </c>
      <c r="T201" s="59">
        <f t="shared" si="204"/>
        <v>279.93992813630513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45.363094791751422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45.363094791751422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1.9895196601282805E-13</v>
      </c>
      <c r="AJ201" s="13">
        <f>AI201*VLOOKUP('Données projet'!$B$10,Paramètres!$A$1:$I$89,3,0)*VLOOKUP('Données projet'!$B$10,Paramètres!$A$1:$I$89,5,0)</f>
        <v>1.707007868390065E-13</v>
      </c>
      <c r="AK201" s="13">
        <f t="shared" si="164"/>
        <v>2.4096578055149408E-12</v>
      </c>
      <c r="AL201" s="20">
        <f t="shared" si="165"/>
        <v>4.4941245483497909E-12</v>
      </c>
      <c r="AM201" s="59">
        <f t="shared" si="193"/>
        <v>293.33333333333781</v>
      </c>
      <c r="AN201" s="59">
        <f ca="1">AVERAGE(OFFSET($AM$3,0,0,'Données projet'!$E$10+1,1))-AVERAGE(OFFSET($H$3,0,0,'Données projet'!$E$10+1,1))</f>
        <v>335.02113791949211</v>
      </c>
      <c r="AO201" s="59">
        <f t="shared" si="205"/>
        <v>222.06886429435099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24.195394466227476</v>
      </c>
      <c r="AV201" s="21">
        <f>EXP(-LN(2)/25)*AV200+(1-EXP(-LN(2)/25))/(LN(2)/25)*Calculateur!AQ201*Calculateur!AS201*VLOOKUP('Données projet'!$B$10,Paramètres!$A$1:$I$89,3,0)*0.475*44/12</f>
        <v>8.8824491870274418</v>
      </c>
      <c r="AW201" s="21">
        <f>EXP(-LN(2)/2)*AW200+(1-EXP(-LN(2)/2))/(LN(2)/2)*AQ201*AT201*VLOOKUP('Données projet'!$B$10,Paramètres!$A$1:$I$89,3,0)*0.475*44/12</f>
        <v>5.2191670397451112E-11</v>
      </c>
      <c r="AX201" s="21">
        <f t="shared" si="166"/>
        <v>33.077843653307106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-4.5474735088646412E-13</v>
      </c>
      <c r="BE201" s="13">
        <f>BD201*VLOOKUP('Données projet'!$B$11,Paramètres!$A$1:$I$89,3,0)*VLOOKUP('Données projet'!$B$11,Paramètres!$A$1:$I$89,5,0)</f>
        <v>-4.3983163777738812E-13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366.51581861366333</v>
      </c>
      <c r="BJ201" s="59">
        <f t="shared" si="206"/>
        <v>225.01415116995503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73.021013867431719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73.021013867431719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204.00000000000017</v>
      </c>
      <c r="BZ201" s="13">
        <f>BY201*VLOOKUP('Données projet'!$B$12,Paramètres!$A$1:$I$89,3,0)*VLOOKUP('Données projet'!$B$12,Paramètres!$A$1:$I$89,5,0)</f>
        <v>133.66080000000011</v>
      </c>
      <c r="CA201" s="13">
        <f t="shared" si="170"/>
        <v>34.840890682716783</v>
      </c>
      <c r="CB201" s="20">
        <f t="shared" si="171"/>
        <v>293.4737779390652</v>
      </c>
      <c r="CC201" s="59">
        <f t="shared" si="195"/>
        <v>586.80711127239852</v>
      </c>
      <c r="CD201" s="59">
        <f ca="1">AVERAGE(OFFSET($CC$3,0,0,'Données projet'!$E$12+1,1))-AVERAGE(OFFSET($H$3,0,0,'Données projet'!$E$12+1,1))</f>
        <v>230.58262378842818</v>
      </c>
      <c r="CE201" s="59">
        <f t="shared" si="207"/>
        <v>235.68746142880792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0.22493205883690173</v>
      </c>
      <c r="CL201" s="21">
        <f>EXP(-LN(2)/25)*CL200+(1-EXP(-LN(2)/25))/(LN(2)/25)*Calculateur!CG201*Calculateur!CI201*VLOOKUP('Données projet'!$B$12,Paramètres!$A$1:$I$89,3,0)*0.475*44/12</f>
        <v>0.5401297128130863</v>
      </c>
      <c r="CM201" s="21">
        <f>EXP(-LN(2)/2)*CM200+(1-EXP(-LN(2)/2))/(LN(2)/2)*CG201*CJ201*VLOOKUP('Données projet'!$B$12,Paramètres!$A$1:$I$89,3,0)*0.475*44/12</f>
        <v>1.6526106411578997E-16</v>
      </c>
      <c r="CN201" s="22">
        <f t="shared" si="172"/>
        <v>0.76506177164998812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1.7053025658242404E-13</v>
      </c>
      <c r="CU201" s="17">
        <f>CT201*VLOOKUP('Données projet'!$B$13,Paramètres!$A$1:$I$89,3,0)*VLOOKUP('Données projet'!$B$13,Paramètres!$A$1:$I$89,5,0)</f>
        <v>1.3301360013429075E-13</v>
      </c>
      <c r="CV201" s="13">
        <f t="shared" si="173"/>
        <v>1.9329766731057041E-12</v>
      </c>
      <c r="CW201" s="20">
        <f t="shared" si="174"/>
        <v>3.5982663925596575E-12</v>
      </c>
      <c r="CX201" s="59">
        <f t="shared" si="196"/>
        <v>293.3333333333369</v>
      </c>
      <c r="CY201" s="59">
        <f ca="1">AVERAGE(OFFSET($CX$3,0,0,'Données projet'!$E$13+1,1))-AVERAGE(OFFSET($H$3,0,0,'Données projet'!$E$13+1,1))</f>
        <v>288.80569134263209</v>
      </c>
      <c r="CZ201" s="59">
        <f t="shared" si="208"/>
        <v>283.48738729114024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6.3050775313933061</v>
      </c>
      <c r="DG201" s="21">
        <f>EXP(-LN(2)/25)*DG200+(1-EXP(-LN(2)/25))/(LN(2)/25)*Calculateur!DB201*Calculateur!DD201*VLOOKUP('Données projet'!$B$13,Paramètres!$A$1:$I$89,3,0)*0.475*44/12</f>
        <v>1.9077890271042335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8.2128665584975398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266.99999999999983</v>
      </c>
      <c r="DP201" s="17">
        <f>DO201*VLOOKUP('Données projet'!$B$14,Paramètres!$A$1:$I$89,3,0)*VLOOKUP('Données projet'!$B$14,Paramètres!$A$1:$I$89,5,0)</f>
        <v>212.42519999999985</v>
      </c>
      <c r="DQ201" s="13">
        <f t="shared" si="176"/>
        <v>52.465198231787184</v>
      </c>
      <c r="DR201" s="20">
        <f t="shared" si="177"/>
        <v>461.35077692036231</v>
      </c>
      <c r="DS201" s="59">
        <f t="shared" si="197"/>
        <v>754.68411025369562</v>
      </c>
      <c r="DT201" s="59">
        <f ca="1">AVERAGE(OFFSET($DS$3,0,0,'Données projet'!$E$14+1,1))-AVERAGE(OFFSET($H$3,0,0,'Données projet'!$E$14+1,1))</f>
        <v>299.10536994156814</v>
      </c>
      <c r="DU201" s="59">
        <f t="shared" si="209"/>
        <v>292.57799203101769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2.7820214858219807</v>
      </c>
      <c r="EB201" s="21">
        <f>EXP(-LN(2)/25)*EB200+(1-EXP(-LN(2)/25))/(LN(2)/25)*Calculateur!DW201*Calculateur!DY201*VLOOKUP('Données projet'!$B$14,Paramètres!$A$1:$I$89,3,0)*0.475*44/12</f>
        <v>0.31602913491904172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3.0980506207410223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5.1431925385259092E-13</v>
      </c>
      <c r="P202" s="13">
        <f t="shared" si="203"/>
        <v>6.3855359115685756E-12</v>
      </c>
      <c r="Q202" s="20">
        <f t="shared" si="162"/>
        <v>1.2017247746441865E-11</v>
      </c>
      <c r="R202" s="59">
        <f t="shared" si="191"/>
        <v>293.33333333334531</v>
      </c>
      <c r="S202" s="59">
        <f ca="1">AVERAGE(OFFSET($R$3,0,0,'Données projet'!$E$9+1,1))-AVERAGE(OFFSET($H$3,0,0,'Données projet'!$E$9+1,1))</f>
        <v>384.05928630855732</v>
      </c>
      <c r="T202" s="59">
        <f t="shared" si="204"/>
        <v>279.93992813630513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44.473552171640939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44.473552171640939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1.9895196601282805E-13</v>
      </c>
      <c r="AJ202" s="13">
        <f>AI202*VLOOKUP('Données projet'!$B$10,Paramètres!$A$1:$I$89,3,0)*VLOOKUP('Données projet'!$B$10,Paramètres!$A$1:$I$89,5,0)</f>
        <v>1.707007868390065E-13</v>
      </c>
      <c r="AK202" s="13">
        <f t="shared" si="164"/>
        <v>2.4096578055149408E-12</v>
      </c>
      <c r="AL202" s="20">
        <f t="shared" si="165"/>
        <v>4.4941245483497909E-12</v>
      </c>
      <c r="AM202" s="59">
        <f t="shared" si="193"/>
        <v>293.33333333333781</v>
      </c>
      <c r="AN202" s="59">
        <f ca="1">AVERAGE(OFFSET($AM$3,0,0,'Données projet'!$E$10+1,1))-AVERAGE(OFFSET($H$3,0,0,'Données projet'!$E$10+1,1))</f>
        <v>335.02113791949211</v>
      </c>
      <c r="AO202" s="59">
        <f t="shared" si="205"/>
        <v>222.06886429435099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23.720937538478175</v>
      </c>
      <c r="AV202" s="21">
        <f>EXP(-LN(2)/25)*AV201+(1-EXP(-LN(2)/25))/(LN(2)/25)*Calculateur!AQ202*Calculateur!AS202*VLOOKUP('Données projet'!$B$10,Paramètres!$A$1:$I$89,3,0)*0.475*44/12</f>
        <v>8.639558146900475</v>
      </c>
      <c r="AW202" s="21">
        <f>EXP(-LN(2)/2)*AW201+(1-EXP(-LN(2)/2))/(LN(2)/2)*AQ202*AT202*VLOOKUP('Données projet'!$B$10,Paramètres!$A$1:$I$89,3,0)*0.475*44/12</f>
        <v>3.6905084059490872E-11</v>
      </c>
      <c r="AX202" s="21">
        <f t="shared" si="166"/>
        <v>32.360495685415557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-4.5474735088646412E-13</v>
      </c>
      <c r="BE202" s="13">
        <f>BD202*VLOOKUP('Données projet'!$B$11,Paramètres!$A$1:$I$89,3,0)*VLOOKUP('Données projet'!$B$11,Paramètres!$A$1:$I$89,5,0)</f>
        <v>-4.3983163777738812E-13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366.51581861366333</v>
      </c>
      <c r="BJ202" s="59">
        <f t="shared" si="206"/>
        <v>225.01415116995503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71.589116323912037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71.589116323912037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204.00000000000017</v>
      </c>
      <c r="BZ202" s="13">
        <f>BY202*VLOOKUP('Données projet'!$B$12,Paramètres!$A$1:$I$89,3,0)*VLOOKUP('Données projet'!$B$12,Paramètres!$A$1:$I$89,5,0)</f>
        <v>133.66080000000011</v>
      </c>
      <c r="CA202" s="13">
        <f t="shared" si="170"/>
        <v>34.840890682716783</v>
      </c>
      <c r="CB202" s="20">
        <f t="shared" si="171"/>
        <v>293.4737779390652</v>
      </c>
      <c r="CC202" s="59">
        <f t="shared" si="195"/>
        <v>586.80711127239852</v>
      </c>
      <c r="CD202" s="59">
        <f ca="1">AVERAGE(OFFSET($CC$3,0,0,'Données projet'!$E$12+1,1))-AVERAGE(OFFSET($H$3,0,0,'Données projet'!$E$12+1,1))</f>
        <v>230.58262378842818</v>
      </c>
      <c r="CE202" s="59">
        <f t="shared" si="207"/>
        <v>235.68746142880792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0.2205212783581191</v>
      </c>
      <c r="CL202" s="21">
        <f>EXP(-LN(2)/25)*CL201+(1-EXP(-LN(2)/25))/(LN(2)/25)*Calculateur!CG202*Calculateur!CI202*VLOOKUP('Données projet'!$B$12,Paramètres!$A$1:$I$89,3,0)*0.475*44/12</f>
        <v>0.5253598374120253</v>
      </c>
      <c r="CM202" s="21">
        <f>EXP(-LN(2)/2)*CM201+(1-EXP(-LN(2)/2))/(LN(2)/2)*CG202*CJ202*VLOOKUP('Données projet'!$B$12,Paramètres!$A$1:$I$89,3,0)*0.475*44/12</f>
        <v>1.168572191023799E-16</v>
      </c>
      <c r="CN202" s="22">
        <f t="shared" si="172"/>
        <v>0.74588111577014449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1.7053025658242404E-13</v>
      </c>
      <c r="CU202" s="17">
        <f>CT202*VLOOKUP('Données projet'!$B$13,Paramètres!$A$1:$I$89,3,0)*VLOOKUP('Données projet'!$B$13,Paramètres!$A$1:$I$89,5,0)</f>
        <v>1.3301360013429075E-13</v>
      </c>
      <c r="CV202" s="13">
        <f t="shared" si="173"/>
        <v>1.9329766731057041E-12</v>
      </c>
      <c r="CW202" s="20">
        <f t="shared" si="174"/>
        <v>3.5982663925596575E-12</v>
      </c>
      <c r="CX202" s="59">
        <f t="shared" si="196"/>
        <v>293.3333333333369</v>
      </c>
      <c r="CY202" s="59">
        <f ca="1">AVERAGE(OFFSET($CX$3,0,0,'Données projet'!$E$13+1,1))-AVERAGE(OFFSET($H$3,0,0,'Données projet'!$E$13+1,1))</f>
        <v>288.80569134263209</v>
      </c>
      <c r="CZ202" s="59">
        <f t="shared" si="208"/>
        <v>283.48738729114024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6.1814388067202444</v>
      </c>
      <c r="DG202" s="21">
        <f>EXP(-LN(2)/25)*DG201+(1-EXP(-LN(2)/25))/(LN(2)/25)*Calculateur!DB202*Calculateur!DD202*VLOOKUP('Données projet'!$B$13,Paramètres!$A$1:$I$89,3,0)*0.475*44/12</f>
        <v>1.8556204358318036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8.0370592425520471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266.99999999999983</v>
      </c>
      <c r="DP202" s="17">
        <f>DO202*VLOOKUP('Données projet'!$B$14,Paramètres!$A$1:$I$89,3,0)*VLOOKUP('Données projet'!$B$14,Paramètres!$A$1:$I$89,5,0)</f>
        <v>212.42519999999985</v>
      </c>
      <c r="DQ202" s="13">
        <f t="shared" si="176"/>
        <v>52.465198231787184</v>
      </c>
      <c r="DR202" s="20">
        <f t="shared" si="177"/>
        <v>461.35077692036231</v>
      </c>
      <c r="DS202" s="59">
        <f t="shared" si="197"/>
        <v>754.68411025369562</v>
      </c>
      <c r="DT202" s="59">
        <f ca="1">AVERAGE(OFFSET($DS$3,0,0,'Données projet'!$E$14+1,1))-AVERAGE(OFFSET($H$3,0,0,'Données projet'!$E$14+1,1))</f>
        <v>299.10536994156814</v>
      </c>
      <c r="DU202" s="59">
        <f t="shared" si="209"/>
        <v>292.57799203101769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2.7274677413505666</v>
      </c>
      <c r="EB202" s="21">
        <f>EXP(-LN(2)/25)*EB201+(1-EXP(-LN(2)/25))/(LN(2)/25)*Calculateur!DW202*Calculateur!DY202*VLOOKUP('Données projet'!$B$14,Paramètres!$A$1:$I$89,3,0)*0.475*44/12</f>
        <v>0.3073873016054306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3.0348550429559973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5.1431925385259092E-13</v>
      </c>
      <c r="P203" s="13">
        <f t="shared" si="203"/>
        <v>6.3855359115685756E-12</v>
      </c>
      <c r="Q203" s="20">
        <f t="shared" si="162"/>
        <v>1.2017247746441865E-11</v>
      </c>
      <c r="R203" s="59">
        <f t="shared" si="191"/>
        <v>293.33333333334531</v>
      </c>
      <c r="S203" s="59">
        <f ca="1">AVERAGE(OFFSET($R$3,0,0,'Données projet'!$E$9+1,1))-AVERAGE(OFFSET($H$3,0,0,'Données projet'!$E$9+1,1))</f>
        <v>384.05928630855732</v>
      </c>
      <c r="T203" s="59">
        <f t="shared" si="204"/>
        <v>279.93992813630513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43.601452939743396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43.601452939743396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1.9895196601282805E-13</v>
      </c>
      <c r="AJ203" s="13">
        <f>AI203*VLOOKUP('Données projet'!$B$10,Paramètres!$A$1:$I$89,3,0)*VLOOKUP('Données projet'!$B$10,Paramètres!$A$1:$I$89,5,0)</f>
        <v>1.707007868390065E-13</v>
      </c>
      <c r="AK203" s="13">
        <f t="shared" si="164"/>
        <v>2.4096578055149408E-12</v>
      </c>
      <c r="AL203" s="20">
        <f t="shared" si="165"/>
        <v>4.4941245483497909E-12</v>
      </c>
      <c r="AM203" s="59">
        <f t="shared" si="193"/>
        <v>293.33333333333781</v>
      </c>
      <c r="AN203" s="59">
        <f ca="1">AVERAGE(OFFSET($AM$3,0,0,'Données projet'!$E$10+1,1))-AVERAGE(OFFSET($H$3,0,0,'Données projet'!$E$10+1,1))</f>
        <v>335.02113791949211</v>
      </c>
      <c r="AO203" s="59">
        <f t="shared" si="205"/>
        <v>222.06886429435099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23.255784421691885</v>
      </c>
      <c r="AV203" s="21">
        <f>EXP(-LN(2)/25)*AV202+(1-EXP(-LN(2)/25))/(LN(2)/25)*Calculateur!AQ203*Calculateur!AS203*VLOOKUP('Données projet'!$B$10,Paramètres!$A$1:$I$89,3,0)*0.475*44/12</f>
        <v>8.4033089750388648</v>
      </c>
      <c r="AW203" s="21">
        <f>EXP(-LN(2)/2)*AW202+(1-EXP(-LN(2)/2))/(LN(2)/2)*AQ203*AT203*VLOOKUP('Données projet'!$B$10,Paramètres!$A$1:$I$89,3,0)*0.475*44/12</f>
        <v>2.6095835198725556E-11</v>
      </c>
      <c r="AX203" s="21">
        <f t="shared" si="166"/>
        <v>31.659093396756845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-4.5474735088646412E-13</v>
      </c>
      <c r="BE203" s="13">
        <f>BD203*VLOOKUP('Données projet'!$B$11,Paramètres!$A$1:$I$89,3,0)*VLOOKUP('Données projet'!$B$11,Paramètres!$A$1:$I$89,5,0)</f>
        <v>-4.3983163777738812E-13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366.51581861366333</v>
      </c>
      <c r="BJ203" s="59">
        <f t="shared" si="206"/>
        <v>225.01415116995503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70.185297417849512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70.185297417849512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204.00000000000017</v>
      </c>
      <c r="BZ203" s="13">
        <f>BY203*VLOOKUP('Données projet'!$B$12,Paramètres!$A$1:$I$89,3,0)*VLOOKUP('Données projet'!$B$12,Paramètres!$A$1:$I$89,5,0)</f>
        <v>133.66080000000011</v>
      </c>
      <c r="CA203" s="13">
        <f t="shared" si="170"/>
        <v>34.840890682716783</v>
      </c>
      <c r="CB203" s="20">
        <f t="shared" si="171"/>
        <v>293.4737779390652</v>
      </c>
      <c r="CC203" s="59">
        <f t="shared" si="195"/>
        <v>586.80711127239852</v>
      </c>
      <c r="CD203" s="59">
        <f ca="1">AVERAGE(OFFSET($CC$3,0,0,'Données projet'!$E$12+1,1))-AVERAGE(OFFSET($H$3,0,0,'Données projet'!$E$12+1,1))</f>
        <v>230.58262378842818</v>
      </c>
      <c r="CE203" s="59">
        <f t="shared" si="207"/>
        <v>235.68746142880792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0.21619699059421496</v>
      </c>
      <c r="CL203" s="21">
        <f>EXP(-LN(2)/25)*CL202+(1-EXP(-LN(2)/25))/(LN(2)/25)*Calculateur!CG203*Calculateur!CI203*VLOOKUP('Données projet'!$B$12,Paramètres!$A$1:$I$89,3,0)*0.475*44/12</f>
        <v>0.51099384503052037</v>
      </c>
      <c r="CM203" s="21">
        <f>EXP(-LN(2)/2)*CM202+(1-EXP(-LN(2)/2))/(LN(2)/2)*CG203*CJ203*VLOOKUP('Données projet'!$B$12,Paramètres!$A$1:$I$89,3,0)*0.475*44/12</f>
        <v>8.2630532057894986E-17</v>
      </c>
      <c r="CN203" s="22">
        <f t="shared" si="172"/>
        <v>0.72719083562473541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1.7053025658242404E-13</v>
      </c>
      <c r="CU203" s="17">
        <f>CT203*VLOOKUP('Données projet'!$B$13,Paramètres!$A$1:$I$89,3,0)*VLOOKUP('Données projet'!$B$13,Paramètres!$A$1:$I$89,5,0)</f>
        <v>1.3301360013429075E-13</v>
      </c>
      <c r="CV203" s="13">
        <f t="shared" si="173"/>
        <v>1.9329766731057041E-12</v>
      </c>
      <c r="CW203" s="20">
        <f t="shared" si="174"/>
        <v>3.5982663925596575E-12</v>
      </c>
      <c r="CX203" s="59">
        <f t="shared" si="196"/>
        <v>293.3333333333369</v>
      </c>
      <c r="CY203" s="59">
        <f ca="1">AVERAGE(OFFSET($CX$3,0,0,'Données projet'!$E$13+1,1))-AVERAGE(OFFSET($H$3,0,0,'Données projet'!$E$13+1,1))</f>
        <v>288.80569134263209</v>
      </c>
      <c r="CZ203" s="59">
        <f t="shared" si="208"/>
        <v>283.48738729114024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6.0602245620258461</v>
      </c>
      <c r="DG203" s="21">
        <f>EXP(-LN(2)/25)*DG202+(1-EXP(-LN(2)/25))/(LN(2)/25)*Calculateur!DB203*Calculateur!DD203*VLOOKUP('Données projet'!$B$13,Paramètres!$A$1:$I$89,3,0)*0.475*44/12</f>
        <v>1.8048783974311453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7.8651029594569914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266.99999999999983</v>
      </c>
      <c r="DP203" s="17">
        <f>DO203*VLOOKUP('Données projet'!$B$14,Paramètres!$A$1:$I$89,3,0)*VLOOKUP('Données projet'!$B$14,Paramètres!$A$1:$I$89,5,0)</f>
        <v>212.42519999999985</v>
      </c>
      <c r="DQ203" s="13">
        <f t="shared" si="176"/>
        <v>52.465198231787184</v>
      </c>
      <c r="DR203" s="20">
        <f t="shared" si="177"/>
        <v>461.35077692036231</v>
      </c>
      <c r="DS203" s="59">
        <f t="shared" si="197"/>
        <v>754.68411025369562</v>
      </c>
      <c r="DT203" s="59">
        <f ca="1">AVERAGE(OFFSET($DS$3,0,0,'Données projet'!$E$14+1,1))-AVERAGE(OFFSET($H$3,0,0,'Données projet'!$E$14+1,1))</f>
        <v>299.10536994156814</v>
      </c>
      <c r="DU203" s="59">
        <f t="shared" si="209"/>
        <v>292.57799203101769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2.6739837625337382</v>
      </c>
      <c r="EB203" s="21">
        <f>EXP(-LN(2)/25)*EB202+(1-EXP(-LN(2)/25))/(LN(2)/25)*Calculateur!DW203*Calculateur!DY203*VLOOKUP('Données projet'!$B$14,Paramètres!$A$1:$I$89,3,0)*0.475*44/12</f>
        <v>0.29898177967823447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2.9729655422119725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1.1736311550444201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1.1648439739929921</v>
      </c>
      <c r="BA205" s="82">
        <f>EXP(LN('Données projet'!B88)/'Données projet'!A88)</f>
        <v>1.1608269964373037</v>
      </c>
      <c r="BV205" s="82">
        <f>EXP(LN('Données projet'!B114)/'Données projet'!A114)</f>
        <v>1.2457309396155174</v>
      </c>
      <c r="CQ205" s="82">
        <f>EXP(LN('Données projet'!B140)/'Données projet'!A140)</f>
        <v>1.2788040393997409</v>
      </c>
      <c r="DL205" s="82">
        <f>EXP(LN('Données projet'!B166)/'Données projet'!A166)</f>
        <v>1.2721747796233518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P32" sqref="P32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sessile</v>
      </c>
      <c r="B6" s="146">
        <f>'Données projet'!D9</f>
        <v>2.0023516799999999</v>
      </c>
      <c r="C6" s="147">
        <f ca="1">IF(OR('Données projet'!B9="",'Données projet'!C9="",'Données projet'!C9=0%),0,Calculateur!S3)</f>
        <v>384.05928630855732</v>
      </c>
      <c r="D6" s="147">
        <f>IF(OR('Données projet'!B9="",'Données projet'!C9="",'Données projet'!C9=0%),0,Calculateur!T3)</f>
        <v>279.93992813630513</v>
      </c>
      <c r="E6" s="147">
        <f ca="1">MIN(C6,D6)</f>
        <v>279.93992813630513</v>
      </c>
      <c r="F6" s="147">
        <f ca="1">E6*B6</f>
        <v>560.53818540280975</v>
      </c>
      <c r="G6" s="147">
        <f ca="1">F6*(100%-'Données projet'!$C$24)*(100%-'Données projet'!$C$25)*(100%-'Données projet'!$C$26)*(100%-'Données projet'!$C$27)</f>
        <v>504.48436686252876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504.48436686252876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Hêtre</v>
      </c>
      <c r="B7" s="154">
        <f>'Données projet'!D10</f>
        <v>0.21988895999999999</v>
      </c>
      <c r="C7" s="147">
        <f ca="1">IF(OR('Données projet'!B10="",'Données projet'!C10="",'Données projet'!C10=0%),0,Calculateur!AN3)</f>
        <v>335.02113791949211</v>
      </c>
      <c r="D7" s="147">
        <f>IF(OR('Données projet'!B10="",'Données projet'!C10="",'Données projet'!C10=0%),0,Calculateur!AO3)</f>
        <v>222.06886429435099</v>
      </c>
      <c r="E7" s="147">
        <f t="shared" ref="E7:E15" ca="1" si="0">MIN(C7,D7)</f>
        <v>222.06886429435099</v>
      </c>
      <c r="F7" s="147">
        <f t="shared" ref="F7:F15" ca="1" si="1">E7*B7</f>
        <v>48.83049161806597</v>
      </c>
      <c r="G7" s="147">
        <f ca="1">F7*(100%-'Données projet'!$C$24)*(100%-'Données projet'!$C$25)*(100%-'Données projet'!$C$26)*(100%-'Données projet'!$C$27)</f>
        <v>43.947442456259374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43.947442456259374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Alisier torminal</v>
      </c>
      <c r="B8" s="154">
        <f>'Données projet'!D11</f>
        <v>0.12661452799999998</v>
      </c>
      <c r="C8" s="147">
        <f ca="1">IF(OR('Données projet'!B11="",'Données projet'!C11="",'Données projet'!C11=0%),0,Calculateur!BI3)</f>
        <v>366.51581861366333</v>
      </c>
      <c r="D8" s="147">
        <f>IF(OR('Données projet'!B11="",'Données projet'!C11="",'Données projet'!C11=0%),0,Calculateur!BJ3)</f>
        <v>225.01415116995503</v>
      </c>
      <c r="E8" s="147">
        <f t="shared" ca="1" si="0"/>
        <v>225.01415116995503</v>
      </c>
      <c r="F8" s="147">
        <f t="shared" ca="1" si="1"/>
        <v>28.490060543704498</v>
      </c>
      <c r="G8" s="147">
        <f ca="1">F8*(100%-'Données projet'!$C$24)*(100%-'Données projet'!$C$25)*(100%-'Données projet'!$C$26)*(100%-'Données projet'!$C$27)</f>
        <v>25.641054489334049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25.641054489334049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Aulne glutineux</v>
      </c>
      <c r="B9" s="154">
        <f>'Données projet'!D12</f>
        <v>5.9999199999999996E-2</v>
      </c>
      <c r="C9" s="147">
        <f ca="1">IF(OR('Données projet'!B12="",'Données projet'!C12="",'Données projet'!C12=0%),0,Calculateur!CD3)</f>
        <v>230.58262378842818</v>
      </c>
      <c r="D9" s="147">
        <f>IF(OR('Données projet'!B12="",'Données projet'!C12="",'Données projet'!C12=0%),0,Calculateur!CE3)</f>
        <v>235.68746142880792</v>
      </c>
      <c r="E9" s="147">
        <f t="shared" ca="1" si="0"/>
        <v>230.58262378842818</v>
      </c>
      <c r="F9" s="147">
        <f t="shared" ca="1" si="1"/>
        <v>13.834772961206658</v>
      </c>
      <c r="G9" s="147">
        <f ca="1">F9*(100%-'Données projet'!$C$24)*(100%-'Données projet'!$C$25)*(100%-'Données projet'!$C$26)*(100%-'Données projet'!$C$27)</f>
        <v>12.451295665085993</v>
      </c>
      <c r="H9" s="155">
        <f>IF(OR('Données projet'!B12="",'Données projet'!C12="",'Données projet'!C12=0%),0,AVERAGE(Calculateur!$CN$3:$CN$33)*B9)</f>
        <v>5.7935905780531469E-2</v>
      </c>
      <c r="I9" s="149">
        <f>H9*(100%-'Données projet'!$C$24)*(100%-'Données projet'!$C$25)*(100%-'Données projet'!$C$26)*(100%-'Données projet'!$C$27)</f>
        <v>5.214231520247832E-2</v>
      </c>
      <c r="J9" s="150">
        <f>IF(OR('Données projet'!B12="",'Données projet'!C12="",'Données projet'!C12=0%),0,SUM(Calculateur!$CG$3:$CG$33)*VLOOKUP('Données projet'!$B$12,Paramètres!$A$1:$I$89,9,0)*B9)</f>
        <v>0.76498979999999994</v>
      </c>
      <c r="K9" s="151">
        <f>J9*(100%-'Données projet'!$C$24)*(100%-'Données projet'!$C$25)*(100%-'Données projet'!$C$26)*(100%-'Données projet'!$C$27)</f>
        <v>0.68849081999999995</v>
      </c>
      <c r="L9" s="152">
        <f t="shared" ca="1" si="2"/>
        <v>13.191928800288473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Merisier</v>
      </c>
      <c r="B10" s="154">
        <f>'Données projet'!D13</f>
        <v>0.40637295999999995</v>
      </c>
      <c r="C10" s="147">
        <f ca="1">IF(OR('Données projet'!B13="",'Données projet'!C13="",'Données projet'!C13=0%),0,Calculateur!CY3)</f>
        <v>288.80569134263209</v>
      </c>
      <c r="D10" s="147">
        <f>IF(OR('Données projet'!B13="",'Données projet'!C13="",'Données projet'!C13=0%),0,Calculateur!CZ3)</f>
        <v>283.48738729114024</v>
      </c>
      <c r="E10" s="147">
        <f t="shared" ca="1" si="0"/>
        <v>283.48738729114024</v>
      </c>
      <c r="F10" s="147">
        <f t="shared" ca="1" si="1"/>
        <v>115.20160869616703</v>
      </c>
      <c r="G10" s="147">
        <f ca="1">F10*(100%-'Données projet'!$C$24)*(100%-'Données projet'!$C$25)*(100%-'Données projet'!$C$26)*(100%-'Données projet'!$C$27)</f>
        <v>103.68144782655033</v>
      </c>
      <c r="H10" s="155">
        <f>IF(OR('Données projet'!B13="",'Données projet'!C13="",'Données projet'!C13=0%),0,AVERAGE(Calculateur!$DI$3:$DI$33)*B10)</f>
        <v>0.94802723921626098</v>
      </c>
      <c r="I10" s="149">
        <f>H10*(100%-'Données projet'!$C$24)*(100%-'Données projet'!$C$25)*(100%-'Données projet'!$C$26)*(100%-'Données projet'!$C$27)</f>
        <v>0.85322451529463494</v>
      </c>
      <c r="J10" s="150">
        <f>IF(OR('Données projet'!B13="",'Données projet'!C13="",'Données projet'!C13=0%),0,SUM(Calculateur!$DB$3:$DB$33)*VLOOKUP('Données projet'!$B$13,Paramètres!$A$1:$I$89,9,0)*B10)</f>
        <v>5.5876281999999993</v>
      </c>
      <c r="K10" s="151">
        <f>J10*(100%-'Données projet'!$C$24)*(100%-'Données projet'!$C$25)*(100%-'Données projet'!$C$26)*(100%-'Données projet'!$C$27)</f>
        <v>5.0288653799999992</v>
      </c>
      <c r="L10" s="152">
        <f t="shared" ca="1" si="2"/>
        <v>109.56353772184497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Erable sycomore</v>
      </c>
      <c r="B11" s="154">
        <f>'Données projet'!D14</f>
        <v>0.41448095999999995</v>
      </c>
      <c r="C11" s="147">
        <f ca="1">IF(OR('Données projet'!B14="",'Données projet'!C14="",'Données projet'!C14=0%),0,Calculateur!DT3)</f>
        <v>299.10536994156814</v>
      </c>
      <c r="D11" s="147">
        <f>IF(OR('Données projet'!B14="",'Données projet'!C14="",'Données projet'!C14=0%),0,Calculateur!DU3)</f>
        <v>292.57799203101769</v>
      </c>
      <c r="E11" s="147">
        <f t="shared" ca="1" si="0"/>
        <v>292.57799203101769</v>
      </c>
      <c r="F11" s="147">
        <f t="shared" ca="1" si="1"/>
        <v>121.26800701188854</v>
      </c>
      <c r="G11" s="147">
        <f ca="1">F11*(100%-'Données projet'!$C$24)*(100%-'Données projet'!$C$25)*(100%-'Données projet'!$C$26)*(100%-'Données projet'!$C$27)</f>
        <v>109.14120631069969</v>
      </c>
      <c r="H11" s="155">
        <f>IF(OR('Données projet'!B14="",'Données projet'!C14="",'Données projet'!C14=0%),0,AVERAGE(Calculateur!$ED$3:$ED$33)*B11)</f>
        <v>0.12558159545225162</v>
      </c>
      <c r="I11" s="149">
        <f>H11*(100%-'Données projet'!$C$24)*(100%-'Données projet'!$C$25)*(100%-'Données projet'!$C$26)*(100%-'Données projet'!$C$27)</f>
        <v>0.11302343590702646</v>
      </c>
      <c r="J11" s="150">
        <f>IF(OR('Données projet'!B14="",'Données projet'!C14="",'Données projet'!C14=0%),0,SUM(Calculateur!$DW$3:$DW$33)*VLOOKUP('Données projet'!$B$14,Paramètres!$A$1:$I$89,9,0)*B11)</f>
        <v>10.258403759999998</v>
      </c>
      <c r="K11" s="151">
        <f>J11*(100%-'Données projet'!$C$24)*(100%-'Données projet'!$C$25)*(100%-'Données projet'!$C$26)*(100%-'Données projet'!$C$27)</f>
        <v>9.2325633839999988</v>
      </c>
      <c r="L11" s="152">
        <f t="shared" ca="1" si="2"/>
        <v>118.48679313060671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888.16312623384249</v>
      </c>
      <c r="G16" s="166">
        <f t="shared" ca="1" si="3"/>
        <v>799.34681361045818</v>
      </c>
      <c r="H16" s="167">
        <f t="shared" si="3"/>
        <v>1.1315447404490442</v>
      </c>
      <c r="I16" s="167">
        <f t="shared" si="3"/>
        <v>1.0183902664041398</v>
      </c>
      <c r="J16" s="168">
        <f t="shared" si="3"/>
        <v>16.61102176</v>
      </c>
      <c r="K16" s="168">
        <f t="shared" si="3"/>
        <v>14.949919583999998</v>
      </c>
      <c r="L16" s="169">
        <f t="shared" ca="1" si="3"/>
        <v>815.3151234608622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Hêtre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Alisier torminal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Aulne glutineux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Merisier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Erable sycomore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80" zoomScaleNormal="80" workbookViewId="0">
      <selection activeCell="T25" sqref="T25:V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1645.2338235710599</v>
      </c>
      <c r="U10" s="178">
        <f>'Données projet'!D9</f>
        <v>2.0023516799999999</v>
      </c>
      <c r="V10" s="177">
        <f>U10*T10</f>
        <v>3294.336710620335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Hêtre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516.76008292394749</v>
      </c>
      <c r="U11" s="178">
        <f>'Données projet'!D10</f>
        <v>0.21988895999999999</v>
      </c>
      <c r="V11" s="177">
        <f t="shared" ref="V11" si="0">U11*T11</f>
        <v>113.62983720366057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Alisier torminal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321.31411637002918</v>
      </c>
      <c r="U12" s="178">
        <f>'Données projet'!D11</f>
        <v>0.12661452799999998</v>
      </c>
      <c r="V12" s="177">
        <f t="shared" ref="V12:V19" si="1">U12*T12</f>
        <v>40.683035183928311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Aulne glutineux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967.19266639197212</v>
      </c>
      <c r="U13" s="178">
        <f>'Données projet'!D12</f>
        <v>5.9999199999999996E-2</v>
      </c>
      <c r="V13" s="177">
        <f t="shared" si="1"/>
        <v>58.030786229385207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Merisier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1941.7256058489929</v>
      </c>
      <c r="U14" s="178">
        <f>'Données projet'!D13</f>
        <v>0.40637295999999995</v>
      </c>
      <c r="V14" s="177">
        <f t="shared" si="1"/>
        <v>789.06478195664852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Erable sycomore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1041.0121891774961</v>
      </c>
      <c r="U15" s="178">
        <f>'Données projet'!D14</f>
        <v>0.41448095999999995</v>
      </c>
      <c r="V15" s="177">
        <f t="shared" si="1"/>
        <v>431.47973154199013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12485.69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-34022.621823484144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35</v>
      </c>
      <c r="B24" s="181">
        <f>'Données projet'!D37</f>
        <v>60.602564102564102</v>
      </c>
      <c r="C24" s="193">
        <v>10</v>
      </c>
      <c r="D24" s="182">
        <f t="shared" ref="D24:D42" si="2">B24*C24</f>
        <v>606.02564102564099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71857.01023105465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41</v>
      </c>
      <c r="B25" s="181">
        <f>'Données projet'!D38</f>
        <v>38.512820512820511</v>
      </c>
      <c r="C25" s="193">
        <v>10</v>
      </c>
      <c r="D25" s="182">
        <f t="shared" si="2"/>
        <v>385.12820512820508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1000</v>
      </c>
      <c r="Q25" s="234"/>
      <c r="R25" s="23"/>
      <c r="S25" s="186" t="s">
        <v>266</v>
      </c>
      <c r="T25" s="303">
        <f ca="1">T23-T24</f>
        <v>-105879.63205453879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48</v>
      </c>
      <c r="B26" s="181">
        <f>'Données projet'!D39</f>
        <v>48.025641025641022</v>
      </c>
      <c r="C26" s="193">
        <v>50</v>
      </c>
      <c r="D26" s="182">
        <f t="shared" si="2"/>
        <v>2401.2820512820513</v>
      </c>
      <c r="E26" s="193">
        <v>150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55</v>
      </c>
      <c r="B27" s="181">
        <f>'Données projet'!D40</f>
        <v>45.147435897435898</v>
      </c>
      <c r="C27" s="193">
        <v>50</v>
      </c>
      <c r="D27" s="182">
        <f t="shared" si="2"/>
        <v>2257.3717948717949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63</v>
      </c>
      <c r="B28" s="181">
        <f>'Données projet'!D41</f>
        <v>41.724358974358978</v>
      </c>
      <c r="C28" s="193">
        <v>50</v>
      </c>
      <c r="D28" s="182">
        <f t="shared" si="2"/>
        <v>2086.2179487179487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71</v>
      </c>
      <c r="B29" s="181">
        <f>'Données projet'!D42</f>
        <v>39.935897435897431</v>
      </c>
      <c r="C29" s="193">
        <v>100</v>
      </c>
      <c r="D29" s="182">
        <f t="shared" si="2"/>
        <v>3993.5897435897432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80</v>
      </c>
      <c r="B30" s="181">
        <f>'Données projet'!D43</f>
        <v>45.608974358974358</v>
      </c>
      <c r="C30" s="193">
        <v>100</v>
      </c>
      <c r="D30" s="182">
        <f t="shared" si="2"/>
        <v>4560.8974358974356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22156.20690400057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89</v>
      </c>
      <c r="B31" s="181">
        <f>'Données projet'!D44</f>
        <v>49.391025641025635</v>
      </c>
      <c r="C31" s="193">
        <v>150</v>
      </c>
      <c r="D31" s="182">
        <f t="shared" si="2"/>
        <v>7408.6538461538457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99</v>
      </c>
      <c r="B32" s="181">
        <f>'Données projet'!D45</f>
        <v>48.019230769230766</v>
      </c>
      <c r="C32" s="193">
        <v>150</v>
      </c>
      <c r="D32" s="182">
        <f t="shared" si="2"/>
        <v>7202.8846153846152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109</v>
      </c>
      <c r="B33" s="181">
        <f>'Données projet'!D46</f>
        <v>51.28846153846154</v>
      </c>
      <c r="C33" s="193">
        <v>150</v>
      </c>
      <c r="D33" s="182">
        <f t="shared" si="2"/>
        <v>7693.2692307692314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1000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119</v>
      </c>
      <c r="B34" s="181">
        <f>'Données projet'!D47</f>
        <v>150.02564102564102</v>
      </c>
      <c r="C34" s="193">
        <v>200</v>
      </c>
      <c r="D34" s="182">
        <f t="shared" si="2"/>
        <v>30005.128205128203</v>
      </c>
      <c r="E34" s="193">
        <v>150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956.93779904306223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123</v>
      </c>
      <c r="B35" s="181">
        <f>'Données projet'!D48</f>
        <v>77.17307692307692</v>
      </c>
      <c r="C35" s="193">
        <v>200</v>
      </c>
      <c r="D35" s="182">
        <f t="shared" si="2"/>
        <v>15434.615384615385</v>
      </c>
      <c r="E35" s="193">
        <v>150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915.72995123738031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127</v>
      </c>
      <c r="B36" s="181">
        <f>'Données projet'!D49</f>
        <v>49.916666666666671</v>
      </c>
      <c r="C36" s="193">
        <v>200</v>
      </c>
      <c r="D36" s="182">
        <f t="shared" si="2"/>
        <v>9983.3333333333339</v>
      </c>
      <c r="E36" s="193">
        <v>150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876.29660405490938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131</v>
      </c>
      <c r="B37" s="181">
        <f>'Données projet'!D50</f>
        <v>110.91025641025641</v>
      </c>
      <c r="C37" s="193">
        <v>200</v>
      </c>
      <c r="D37" s="182">
        <f t="shared" si="2"/>
        <v>22182.051282051281</v>
      </c>
      <c r="E37" s="193">
        <v>150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838.56134359321493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802.45104650068413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767.89573827816685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734.82845768245625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703.18512696885784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672.90442772139511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643.92768203004323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616.19873878473038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Hêtre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589.66386486577085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564.27164101987637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539.97286221997751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516.72044231576797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494.46932279020876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473.17638544517581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452.80036884705828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433.30178837039074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414.64285968458455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396.78742553548756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42</v>
      </c>
      <c r="B55" s="181">
        <f>'Données projet'!D63</f>
        <v>69.141025641025635</v>
      </c>
      <c r="C55" s="191">
        <v>10</v>
      </c>
      <c r="D55" s="179">
        <f t="shared" ref="D55:D73" si="4">B55*C55</f>
        <v>691.41025641025635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379.70088567989251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48</v>
      </c>
      <c r="B56" s="181">
        <f>'Données projet'!D64</f>
        <v>44.737179487179489</v>
      </c>
      <c r="C56" s="191">
        <v>10</v>
      </c>
      <c r="D56" s="179">
        <f t="shared" si="4"/>
        <v>447.37179487179492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363.35012983721771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54</v>
      </c>
      <c r="B57" s="181">
        <f>'Données projet'!D65</f>
        <v>47.025641025641022</v>
      </c>
      <c r="C57" s="191">
        <v>15</v>
      </c>
      <c r="D57" s="179">
        <f t="shared" si="4"/>
        <v>705.38461538461536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347.70347352843805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63</v>
      </c>
      <c r="B58" s="181">
        <f>'Données projet'!D66</f>
        <v>64.628205128205124</v>
      </c>
      <c r="C58" s="191">
        <v>15</v>
      </c>
      <c r="D58" s="179">
        <f t="shared" si="4"/>
        <v>969.42307692307691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332.7305966779312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72</v>
      </c>
      <c r="B59" s="181">
        <f>'Données projet'!D67</f>
        <v>62.551282051282051</v>
      </c>
      <c r="C59" s="191">
        <v>50</v>
      </c>
      <c r="D59" s="179">
        <f t="shared" si="4"/>
        <v>3127.5641025641025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318.4024848592644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81</v>
      </c>
      <c r="B60" s="181">
        <f>'Données projet'!D68</f>
        <v>57.38461538461538</v>
      </c>
      <c r="C60" s="191">
        <v>50</v>
      </c>
      <c r="D60" s="179">
        <f t="shared" si="4"/>
        <v>2869.2307692307691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304.69137307106638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90</v>
      </c>
      <c r="B61" s="181">
        <f>'Données projet'!D69</f>
        <v>52.782051282051285</v>
      </c>
      <c r="C61" s="191">
        <v>50</v>
      </c>
      <c r="D61" s="179">
        <f t="shared" si="4"/>
        <v>2639.1025641025644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291.57069193403493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99</v>
      </c>
      <c r="B62" s="181">
        <f>'Données projet'!D70</f>
        <v>53.749999999999993</v>
      </c>
      <c r="C62" s="191">
        <v>50</v>
      </c>
      <c r="D62" s="179">
        <f t="shared" si="4"/>
        <v>2687.4999999999995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279.01501620481804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111</v>
      </c>
      <c r="B63" s="181">
        <f>'Données projet'!D71</f>
        <v>108.1474358974359</v>
      </c>
      <c r="C63" s="191">
        <v>50</v>
      </c>
      <c r="D63" s="179">
        <f t="shared" si="4"/>
        <v>5407.3717948717949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267.00001550700301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116</v>
      </c>
      <c r="B64" s="181">
        <f>'Données projet'!D72</f>
        <v>72.698717948717942</v>
      </c>
      <c r="C64" s="191">
        <v>50</v>
      </c>
      <c r="D64" s="179">
        <f t="shared" si="4"/>
        <v>3634.935897435897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255.50240718373487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121</v>
      </c>
      <c r="B65" s="181">
        <f>'Données projet'!D73</f>
        <v>66.179487179487168</v>
      </c>
      <c r="C65" s="191">
        <v>50</v>
      </c>
      <c r="D65" s="179">
        <f t="shared" si="4"/>
        <v>3308.9743589743584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244.49991118060768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125</v>
      </c>
      <c r="B66" s="181">
        <f>'Données projet'!D74</f>
        <v>100.62179487179486</v>
      </c>
      <c r="C66" s="191">
        <v>50</v>
      </c>
      <c r="D66" s="179">
        <f t="shared" si="4"/>
        <v>5031.0897435897432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233.97120687139494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223.89589174296168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214.25444185929348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205.02817402803208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196.19920959620296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187.75043980497892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179.66549263634349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171.92870108741008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164.52507281091874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157.44026106308016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Alisier torminal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150.66053690246906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144.17276258609482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137.9643661110955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132.02331685272301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126.33810225140957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120.89770550374126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115.69158421410647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110.70964996565215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105.942248770959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101.38014236455409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44</v>
      </c>
      <c r="B86" s="181">
        <f>'Données projet'!D89</f>
        <v>64.416666666666657</v>
      </c>
      <c r="C86" s="191">
        <v>10</v>
      </c>
      <c r="D86" s="179">
        <f t="shared" ref="D86:D104" si="6">B86*C86</f>
        <v>644.16666666666652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97.014490301008692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51</v>
      </c>
      <c r="B87" s="181">
        <f>'Données projet'!D90</f>
        <v>37.685897435897431</v>
      </c>
      <c r="C87" s="191">
        <v>10</v>
      </c>
      <c r="D87" s="179">
        <f t="shared" si="6"/>
        <v>376.85897435897431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92.8368328239318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59</v>
      </c>
      <c r="B88" s="181">
        <f>'Données projet'!D91</f>
        <v>38.942307692307693</v>
      </c>
      <c r="C88" s="191">
        <v>15</v>
      </c>
      <c r="D88" s="179">
        <f t="shared" si="6"/>
        <v>584.13461538461536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88.839074472661991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67</v>
      </c>
      <c r="B89" s="181">
        <f>'Données projet'!D92</f>
        <v>31.993589743589741</v>
      </c>
      <c r="C89" s="191">
        <v>15</v>
      </c>
      <c r="D89" s="179">
        <f t="shared" si="6"/>
        <v>479.90384615384613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85.013468394891888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75</v>
      </c>
      <c r="B90" s="181">
        <f>'Données projet'!D93</f>
        <v>30.916666666666664</v>
      </c>
      <c r="C90" s="191">
        <v>50</v>
      </c>
      <c r="D90" s="179">
        <f t="shared" si="6"/>
        <v>1545.8333333333333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81.352601334824783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84</v>
      </c>
      <c r="B91" s="181">
        <f>'Données projet'!D94</f>
        <v>35.083333333333329</v>
      </c>
      <c r="C91" s="191">
        <v>50</v>
      </c>
      <c r="D91" s="179">
        <f t="shared" si="6"/>
        <v>1754.1666666666665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77.849379267774921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93</v>
      </c>
      <c r="B92" s="181">
        <f>'Données projet'!D95</f>
        <v>30.083333333333332</v>
      </c>
      <c r="C92" s="191">
        <v>50</v>
      </c>
      <c r="D92" s="179">
        <f t="shared" si="6"/>
        <v>1504.1666666666665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74.497013653373131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103</v>
      </c>
      <c r="B93" s="181">
        <f>'Données projet'!D96</f>
        <v>39.512820512820511</v>
      </c>
      <c r="C93" s="191">
        <v>50</v>
      </c>
      <c r="D93" s="179">
        <f t="shared" si="6"/>
        <v>1975.6410256410256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71.28900828073985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113</v>
      </c>
      <c r="B94" s="181">
        <f>'Données projet'!D97</f>
        <v>31.602564102564099</v>
      </c>
      <c r="C94" s="191">
        <v>50</v>
      </c>
      <c r="D94" s="179">
        <f t="shared" si="6"/>
        <v>1580.1282051282049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68.219146680133818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125</v>
      </c>
      <c r="B95" s="181">
        <f>'Données projet'!D98</f>
        <v>48.160256410256409</v>
      </c>
      <c r="C95" s="191">
        <v>50</v>
      </c>
      <c r="D95" s="179">
        <f t="shared" si="6"/>
        <v>2408.0128205128203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65.28148007668311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137</v>
      </c>
      <c r="B96" s="181">
        <f>'Données projet'!D99</f>
        <v>51.160256410256409</v>
      </c>
      <c r="C96" s="191">
        <v>50</v>
      </c>
      <c r="D96" s="179">
        <f t="shared" si="6"/>
        <v>2558.0128205128203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62.470315862854633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149</v>
      </c>
      <c r="B97" s="181">
        <f>'Données projet'!D100</f>
        <v>120.50641025641026</v>
      </c>
      <c r="C97" s="191">
        <v>50</v>
      </c>
      <c r="D97" s="179">
        <f t="shared" si="6"/>
        <v>6025.3205128205127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59.780206567325045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153</v>
      </c>
      <c r="B98" s="181">
        <f>'Données projet'!D101</f>
        <v>70.115384615384613</v>
      </c>
      <c r="C98" s="191">
        <v>50</v>
      </c>
      <c r="D98" s="179">
        <f t="shared" si="6"/>
        <v>3505.7692307692305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57.205939298875641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157</v>
      </c>
      <c r="B99" s="181">
        <f>'Données projet'!D102</f>
        <v>45.71153846153846</v>
      </c>
      <c r="C99" s="191">
        <v>50</v>
      </c>
      <c r="D99" s="179">
        <f t="shared" si="6"/>
        <v>2285.5769230769229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54.742525644857089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161</v>
      </c>
      <c r="B100" s="181">
        <f>'Données projet'!D103</f>
        <v>91.365384615384613</v>
      </c>
      <c r="C100" s="191">
        <v>50</v>
      </c>
      <c r="D100" s="179">
        <f t="shared" si="6"/>
        <v>4568.2692307692305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52.385192004647926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50.129370339376017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47.970689319977048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Aulne glutineux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10</v>
      </c>
      <c r="B116" s="181">
        <f>'Données projet'!D114</f>
        <v>1</v>
      </c>
      <c r="C116" s="191">
        <v>10</v>
      </c>
      <c r="D116" s="179">
        <f>B116*C116</f>
        <v>10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15</v>
      </c>
      <c r="B117" s="181">
        <f>'Données projet'!D115</f>
        <v>3</v>
      </c>
      <c r="C117" s="191">
        <v>10</v>
      </c>
      <c r="D117" s="179">
        <f t="shared" ref="D117:D135" si="8">B117*C117</f>
        <v>30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20</v>
      </c>
      <c r="B118" s="181">
        <f>'Données projet'!D116</f>
        <v>9</v>
      </c>
      <c r="C118" s="191">
        <v>15</v>
      </c>
      <c r="D118" s="179">
        <f t="shared" si="8"/>
        <v>135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25</v>
      </c>
      <c r="B119" s="181">
        <f>'Données projet'!D117</f>
        <v>18</v>
      </c>
      <c r="C119" s="191">
        <v>15</v>
      </c>
      <c r="D119" s="179">
        <f t="shared" si="8"/>
        <v>270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30</v>
      </c>
      <c r="B120" s="181">
        <f>'Données projet'!D118</f>
        <v>20</v>
      </c>
      <c r="C120" s="191">
        <v>50</v>
      </c>
      <c r="D120" s="179">
        <f t="shared" si="8"/>
        <v>1000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35</v>
      </c>
      <c r="B121" s="181">
        <f>'Données projet'!D119</f>
        <v>21</v>
      </c>
      <c r="C121" s="191">
        <v>50</v>
      </c>
      <c r="D121" s="179">
        <f t="shared" si="8"/>
        <v>1050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40</v>
      </c>
      <c r="B122" s="181">
        <f>'Données projet'!D120</f>
        <v>22</v>
      </c>
      <c r="C122" s="191">
        <v>50</v>
      </c>
      <c r="D122" s="179">
        <f t="shared" si="8"/>
        <v>1100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45</v>
      </c>
      <c r="B123" s="181">
        <f>'Données projet'!D121</f>
        <v>22</v>
      </c>
      <c r="C123" s="191">
        <v>50</v>
      </c>
      <c r="D123" s="179">
        <f t="shared" si="8"/>
        <v>1100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50</v>
      </c>
      <c r="B124" s="181">
        <f>'Données projet'!D122</f>
        <v>21</v>
      </c>
      <c r="C124" s="191">
        <v>50</v>
      </c>
      <c r="D124" s="179">
        <f t="shared" si="8"/>
        <v>1050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55</v>
      </c>
      <c r="B125" s="181">
        <f>'Données projet'!D123</f>
        <v>20</v>
      </c>
      <c r="C125" s="191">
        <v>50</v>
      </c>
      <c r="D125" s="179">
        <f t="shared" si="8"/>
        <v>1000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60</v>
      </c>
      <c r="B126" s="181">
        <f>'Données projet'!D124</f>
        <v>19</v>
      </c>
      <c r="C126" s="191">
        <v>50</v>
      </c>
      <c r="D126" s="179">
        <f t="shared" si="8"/>
        <v>950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65</v>
      </c>
      <c r="B127" s="181">
        <f>'Données projet'!D125</f>
        <v>18</v>
      </c>
      <c r="C127" s="191">
        <v>50</v>
      </c>
      <c r="D127" s="179">
        <f t="shared" si="8"/>
        <v>900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70</v>
      </c>
      <c r="B128" s="181">
        <f>'Données projet'!D126</f>
        <v>17</v>
      </c>
      <c r="C128" s="191">
        <v>50</v>
      </c>
      <c r="D128" s="179">
        <f t="shared" si="8"/>
        <v>850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75</v>
      </c>
      <c r="B129" s="181">
        <f>'Données projet'!D127</f>
        <v>16</v>
      </c>
      <c r="C129" s="191">
        <v>50</v>
      </c>
      <c r="D129" s="179">
        <f t="shared" si="8"/>
        <v>800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80</v>
      </c>
      <c r="B130" s="181">
        <f>'Données projet'!D128</f>
        <v>15</v>
      </c>
      <c r="C130" s="191">
        <v>50</v>
      </c>
      <c r="D130" s="179">
        <f t="shared" si="8"/>
        <v>750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85</v>
      </c>
      <c r="B131" s="181">
        <f>'Données projet'!D129</f>
        <v>14</v>
      </c>
      <c r="C131" s="191">
        <v>50</v>
      </c>
      <c r="D131" s="179">
        <f t="shared" si="8"/>
        <v>700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90</v>
      </c>
      <c r="B132" s="181">
        <f>'Données projet'!D130</f>
        <v>13</v>
      </c>
      <c r="C132" s="191">
        <v>50</v>
      </c>
      <c r="D132" s="179">
        <f t="shared" si="8"/>
        <v>650</v>
      </c>
      <c r="E132" s="193">
        <v>150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Merisier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15</v>
      </c>
      <c r="B147" s="175">
        <f>'Données projet'!D140</f>
        <v>3</v>
      </c>
      <c r="C147" s="191">
        <v>10</v>
      </c>
      <c r="D147" s="182">
        <f>B147*C147</f>
        <v>30</v>
      </c>
      <c r="E147" s="193">
        <v>150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20</v>
      </c>
      <c r="B148" s="175">
        <f>'Données projet'!D141</f>
        <v>25</v>
      </c>
      <c r="C148" s="191">
        <v>10</v>
      </c>
      <c r="D148" s="182">
        <f t="shared" ref="D148:D166" si="10">B148*C148</f>
        <v>250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25</v>
      </c>
      <c r="B149" s="175">
        <f>'Données projet'!D142</f>
        <v>27</v>
      </c>
      <c r="C149" s="191">
        <v>15</v>
      </c>
      <c r="D149" s="182">
        <f t="shared" si="10"/>
        <v>405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31</v>
      </c>
      <c r="B150" s="175">
        <f>'Données projet'!D143</f>
        <v>35</v>
      </c>
      <c r="C150" s="191">
        <v>15</v>
      </c>
      <c r="D150" s="182">
        <f t="shared" si="10"/>
        <v>525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37</v>
      </c>
      <c r="B151" s="175">
        <f>'Données projet'!D144</f>
        <v>36</v>
      </c>
      <c r="C151" s="191">
        <v>50</v>
      </c>
      <c r="D151" s="182">
        <f t="shared" si="10"/>
        <v>1800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44</v>
      </c>
      <c r="B152" s="175">
        <f>'Données projet'!D145</f>
        <v>43</v>
      </c>
      <c r="C152" s="191">
        <v>50</v>
      </c>
      <c r="D152" s="182">
        <f t="shared" si="10"/>
        <v>2150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52</v>
      </c>
      <c r="B153" s="175">
        <f>'Données projet'!D146</f>
        <v>49</v>
      </c>
      <c r="C153" s="191">
        <v>50</v>
      </c>
      <c r="D153" s="182">
        <f t="shared" si="10"/>
        <v>2450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60</v>
      </c>
      <c r="B154" s="175">
        <f>'Données projet'!D147</f>
        <v>47</v>
      </c>
      <c r="C154" s="191">
        <v>50</v>
      </c>
      <c r="D154" s="182">
        <f t="shared" si="10"/>
        <v>2350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69</v>
      </c>
      <c r="B155" s="175">
        <f>'Données projet'!D148</f>
        <v>328</v>
      </c>
      <c r="C155" s="191">
        <v>50</v>
      </c>
      <c r="D155" s="182">
        <f t="shared" si="10"/>
        <v>16400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>Erable sycomore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15</v>
      </c>
      <c r="B178" s="181">
        <f>'Données projet'!D166</f>
        <v>15</v>
      </c>
      <c r="C178" s="193">
        <v>10</v>
      </c>
      <c r="D178" s="179">
        <f>B178*C178</f>
        <v>150</v>
      </c>
      <c r="E178" s="193">
        <v>150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20</v>
      </c>
      <c r="B179" s="181">
        <f>'Données projet'!D167</f>
        <v>28</v>
      </c>
      <c r="C179" s="193">
        <v>10</v>
      </c>
      <c r="D179" s="179">
        <f t="shared" ref="D179:D197" si="11">B179*C179</f>
        <v>280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25</v>
      </c>
      <c r="B180" s="181">
        <f>'Données projet'!D168</f>
        <v>28</v>
      </c>
      <c r="C180" s="193">
        <v>15</v>
      </c>
      <c r="D180" s="179">
        <f t="shared" si="11"/>
        <v>420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30</v>
      </c>
      <c r="B181" s="181">
        <f>'Données projet'!D169</f>
        <v>28</v>
      </c>
      <c r="C181" s="193">
        <v>15</v>
      </c>
      <c r="D181" s="179">
        <f t="shared" si="11"/>
        <v>420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35</v>
      </c>
      <c r="B182" s="181">
        <f>'Données projet'!D170</f>
        <v>28</v>
      </c>
      <c r="C182" s="193">
        <v>50</v>
      </c>
      <c r="D182" s="179">
        <f t="shared" si="11"/>
        <v>1400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40</v>
      </c>
      <c r="B183" s="181">
        <f>'Données projet'!D171</f>
        <v>28</v>
      </c>
      <c r="C183" s="193">
        <v>50</v>
      </c>
      <c r="D183" s="179">
        <f t="shared" si="11"/>
        <v>1400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45</v>
      </c>
      <c r="B184" s="181">
        <f>'Données projet'!D172</f>
        <v>22</v>
      </c>
      <c r="C184" s="193">
        <v>50</v>
      </c>
      <c r="D184" s="179">
        <f t="shared" si="11"/>
        <v>1100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50</v>
      </c>
      <c r="B185" s="181">
        <f>'Données projet'!D173</f>
        <v>17</v>
      </c>
      <c r="C185" s="193">
        <v>50</v>
      </c>
      <c r="D185" s="179">
        <f t="shared" si="11"/>
        <v>850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55</v>
      </c>
      <c r="B186" s="181">
        <f>'Données projet'!D174</f>
        <v>13</v>
      </c>
      <c r="C186" s="193">
        <v>50</v>
      </c>
      <c r="D186" s="179">
        <f t="shared" si="11"/>
        <v>650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60</v>
      </c>
      <c r="B187" s="181">
        <f>'Données projet'!D175</f>
        <v>12</v>
      </c>
      <c r="C187" s="193">
        <v>50</v>
      </c>
      <c r="D187" s="179">
        <f t="shared" si="11"/>
        <v>600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65</v>
      </c>
      <c r="B188" s="181">
        <f>'Données projet'!D176</f>
        <v>11</v>
      </c>
      <c r="C188" s="193">
        <v>50</v>
      </c>
      <c r="D188" s="179">
        <f t="shared" si="11"/>
        <v>550</v>
      </c>
      <c r="E188" s="193">
        <v>150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70</v>
      </c>
      <c r="B189" s="181">
        <f>'Données projet'!D177</f>
        <v>10</v>
      </c>
      <c r="C189" s="193">
        <v>50</v>
      </c>
      <c r="D189" s="179">
        <f t="shared" si="11"/>
        <v>500</v>
      </c>
      <c r="E189" s="193">
        <v>150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75</v>
      </c>
      <c r="B190" s="181">
        <f>'Données projet'!D178</f>
        <v>9</v>
      </c>
      <c r="C190" s="193">
        <v>50</v>
      </c>
      <c r="D190" s="179">
        <f t="shared" si="11"/>
        <v>450</v>
      </c>
      <c r="E190" s="193">
        <v>150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80</v>
      </c>
      <c r="B191" s="181">
        <f>'Données projet'!D179</f>
        <v>8</v>
      </c>
      <c r="C191" s="193">
        <v>50</v>
      </c>
      <c r="D191" s="179">
        <f t="shared" si="11"/>
        <v>400</v>
      </c>
      <c r="E191" s="193">
        <v>150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ée un document." ma:contentTypeScope="" ma:versionID="1f5efd74e6064ee3f625336d6e590db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a1bf04212b68656168e2b27f1439148b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656D61-F39D-402C-9560-5B804A9640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1357E4-1FEB-4ABB-8A0B-BD29107EBE50}">
  <ds:schemaRefs>
    <ds:schemaRef ds:uri="eafaa6b1-975f-439f-868f-fccf4e9d887f"/>
    <ds:schemaRef ds:uri="http://schemas.microsoft.com/office/2006/documentManagement/types"/>
    <ds:schemaRef ds:uri="7b742faf-fdf8-4591-b699-ecf8e70a4961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F71813B-64D6-44F7-83E5-951795336D4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Imène BELAZEREG</cp:lastModifiedBy>
  <dcterms:created xsi:type="dcterms:W3CDTF">2021-02-01T08:22:39Z</dcterms:created>
  <dcterms:modified xsi:type="dcterms:W3CDTF">2025-02-18T16:47:26Z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